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O:\Programs\Oregon Forward\Program Documents\Program Templates\Costing Workbooks\Current workbooks\"/>
    </mc:Choice>
  </mc:AlternateContent>
  <xr:revisionPtr revIDLastSave="0" documentId="13_ncr:1_{291E105C-69C8-4C35-A864-40003C5132AA}" xr6:coauthVersionLast="47" xr6:coauthVersionMax="47" xr10:uidLastSave="{00000000-0000-0000-0000-000000000000}"/>
  <workbookProtection workbookAlgorithmName="SHA-512" workbookHashValue="keZtm1IWk5LyeMDyj3vfIhoUcleXPx30O05x0oRmf3Zdl2v1rcGJdiOPm4s/JeTp3XLU+9K1C43MFRlFnH4tQg==" workbookSaltValue="mE4Nz1R2zXOol1zQ5W59rg==" workbookSpinCount="100000" lockStructure="1"/>
  <bookViews>
    <workbookView xWindow="-28920" yWindow="3555" windowWidth="29040" windowHeight="15720" tabRatio="887" activeTab="7" xr2:uid="{E2D15C15-5082-4B48-99CD-C91409BEF994}"/>
  </bookViews>
  <sheets>
    <sheet name="kt info" sheetId="20" r:id="rId1"/>
    <sheet name="Pay &amp; Benefits" sheetId="26" r:id="rId2"/>
    <sheet name="Overhead &amp; Margin" sheetId="18" r:id="rId3"/>
    <sheet name="Supplies" sheetId="22" r:id="rId4"/>
    <sheet name="Equipment List" sheetId="21" r:id="rId5"/>
    <sheet name="Subcontractors" sheetId="11" r:id="rId6"/>
    <sheet name="Transportation" sheetId="23" r:id="rId7"/>
    <sheet name="Monthly Janitorial" sheetId="2" r:id="rId8"/>
    <sheet name="Periodics" sheetId="5" r:id="rId9"/>
    <sheet name="Except,Emer&amp;Day Porter" sheetId="3" r:id="rId10"/>
    <sheet name="Summary-pricing" sheetId="1" r:id="rId11"/>
    <sheet name="Price Approval" sheetId="24" r:id="rId12"/>
    <sheet name="OHCalc" sheetId="25" r:id="rId13"/>
  </sheets>
  <definedNames>
    <definedName name="Margin">'Overhead &amp; Margin'!$G$10</definedName>
    <definedName name="_xlnm.Print_Area" localSheetId="0">'kt info'!$B$8:$H$49</definedName>
    <definedName name="_xlnm.Print_Area" localSheetId="7">'Monthly Janitorial'!$A$8:$M$68</definedName>
    <definedName name="_xlnm.Print_Area" localSheetId="8">Periodics!$A$9:$N$56</definedName>
    <definedName name="_xlnm.Print_Area" localSheetId="11">'Price Approval'!$B$1:$H$52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" i="2" l="1"/>
  <c r="H16" i="2" s="1"/>
  <c r="G2" i="1" l="1"/>
  <c r="I8" i="3"/>
  <c r="M946" i="5"/>
  <c r="M888" i="5"/>
  <c r="M830" i="5"/>
  <c r="M772" i="5"/>
  <c r="M714" i="5"/>
  <c r="M656" i="5"/>
  <c r="M598" i="5"/>
  <c r="M540" i="5"/>
  <c r="M482" i="5"/>
  <c r="M424" i="5"/>
  <c r="M366" i="5"/>
  <c r="M308" i="5"/>
  <c r="M250" i="5"/>
  <c r="M192" i="5"/>
  <c r="M134" i="5"/>
  <c r="M76" i="5"/>
  <c r="M18" i="5"/>
  <c r="D2" i="2"/>
  <c r="D2" i="23"/>
  <c r="C2" i="11"/>
  <c r="C2" i="21"/>
  <c r="C2" i="22"/>
  <c r="D2" i="18"/>
  <c r="F2" i="26"/>
  <c r="B11" i="24"/>
  <c r="L83" i="2"/>
  <c r="L82" i="2"/>
  <c r="L81" i="2"/>
  <c r="K83" i="2"/>
  <c r="K82" i="2"/>
  <c r="K81" i="2"/>
  <c r="B531" i="5"/>
  <c r="A23" i="24" s="1"/>
  <c r="A33" i="24" l="1"/>
  <c r="A32" i="24"/>
  <c r="A31" i="24"/>
  <c r="A13" i="24"/>
  <c r="A14" i="24"/>
  <c r="A15" i="24"/>
  <c r="A16" i="24"/>
  <c r="A17" i="24"/>
  <c r="A18" i="24"/>
  <c r="A19" i="24"/>
  <c r="A20" i="24"/>
  <c r="B54" i="1" l="1"/>
  <c r="B52" i="1"/>
  <c r="B50" i="1"/>
  <c r="B48" i="1"/>
  <c r="G986" i="5"/>
  <c r="C940" i="5"/>
  <c r="B937" i="5"/>
  <c r="L593" i="5" s="1"/>
  <c r="G929" i="5"/>
  <c r="I984" i="5"/>
  <c r="I983" i="5"/>
  <c r="D983" i="5"/>
  <c r="E983" i="5" s="1"/>
  <c r="D982" i="5"/>
  <c r="E982" i="5" s="1"/>
  <c r="D981" i="5"/>
  <c r="E981" i="5" s="1"/>
  <c r="D980" i="5"/>
  <c r="E980" i="5" s="1"/>
  <c r="M979" i="5"/>
  <c r="L979" i="5"/>
  <c r="K979" i="5"/>
  <c r="D979" i="5"/>
  <c r="E979" i="5" s="1"/>
  <c r="D978" i="5"/>
  <c r="E978" i="5" s="1"/>
  <c r="D977" i="5"/>
  <c r="E977" i="5" s="1"/>
  <c r="D976" i="5"/>
  <c r="E976" i="5" s="1"/>
  <c r="D975" i="5"/>
  <c r="E975" i="5" s="1"/>
  <c r="D974" i="5"/>
  <c r="E974" i="5" s="1"/>
  <c r="K973" i="5"/>
  <c r="L973" i="5" s="1"/>
  <c r="D973" i="5"/>
  <c r="E973" i="5" s="1"/>
  <c r="K972" i="5"/>
  <c r="L972" i="5" s="1"/>
  <c r="D972" i="5"/>
  <c r="E972" i="5" s="1"/>
  <c r="K971" i="5"/>
  <c r="L971" i="5" s="1"/>
  <c r="D971" i="5"/>
  <c r="E971" i="5" s="1"/>
  <c r="K970" i="5"/>
  <c r="L970" i="5" s="1"/>
  <c r="D970" i="5"/>
  <c r="E970" i="5" s="1"/>
  <c r="K969" i="5"/>
  <c r="L969" i="5" s="1"/>
  <c r="D969" i="5"/>
  <c r="E969" i="5" s="1"/>
  <c r="K968" i="5"/>
  <c r="L968" i="5" s="1"/>
  <c r="D968" i="5"/>
  <c r="E968" i="5" s="1"/>
  <c r="K967" i="5"/>
  <c r="L967" i="5" s="1"/>
  <c r="D967" i="5"/>
  <c r="E967" i="5" s="1"/>
  <c r="K966" i="5"/>
  <c r="L966" i="5" s="1"/>
  <c r="D966" i="5"/>
  <c r="E966" i="5" s="1"/>
  <c r="D965" i="5"/>
  <c r="E965" i="5" s="1"/>
  <c r="D964" i="5"/>
  <c r="E964" i="5" s="1"/>
  <c r="M959" i="5"/>
  <c r="K959" i="5"/>
  <c r="L959" i="5" s="1"/>
  <c r="N959" i="5" s="1"/>
  <c r="J959" i="5"/>
  <c r="E959" i="5"/>
  <c r="I959" i="5" s="1"/>
  <c r="D959" i="5"/>
  <c r="M958" i="5"/>
  <c r="K958" i="5"/>
  <c r="L958" i="5" s="1"/>
  <c r="N958" i="5" s="1"/>
  <c r="J958" i="5"/>
  <c r="E958" i="5"/>
  <c r="I958" i="5" s="1"/>
  <c r="D958" i="5"/>
  <c r="M957" i="5"/>
  <c r="K957" i="5"/>
  <c r="L957" i="5" s="1"/>
  <c r="N957" i="5" s="1"/>
  <c r="J957" i="5"/>
  <c r="E957" i="5"/>
  <c r="F957" i="5" s="1"/>
  <c r="D957" i="5"/>
  <c r="M956" i="5"/>
  <c r="K956" i="5"/>
  <c r="L956" i="5" s="1"/>
  <c r="N956" i="5" s="1"/>
  <c r="J956" i="5"/>
  <c r="E956" i="5"/>
  <c r="I956" i="5" s="1"/>
  <c r="D956" i="5"/>
  <c r="M955" i="5"/>
  <c r="K955" i="5"/>
  <c r="L955" i="5" s="1"/>
  <c r="N955" i="5" s="1"/>
  <c r="J955" i="5"/>
  <c r="E955" i="5"/>
  <c r="H955" i="5" s="1"/>
  <c r="D955" i="5"/>
  <c r="M954" i="5"/>
  <c r="K954" i="5"/>
  <c r="L954" i="5" s="1"/>
  <c r="N954" i="5" s="1"/>
  <c r="J954" i="5"/>
  <c r="E954" i="5"/>
  <c r="F954" i="5" s="1"/>
  <c r="D954" i="5"/>
  <c r="M953" i="5"/>
  <c r="K953" i="5"/>
  <c r="L953" i="5" s="1"/>
  <c r="N953" i="5" s="1"/>
  <c r="J953" i="5"/>
  <c r="E953" i="5"/>
  <c r="I953" i="5" s="1"/>
  <c r="D953" i="5"/>
  <c r="M952" i="5"/>
  <c r="K952" i="5"/>
  <c r="L952" i="5" s="1"/>
  <c r="N952" i="5" s="1"/>
  <c r="J952" i="5"/>
  <c r="E952" i="5"/>
  <c r="I952" i="5" s="1"/>
  <c r="D952" i="5"/>
  <c r="J951" i="5"/>
  <c r="E951" i="5"/>
  <c r="F951" i="5" s="1"/>
  <c r="D951" i="5"/>
  <c r="M951" i="5" s="1"/>
  <c r="M950" i="5"/>
  <c r="J950" i="5"/>
  <c r="E950" i="5"/>
  <c r="H950" i="5" s="1"/>
  <c r="D950" i="5"/>
  <c r="C935" i="5"/>
  <c r="C933" i="5"/>
  <c r="C931" i="5"/>
  <c r="G928" i="5"/>
  <c r="D785" i="5"/>
  <c r="D784" i="5"/>
  <c r="D783" i="5"/>
  <c r="D782" i="5"/>
  <c r="D781" i="5"/>
  <c r="D780" i="5"/>
  <c r="D779" i="5"/>
  <c r="D778" i="5"/>
  <c r="D777" i="5"/>
  <c r="D776" i="5"/>
  <c r="D843" i="5"/>
  <c r="D842" i="5"/>
  <c r="D841" i="5"/>
  <c r="D840" i="5"/>
  <c r="D839" i="5"/>
  <c r="D838" i="5"/>
  <c r="D837" i="5"/>
  <c r="D836" i="5"/>
  <c r="D835" i="5"/>
  <c r="D834" i="5"/>
  <c r="D901" i="5"/>
  <c r="D900" i="5"/>
  <c r="D899" i="5"/>
  <c r="D898" i="5"/>
  <c r="D897" i="5"/>
  <c r="D896" i="5"/>
  <c r="D895" i="5"/>
  <c r="D894" i="5"/>
  <c r="D893" i="5"/>
  <c r="M893" i="5" s="1"/>
  <c r="D892" i="5"/>
  <c r="C882" i="5"/>
  <c r="B879" i="5"/>
  <c r="G871" i="5"/>
  <c r="I926" i="5"/>
  <c r="I925" i="5"/>
  <c r="D925" i="5"/>
  <c r="E925" i="5" s="1"/>
  <c r="D924" i="5"/>
  <c r="E924" i="5" s="1"/>
  <c r="D923" i="5"/>
  <c r="E923" i="5" s="1"/>
  <c r="D922" i="5"/>
  <c r="E922" i="5" s="1"/>
  <c r="M921" i="5"/>
  <c r="L921" i="5"/>
  <c r="K921" i="5"/>
  <c r="D921" i="5"/>
  <c r="E921" i="5" s="1"/>
  <c r="M920" i="5"/>
  <c r="L920" i="5"/>
  <c r="K920" i="5"/>
  <c r="D920" i="5"/>
  <c r="E920" i="5" s="1"/>
  <c r="D919" i="5"/>
  <c r="E919" i="5" s="1"/>
  <c r="D918" i="5"/>
  <c r="E918" i="5" s="1"/>
  <c r="D917" i="5"/>
  <c r="E917" i="5" s="1"/>
  <c r="D916" i="5"/>
  <c r="E916" i="5" s="1"/>
  <c r="K915" i="5"/>
  <c r="L915" i="5" s="1"/>
  <c r="D915" i="5"/>
  <c r="E915" i="5" s="1"/>
  <c r="K914" i="5"/>
  <c r="L914" i="5" s="1"/>
  <c r="D914" i="5"/>
  <c r="E914" i="5" s="1"/>
  <c r="K913" i="5"/>
  <c r="L913" i="5" s="1"/>
  <c r="D913" i="5"/>
  <c r="E913" i="5" s="1"/>
  <c r="K912" i="5"/>
  <c r="L912" i="5" s="1"/>
  <c r="D912" i="5"/>
  <c r="E912" i="5" s="1"/>
  <c r="K911" i="5"/>
  <c r="L911" i="5" s="1"/>
  <c r="D911" i="5"/>
  <c r="E911" i="5" s="1"/>
  <c r="K910" i="5"/>
  <c r="L910" i="5" s="1"/>
  <c r="D910" i="5"/>
  <c r="E910" i="5" s="1"/>
  <c r="K909" i="5"/>
  <c r="L909" i="5" s="1"/>
  <c r="D909" i="5"/>
  <c r="E909" i="5" s="1"/>
  <c r="K908" i="5"/>
  <c r="L908" i="5" s="1"/>
  <c r="D908" i="5"/>
  <c r="E908" i="5" s="1"/>
  <c r="K907" i="5"/>
  <c r="L907" i="5" s="1"/>
  <c r="D907" i="5"/>
  <c r="E907" i="5" s="1"/>
  <c r="D906" i="5"/>
  <c r="E906" i="5" s="1"/>
  <c r="M901" i="5"/>
  <c r="K901" i="5"/>
  <c r="L901" i="5" s="1"/>
  <c r="N901" i="5" s="1"/>
  <c r="J901" i="5"/>
  <c r="E901" i="5"/>
  <c r="H901" i="5" s="1"/>
  <c r="M900" i="5"/>
  <c r="K900" i="5"/>
  <c r="L900" i="5" s="1"/>
  <c r="N900" i="5" s="1"/>
  <c r="J900" i="5"/>
  <c r="E900" i="5"/>
  <c r="I900" i="5" s="1"/>
  <c r="M899" i="5"/>
  <c r="K899" i="5"/>
  <c r="L899" i="5" s="1"/>
  <c r="N899" i="5" s="1"/>
  <c r="J899" i="5"/>
  <c r="E899" i="5"/>
  <c r="F899" i="5" s="1"/>
  <c r="M898" i="5"/>
  <c r="K898" i="5"/>
  <c r="L898" i="5" s="1"/>
  <c r="N898" i="5" s="1"/>
  <c r="J898" i="5"/>
  <c r="E898" i="5"/>
  <c r="F898" i="5" s="1"/>
  <c r="M897" i="5"/>
  <c r="K897" i="5"/>
  <c r="L897" i="5" s="1"/>
  <c r="N897" i="5" s="1"/>
  <c r="J897" i="5"/>
  <c r="E897" i="5"/>
  <c r="I897" i="5" s="1"/>
  <c r="M896" i="5"/>
  <c r="K896" i="5"/>
  <c r="L896" i="5" s="1"/>
  <c r="N896" i="5" s="1"/>
  <c r="J896" i="5"/>
  <c r="E896" i="5"/>
  <c r="I896" i="5" s="1"/>
  <c r="M895" i="5"/>
  <c r="K895" i="5"/>
  <c r="L895" i="5" s="1"/>
  <c r="N895" i="5" s="1"/>
  <c r="J895" i="5"/>
  <c r="E895" i="5"/>
  <c r="H895" i="5" s="1"/>
  <c r="M894" i="5"/>
  <c r="K894" i="5"/>
  <c r="L894" i="5" s="1"/>
  <c r="N894" i="5" s="1"/>
  <c r="J894" i="5"/>
  <c r="E894" i="5"/>
  <c r="I894" i="5" s="1"/>
  <c r="J893" i="5"/>
  <c r="E893" i="5"/>
  <c r="F893" i="5" s="1"/>
  <c r="M892" i="5"/>
  <c r="J892" i="5"/>
  <c r="E892" i="5"/>
  <c r="F892" i="5" s="1"/>
  <c r="H884" i="5"/>
  <c r="I884" i="5" s="1"/>
  <c r="C877" i="5"/>
  <c r="C875" i="5"/>
  <c r="C873" i="5"/>
  <c r="B763" i="5"/>
  <c r="B821" i="5"/>
  <c r="C824" i="5"/>
  <c r="C828" i="5" s="1"/>
  <c r="E50" i="1" s="1"/>
  <c r="G870" i="5"/>
  <c r="G813" i="5"/>
  <c r="I868" i="5"/>
  <c r="I867" i="5"/>
  <c r="D867" i="5"/>
  <c r="E867" i="5" s="1"/>
  <c r="D866" i="5"/>
  <c r="E866" i="5" s="1"/>
  <c r="D865" i="5"/>
  <c r="E865" i="5" s="1"/>
  <c r="D864" i="5"/>
  <c r="E864" i="5" s="1"/>
  <c r="M863" i="5"/>
  <c r="L863" i="5"/>
  <c r="K863" i="5"/>
  <c r="D863" i="5"/>
  <c r="E863" i="5" s="1"/>
  <c r="M862" i="5"/>
  <c r="L862" i="5"/>
  <c r="K862" i="5"/>
  <c r="D862" i="5"/>
  <c r="E862" i="5" s="1"/>
  <c r="D861" i="5"/>
  <c r="E861" i="5" s="1"/>
  <c r="D860" i="5"/>
  <c r="E860" i="5" s="1"/>
  <c r="D859" i="5"/>
  <c r="E859" i="5" s="1"/>
  <c r="D858" i="5"/>
  <c r="E858" i="5" s="1"/>
  <c r="K857" i="5"/>
  <c r="L857" i="5" s="1"/>
  <c r="D857" i="5"/>
  <c r="E857" i="5" s="1"/>
  <c r="K856" i="5"/>
  <c r="L856" i="5" s="1"/>
  <c r="D856" i="5"/>
  <c r="E856" i="5" s="1"/>
  <c r="K855" i="5"/>
  <c r="L855" i="5" s="1"/>
  <c r="D855" i="5"/>
  <c r="E855" i="5" s="1"/>
  <c r="K854" i="5"/>
  <c r="L854" i="5" s="1"/>
  <c r="D854" i="5"/>
  <c r="E854" i="5" s="1"/>
  <c r="K853" i="5"/>
  <c r="L853" i="5" s="1"/>
  <c r="D853" i="5"/>
  <c r="E853" i="5" s="1"/>
  <c r="K852" i="5"/>
  <c r="L852" i="5" s="1"/>
  <c r="D852" i="5"/>
  <c r="E852" i="5" s="1"/>
  <c r="K851" i="5"/>
  <c r="L851" i="5" s="1"/>
  <c r="D851" i="5"/>
  <c r="E851" i="5" s="1"/>
  <c r="K850" i="5"/>
  <c r="L850" i="5" s="1"/>
  <c r="D850" i="5"/>
  <c r="E850" i="5" s="1"/>
  <c r="K849" i="5"/>
  <c r="L849" i="5" s="1"/>
  <c r="D849" i="5"/>
  <c r="E849" i="5" s="1"/>
  <c r="K848" i="5"/>
  <c r="L848" i="5" s="1"/>
  <c r="D848" i="5"/>
  <c r="E848" i="5" s="1"/>
  <c r="M843" i="5"/>
  <c r="K843" i="5"/>
  <c r="L843" i="5" s="1"/>
  <c r="N843" i="5" s="1"/>
  <c r="J843" i="5"/>
  <c r="E843" i="5"/>
  <c r="H843" i="5" s="1"/>
  <c r="M842" i="5"/>
  <c r="K842" i="5"/>
  <c r="L842" i="5" s="1"/>
  <c r="N842" i="5" s="1"/>
  <c r="J842" i="5"/>
  <c r="E842" i="5"/>
  <c r="I842" i="5" s="1"/>
  <c r="M841" i="5"/>
  <c r="K841" i="5"/>
  <c r="L841" i="5" s="1"/>
  <c r="N841" i="5" s="1"/>
  <c r="J841" i="5"/>
  <c r="E841" i="5"/>
  <c r="F841" i="5" s="1"/>
  <c r="M840" i="5"/>
  <c r="K840" i="5"/>
  <c r="L840" i="5" s="1"/>
  <c r="N840" i="5" s="1"/>
  <c r="J840" i="5"/>
  <c r="E840" i="5"/>
  <c r="H840" i="5" s="1"/>
  <c r="M839" i="5"/>
  <c r="K839" i="5"/>
  <c r="L839" i="5" s="1"/>
  <c r="N839" i="5" s="1"/>
  <c r="J839" i="5"/>
  <c r="E839" i="5"/>
  <c r="H839" i="5" s="1"/>
  <c r="M838" i="5"/>
  <c r="K838" i="5"/>
  <c r="L838" i="5" s="1"/>
  <c r="N838" i="5" s="1"/>
  <c r="J838" i="5"/>
  <c r="E838" i="5"/>
  <c r="I838" i="5" s="1"/>
  <c r="M837" i="5"/>
  <c r="K837" i="5"/>
  <c r="L837" i="5" s="1"/>
  <c r="N837" i="5" s="1"/>
  <c r="J837" i="5"/>
  <c r="E837" i="5"/>
  <c r="H837" i="5" s="1"/>
  <c r="M836" i="5"/>
  <c r="K836" i="5"/>
  <c r="L836" i="5" s="1"/>
  <c r="N836" i="5" s="1"/>
  <c r="J836" i="5"/>
  <c r="E836" i="5"/>
  <c r="I836" i="5" s="1"/>
  <c r="M835" i="5"/>
  <c r="K835" i="5"/>
  <c r="L835" i="5" s="1"/>
  <c r="N835" i="5" s="1"/>
  <c r="J835" i="5"/>
  <c r="E835" i="5"/>
  <c r="F835" i="5" s="1"/>
  <c r="M834" i="5"/>
  <c r="K834" i="5"/>
  <c r="L834" i="5" s="1"/>
  <c r="N834" i="5" s="1"/>
  <c r="J834" i="5"/>
  <c r="E834" i="5"/>
  <c r="H834" i="5" s="1"/>
  <c r="H826" i="5"/>
  <c r="I826" i="5" s="1"/>
  <c r="C819" i="5"/>
  <c r="C817" i="5"/>
  <c r="C815" i="5"/>
  <c r="G812" i="5"/>
  <c r="C766" i="5"/>
  <c r="C770" i="5" s="1"/>
  <c r="E48" i="1" s="1"/>
  <c r="G755" i="5"/>
  <c r="I810" i="5"/>
  <c r="I809" i="5"/>
  <c r="D809" i="5"/>
  <c r="E809" i="5" s="1"/>
  <c r="D808" i="5"/>
  <c r="E808" i="5" s="1"/>
  <c r="D807" i="5"/>
  <c r="E807" i="5" s="1"/>
  <c r="D806" i="5"/>
  <c r="E806" i="5" s="1"/>
  <c r="M805" i="5"/>
  <c r="L805" i="5"/>
  <c r="K805" i="5"/>
  <c r="D805" i="5"/>
  <c r="E805" i="5" s="1"/>
  <c r="M804" i="5"/>
  <c r="L804" i="5"/>
  <c r="K804" i="5"/>
  <c r="D804" i="5"/>
  <c r="E804" i="5" s="1"/>
  <c r="D803" i="5"/>
  <c r="E803" i="5" s="1"/>
  <c r="D802" i="5"/>
  <c r="E802" i="5" s="1"/>
  <c r="D801" i="5"/>
  <c r="E801" i="5" s="1"/>
  <c r="D800" i="5"/>
  <c r="E800" i="5" s="1"/>
  <c r="K799" i="5"/>
  <c r="L799" i="5" s="1"/>
  <c r="D799" i="5"/>
  <c r="E799" i="5" s="1"/>
  <c r="K798" i="5"/>
  <c r="L798" i="5" s="1"/>
  <c r="D798" i="5"/>
  <c r="E798" i="5" s="1"/>
  <c r="K797" i="5"/>
  <c r="L797" i="5" s="1"/>
  <c r="D797" i="5"/>
  <c r="E797" i="5" s="1"/>
  <c r="K796" i="5"/>
  <c r="L796" i="5" s="1"/>
  <c r="D796" i="5"/>
  <c r="E796" i="5" s="1"/>
  <c r="K795" i="5"/>
  <c r="L795" i="5" s="1"/>
  <c r="D795" i="5"/>
  <c r="E795" i="5" s="1"/>
  <c r="K794" i="5"/>
  <c r="L794" i="5" s="1"/>
  <c r="D794" i="5"/>
  <c r="E794" i="5" s="1"/>
  <c r="K793" i="5"/>
  <c r="L793" i="5" s="1"/>
  <c r="D793" i="5"/>
  <c r="E793" i="5" s="1"/>
  <c r="K792" i="5"/>
  <c r="L792" i="5" s="1"/>
  <c r="D792" i="5"/>
  <c r="E792" i="5" s="1"/>
  <c r="K791" i="5"/>
  <c r="L791" i="5" s="1"/>
  <c r="D791" i="5"/>
  <c r="E791" i="5" s="1"/>
  <c r="K790" i="5"/>
  <c r="L790" i="5" s="1"/>
  <c r="D790" i="5"/>
  <c r="E790" i="5" s="1"/>
  <c r="M785" i="5"/>
  <c r="K785" i="5"/>
  <c r="L785" i="5" s="1"/>
  <c r="N785" i="5" s="1"/>
  <c r="J785" i="5"/>
  <c r="E785" i="5"/>
  <c r="I785" i="5" s="1"/>
  <c r="M784" i="5"/>
  <c r="K784" i="5"/>
  <c r="L784" i="5" s="1"/>
  <c r="N784" i="5" s="1"/>
  <c r="J784" i="5"/>
  <c r="E784" i="5"/>
  <c r="I784" i="5" s="1"/>
  <c r="M783" i="5"/>
  <c r="K783" i="5"/>
  <c r="L783" i="5" s="1"/>
  <c r="N783" i="5" s="1"/>
  <c r="J783" i="5"/>
  <c r="E783" i="5"/>
  <c r="F783" i="5" s="1"/>
  <c r="M782" i="5"/>
  <c r="K782" i="5"/>
  <c r="L782" i="5" s="1"/>
  <c r="N782" i="5" s="1"/>
  <c r="J782" i="5"/>
  <c r="E782" i="5"/>
  <c r="I782" i="5" s="1"/>
  <c r="M781" i="5"/>
  <c r="K781" i="5"/>
  <c r="L781" i="5" s="1"/>
  <c r="N781" i="5" s="1"/>
  <c r="J781" i="5"/>
  <c r="E781" i="5"/>
  <c r="I781" i="5" s="1"/>
  <c r="M780" i="5"/>
  <c r="K780" i="5"/>
  <c r="L780" i="5" s="1"/>
  <c r="N780" i="5" s="1"/>
  <c r="J780" i="5"/>
  <c r="E780" i="5"/>
  <c r="F780" i="5" s="1"/>
  <c r="M779" i="5"/>
  <c r="K779" i="5"/>
  <c r="L779" i="5" s="1"/>
  <c r="N779" i="5" s="1"/>
  <c r="J779" i="5"/>
  <c r="E779" i="5"/>
  <c r="I779" i="5" s="1"/>
  <c r="M778" i="5"/>
  <c r="K778" i="5"/>
  <c r="L778" i="5" s="1"/>
  <c r="N778" i="5" s="1"/>
  <c r="J778" i="5"/>
  <c r="E778" i="5"/>
  <c r="I778" i="5" s="1"/>
  <c r="M777" i="5"/>
  <c r="K777" i="5"/>
  <c r="J777" i="5"/>
  <c r="E777" i="5"/>
  <c r="I777" i="5" s="1"/>
  <c r="M776" i="5"/>
  <c r="K776" i="5"/>
  <c r="L776" i="5" s="1"/>
  <c r="N776" i="5" s="1"/>
  <c r="J776" i="5"/>
  <c r="E776" i="5"/>
  <c r="I776" i="5" s="1"/>
  <c r="H768" i="5"/>
  <c r="I768" i="5" s="1"/>
  <c r="C761" i="5"/>
  <c r="C759" i="5"/>
  <c r="C757" i="5"/>
  <c r="D58" i="18"/>
  <c r="D62" i="18"/>
  <c r="D60" i="18"/>
  <c r="B241" i="5"/>
  <c r="B183" i="5"/>
  <c r="J877" i="5" s="1"/>
  <c r="B125" i="5"/>
  <c r="J528" i="5" s="1"/>
  <c r="B67" i="5"/>
  <c r="J817" i="5" s="1"/>
  <c r="B10" i="5"/>
  <c r="J816" i="5" s="1"/>
  <c r="D727" i="5"/>
  <c r="D726" i="5"/>
  <c r="D725" i="5"/>
  <c r="D724" i="5"/>
  <c r="D723" i="5"/>
  <c r="D722" i="5"/>
  <c r="D721" i="5"/>
  <c r="D720" i="5"/>
  <c r="D719" i="5"/>
  <c r="D718" i="5"/>
  <c r="D669" i="5"/>
  <c r="D668" i="5"/>
  <c r="D667" i="5"/>
  <c r="D666" i="5"/>
  <c r="D665" i="5"/>
  <c r="D664" i="5"/>
  <c r="D663" i="5"/>
  <c r="D662" i="5"/>
  <c r="D661" i="5"/>
  <c r="D660" i="5"/>
  <c r="D611" i="5"/>
  <c r="D610" i="5"/>
  <c r="D609" i="5"/>
  <c r="D608" i="5"/>
  <c r="D607" i="5"/>
  <c r="D606" i="5"/>
  <c r="D605" i="5"/>
  <c r="D604" i="5"/>
  <c r="D603" i="5"/>
  <c r="D602" i="5"/>
  <c r="M602" i="5" s="1"/>
  <c r="D553" i="5"/>
  <c r="D552" i="5"/>
  <c r="D551" i="5"/>
  <c r="D550" i="5"/>
  <c r="D549" i="5"/>
  <c r="D548" i="5"/>
  <c r="D547" i="5"/>
  <c r="D546" i="5"/>
  <c r="D545" i="5"/>
  <c r="D544" i="5"/>
  <c r="M544" i="5" s="1"/>
  <c r="D495" i="5"/>
  <c r="D494" i="5"/>
  <c r="D493" i="5"/>
  <c r="D492" i="5"/>
  <c r="D491" i="5"/>
  <c r="D490" i="5"/>
  <c r="D489" i="5"/>
  <c r="D488" i="5"/>
  <c r="D487" i="5"/>
  <c r="D486" i="5"/>
  <c r="M486" i="5" s="1"/>
  <c r="D437" i="5"/>
  <c r="D436" i="5"/>
  <c r="D435" i="5"/>
  <c r="D434" i="5"/>
  <c r="D433" i="5"/>
  <c r="D432" i="5"/>
  <c r="D431" i="5"/>
  <c r="D430" i="5"/>
  <c r="M430" i="5" s="1"/>
  <c r="D429" i="5"/>
  <c r="M429" i="5" s="1"/>
  <c r="D428" i="5"/>
  <c r="M428" i="5" s="1"/>
  <c r="D379" i="5"/>
  <c r="D378" i="5"/>
  <c r="D377" i="5"/>
  <c r="D376" i="5"/>
  <c r="D375" i="5"/>
  <c r="D374" i="5"/>
  <c r="D373" i="5"/>
  <c r="D372" i="5"/>
  <c r="D371" i="5"/>
  <c r="B357" i="5"/>
  <c r="J590" i="5" s="1"/>
  <c r="D370" i="5"/>
  <c r="M370" i="5" s="1"/>
  <c r="B299" i="5"/>
  <c r="J589" i="5" s="1"/>
  <c r="D321" i="5"/>
  <c r="D320" i="5"/>
  <c r="D319" i="5"/>
  <c r="D318" i="5"/>
  <c r="D317" i="5"/>
  <c r="D316" i="5"/>
  <c r="D315" i="5"/>
  <c r="D314" i="5"/>
  <c r="D313" i="5"/>
  <c r="M313" i="5" s="1"/>
  <c r="D312" i="5"/>
  <c r="M312" i="5" s="1"/>
  <c r="D263" i="5"/>
  <c r="D262" i="5"/>
  <c r="D261" i="5"/>
  <c r="D260" i="5"/>
  <c r="D259" i="5"/>
  <c r="D258" i="5"/>
  <c r="D257" i="5"/>
  <c r="D256" i="5"/>
  <c r="D255" i="5"/>
  <c r="M255" i="5" s="1"/>
  <c r="D254" i="5"/>
  <c r="M254" i="5" s="1"/>
  <c r="D205" i="5"/>
  <c r="D204" i="5"/>
  <c r="D203" i="5"/>
  <c r="D202" i="5"/>
  <c r="D201" i="5"/>
  <c r="D200" i="5"/>
  <c r="D199" i="5"/>
  <c r="D198" i="5"/>
  <c r="D197" i="5"/>
  <c r="M197" i="5" s="1"/>
  <c r="D196" i="5"/>
  <c r="M196" i="5" s="1"/>
  <c r="D147" i="5"/>
  <c r="D146" i="5"/>
  <c r="D145" i="5"/>
  <c r="D144" i="5"/>
  <c r="D143" i="5"/>
  <c r="D142" i="5"/>
  <c r="D141" i="5"/>
  <c r="D140" i="5"/>
  <c r="D139" i="5"/>
  <c r="D138" i="5"/>
  <c r="D89" i="5"/>
  <c r="D88" i="5"/>
  <c r="D87" i="5"/>
  <c r="D86" i="5"/>
  <c r="D85" i="5"/>
  <c r="D84" i="5"/>
  <c r="D83" i="5"/>
  <c r="D82" i="5"/>
  <c r="M82" i="5" s="1"/>
  <c r="D81" i="5"/>
  <c r="M81" i="5" s="1"/>
  <c r="D80" i="5"/>
  <c r="M80" i="5" s="1"/>
  <c r="M31" i="5"/>
  <c r="K31" i="5"/>
  <c r="L31" i="5" s="1"/>
  <c r="N31" i="5" s="1"/>
  <c r="J31" i="5"/>
  <c r="E31" i="5"/>
  <c r="I31" i="5" s="1"/>
  <c r="D31" i="5"/>
  <c r="M30" i="5"/>
  <c r="K30" i="5"/>
  <c r="L30" i="5" s="1"/>
  <c r="N30" i="5" s="1"/>
  <c r="J30" i="5"/>
  <c r="E30" i="5"/>
  <c r="I30" i="5" s="1"/>
  <c r="D30" i="5"/>
  <c r="M29" i="5"/>
  <c r="K29" i="5"/>
  <c r="L29" i="5" s="1"/>
  <c r="N29" i="5" s="1"/>
  <c r="J29" i="5"/>
  <c r="E29" i="5"/>
  <c r="F29" i="5" s="1"/>
  <c r="D29" i="5"/>
  <c r="M28" i="5"/>
  <c r="K28" i="5"/>
  <c r="L28" i="5" s="1"/>
  <c r="N28" i="5" s="1"/>
  <c r="J28" i="5"/>
  <c r="E28" i="5"/>
  <c r="H28" i="5" s="1"/>
  <c r="D28" i="5"/>
  <c r="M27" i="5"/>
  <c r="K27" i="5"/>
  <c r="L27" i="5" s="1"/>
  <c r="N27" i="5" s="1"/>
  <c r="J27" i="5"/>
  <c r="E27" i="5"/>
  <c r="H27" i="5" s="1"/>
  <c r="D27" i="5"/>
  <c r="M26" i="5"/>
  <c r="K26" i="5"/>
  <c r="L26" i="5" s="1"/>
  <c r="N26" i="5" s="1"/>
  <c r="J26" i="5"/>
  <c r="E26" i="5"/>
  <c r="I26" i="5" s="1"/>
  <c r="D26" i="5"/>
  <c r="M25" i="5"/>
  <c r="K25" i="5"/>
  <c r="L25" i="5" s="1"/>
  <c r="N25" i="5" s="1"/>
  <c r="J25" i="5"/>
  <c r="E25" i="5"/>
  <c r="H25" i="5" s="1"/>
  <c r="D25" i="5"/>
  <c r="D24" i="5"/>
  <c r="M24" i="5" s="1"/>
  <c r="D23" i="5"/>
  <c r="M23" i="5" s="1"/>
  <c r="D22" i="5"/>
  <c r="M22" i="5" s="1"/>
  <c r="M89" i="5"/>
  <c r="K89" i="5"/>
  <c r="L89" i="5" s="1"/>
  <c r="N89" i="5" s="1"/>
  <c r="J89" i="5"/>
  <c r="E89" i="5"/>
  <c r="I89" i="5" s="1"/>
  <c r="M88" i="5"/>
  <c r="K88" i="5"/>
  <c r="L88" i="5" s="1"/>
  <c r="N88" i="5" s="1"/>
  <c r="J88" i="5"/>
  <c r="E88" i="5"/>
  <c r="F88" i="5" s="1"/>
  <c r="M87" i="5"/>
  <c r="K87" i="5"/>
  <c r="L87" i="5" s="1"/>
  <c r="N87" i="5" s="1"/>
  <c r="J87" i="5"/>
  <c r="E87" i="5"/>
  <c r="I87" i="5" s="1"/>
  <c r="M86" i="5"/>
  <c r="K86" i="5"/>
  <c r="L86" i="5" s="1"/>
  <c r="N86" i="5" s="1"/>
  <c r="J86" i="5"/>
  <c r="E86" i="5"/>
  <c r="H86" i="5" s="1"/>
  <c r="M85" i="5"/>
  <c r="K85" i="5"/>
  <c r="L85" i="5" s="1"/>
  <c r="N85" i="5" s="1"/>
  <c r="J85" i="5"/>
  <c r="E85" i="5"/>
  <c r="H85" i="5" s="1"/>
  <c r="M84" i="5"/>
  <c r="K84" i="5"/>
  <c r="L84" i="5" s="1"/>
  <c r="N84" i="5" s="1"/>
  <c r="J84" i="5"/>
  <c r="E84" i="5"/>
  <c r="F84" i="5" s="1"/>
  <c r="M83" i="5"/>
  <c r="K83" i="5"/>
  <c r="L83" i="5" s="1"/>
  <c r="N83" i="5" s="1"/>
  <c r="J83" i="5"/>
  <c r="E83" i="5"/>
  <c r="I83" i="5" s="1"/>
  <c r="M727" i="5"/>
  <c r="K727" i="5"/>
  <c r="L727" i="5" s="1"/>
  <c r="N727" i="5" s="1"/>
  <c r="J727" i="5"/>
  <c r="E727" i="5"/>
  <c r="I727" i="5" s="1"/>
  <c r="M726" i="5"/>
  <c r="K726" i="5"/>
  <c r="L726" i="5" s="1"/>
  <c r="N726" i="5" s="1"/>
  <c r="J726" i="5"/>
  <c r="E726" i="5"/>
  <c r="I726" i="5" s="1"/>
  <c r="M725" i="5"/>
  <c r="K725" i="5"/>
  <c r="L725" i="5" s="1"/>
  <c r="N725" i="5" s="1"/>
  <c r="J725" i="5"/>
  <c r="E725" i="5"/>
  <c r="I725" i="5" s="1"/>
  <c r="M724" i="5"/>
  <c r="K724" i="5"/>
  <c r="L724" i="5" s="1"/>
  <c r="N724" i="5" s="1"/>
  <c r="J724" i="5"/>
  <c r="E724" i="5"/>
  <c r="F724" i="5" s="1"/>
  <c r="M723" i="5"/>
  <c r="K723" i="5"/>
  <c r="L723" i="5" s="1"/>
  <c r="N723" i="5" s="1"/>
  <c r="J723" i="5"/>
  <c r="E723" i="5"/>
  <c r="I723" i="5" s="1"/>
  <c r="M722" i="5"/>
  <c r="K722" i="5"/>
  <c r="L722" i="5" s="1"/>
  <c r="N722" i="5" s="1"/>
  <c r="J722" i="5"/>
  <c r="E722" i="5"/>
  <c r="I722" i="5" s="1"/>
  <c r="M721" i="5"/>
  <c r="K721" i="5"/>
  <c r="L721" i="5" s="1"/>
  <c r="N721" i="5" s="1"/>
  <c r="J721" i="5"/>
  <c r="E721" i="5"/>
  <c r="F721" i="5" s="1"/>
  <c r="M720" i="5"/>
  <c r="K720" i="5"/>
  <c r="L720" i="5" s="1"/>
  <c r="N720" i="5" s="1"/>
  <c r="J720" i="5"/>
  <c r="E720" i="5"/>
  <c r="I720" i="5" s="1"/>
  <c r="M719" i="5"/>
  <c r="K719" i="5"/>
  <c r="L719" i="5" s="1"/>
  <c r="N719" i="5" s="1"/>
  <c r="J719" i="5"/>
  <c r="E719" i="5"/>
  <c r="H719" i="5" s="1"/>
  <c r="M718" i="5"/>
  <c r="K718" i="5"/>
  <c r="L718" i="5" s="1"/>
  <c r="N718" i="5" s="1"/>
  <c r="J718" i="5"/>
  <c r="E718" i="5"/>
  <c r="I718" i="5" s="1"/>
  <c r="M669" i="5"/>
  <c r="K669" i="5"/>
  <c r="L669" i="5" s="1"/>
  <c r="N669" i="5" s="1"/>
  <c r="J669" i="5"/>
  <c r="E669" i="5"/>
  <c r="F669" i="5" s="1"/>
  <c r="M668" i="5"/>
  <c r="K668" i="5"/>
  <c r="L668" i="5" s="1"/>
  <c r="N668" i="5" s="1"/>
  <c r="J668" i="5"/>
  <c r="E668" i="5"/>
  <c r="I668" i="5" s="1"/>
  <c r="M667" i="5"/>
  <c r="K667" i="5"/>
  <c r="L667" i="5" s="1"/>
  <c r="N667" i="5" s="1"/>
  <c r="J667" i="5"/>
  <c r="E667" i="5"/>
  <c r="I667" i="5" s="1"/>
  <c r="M666" i="5"/>
  <c r="K666" i="5"/>
  <c r="L666" i="5" s="1"/>
  <c r="N666" i="5" s="1"/>
  <c r="J666" i="5"/>
  <c r="E666" i="5"/>
  <c r="H666" i="5" s="1"/>
  <c r="M665" i="5"/>
  <c r="K665" i="5"/>
  <c r="L665" i="5" s="1"/>
  <c r="N665" i="5" s="1"/>
  <c r="J665" i="5"/>
  <c r="E665" i="5"/>
  <c r="I665" i="5" s="1"/>
  <c r="M664" i="5"/>
  <c r="K664" i="5"/>
  <c r="L664" i="5" s="1"/>
  <c r="N664" i="5" s="1"/>
  <c r="J664" i="5"/>
  <c r="E664" i="5"/>
  <c r="I664" i="5" s="1"/>
  <c r="M663" i="5"/>
  <c r="K663" i="5"/>
  <c r="L663" i="5" s="1"/>
  <c r="N663" i="5" s="1"/>
  <c r="J663" i="5"/>
  <c r="E663" i="5"/>
  <c r="H663" i="5" s="1"/>
  <c r="M662" i="5"/>
  <c r="K662" i="5"/>
  <c r="L662" i="5" s="1"/>
  <c r="N662" i="5" s="1"/>
  <c r="J662" i="5"/>
  <c r="E662" i="5"/>
  <c r="I662" i="5" s="1"/>
  <c r="M661" i="5"/>
  <c r="K661" i="5"/>
  <c r="L661" i="5" s="1"/>
  <c r="N661" i="5" s="1"/>
  <c r="J661" i="5"/>
  <c r="E661" i="5"/>
  <c r="I661" i="5" s="1"/>
  <c r="M660" i="5"/>
  <c r="K660" i="5"/>
  <c r="L660" i="5" s="1"/>
  <c r="N660" i="5" s="1"/>
  <c r="J660" i="5"/>
  <c r="E660" i="5"/>
  <c r="H660" i="5" s="1"/>
  <c r="M611" i="5"/>
  <c r="K611" i="5"/>
  <c r="L611" i="5" s="1"/>
  <c r="N611" i="5" s="1"/>
  <c r="J611" i="5"/>
  <c r="E611" i="5"/>
  <c r="I611" i="5" s="1"/>
  <c r="M610" i="5"/>
  <c r="K610" i="5"/>
  <c r="L610" i="5" s="1"/>
  <c r="N610" i="5" s="1"/>
  <c r="J610" i="5"/>
  <c r="E610" i="5"/>
  <c r="I610" i="5" s="1"/>
  <c r="M609" i="5"/>
  <c r="K609" i="5"/>
  <c r="L609" i="5" s="1"/>
  <c r="N609" i="5" s="1"/>
  <c r="J609" i="5"/>
  <c r="E609" i="5"/>
  <c r="I609" i="5" s="1"/>
  <c r="M608" i="5"/>
  <c r="K608" i="5"/>
  <c r="L608" i="5" s="1"/>
  <c r="N608" i="5" s="1"/>
  <c r="J608" i="5"/>
  <c r="E608" i="5"/>
  <c r="F608" i="5" s="1"/>
  <c r="M607" i="5"/>
  <c r="K607" i="5"/>
  <c r="L607" i="5" s="1"/>
  <c r="N607" i="5" s="1"/>
  <c r="J607" i="5"/>
  <c r="E607" i="5"/>
  <c r="I607" i="5" s="1"/>
  <c r="M606" i="5"/>
  <c r="K606" i="5"/>
  <c r="L606" i="5" s="1"/>
  <c r="N606" i="5" s="1"/>
  <c r="J606" i="5"/>
  <c r="E606" i="5"/>
  <c r="I606" i="5" s="1"/>
  <c r="M605" i="5"/>
  <c r="K605" i="5"/>
  <c r="L605" i="5" s="1"/>
  <c r="N605" i="5" s="1"/>
  <c r="J605" i="5"/>
  <c r="E605" i="5"/>
  <c r="F605" i="5" s="1"/>
  <c r="M604" i="5"/>
  <c r="K604" i="5"/>
  <c r="L604" i="5" s="1"/>
  <c r="N604" i="5" s="1"/>
  <c r="J604" i="5"/>
  <c r="E604" i="5"/>
  <c r="I604" i="5" s="1"/>
  <c r="M603" i="5"/>
  <c r="J603" i="5"/>
  <c r="E603" i="5"/>
  <c r="I603" i="5" s="1"/>
  <c r="J602" i="5"/>
  <c r="E602" i="5"/>
  <c r="F602" i="5" s="1"/>
  <c r="M553" i="5"/>
  <c r="K553" i="5"/>
  <c r="L553" i="5" s="1"/>
  <c r="N553" i="5" s="1"/>
  <c r="J553" i="5"/>
  <c r="E553" i="5"/>
  <c r="I553" i="5" s="1"/>
  <c r="M552" i="5"/>
  <c r="K552" i="5"/>
  <c r="L552" i="5" s="1"/>
  <c r="N552" i="5" s="1"/>
  <c r="J552" i="5"/>
  <c r="E552" i="5"/>
  <c r="I552" i="5" s="1"/>
  <c r="M551" i="5"/>
  <c r="K551" i="5"/>
  <c r="L551" i="5" s="1"/>
  <c r="N551" i="5" s="1"/>
  <c r="J551" i="5"/>
  <c r="E551" i="5"/>
  <c r="I551" i="5" s="1"/>
  <c r="M550" i="5"/>
  <c r="K550" i="5"/>
  <c r="L550" i="5" s="1"/>
  <c r="N550" i="5" s="1"/>
  <c r="J550" i="5"/>
  <c r="E550" i="5"/>
  <c r="H550" i="5" s="1"/>
  <c r="M549" i="5"/>
  <c r="K549" i="5"/>
  <c r="L549" i="5" s="1"/>
  <c r="N549" i="5" s="1"/>
  <c r="J549" i="5"/>
  <c r="E549" i="5"/>
  <c r="H549" i="5" s="1"/>
  <c r="M548" i="5"/>
  <c r="K548" i="5"/>
  <c r="L548" i="5" s="1"/>
  <c r="N548" i="5" s="1"/>
  <c r="J548" i="5"/>
  <c r="E548" i="5"/>
  <c r="H548" i="5" s="1"/>
  <c r="M547" i="5"/>
  <c r="K547" i="5"/>
  <c r="L547" i="5" s="1"/>
  <c r="N547" i="5" s="1"/>
  <c r="J547" i="5"/>
  <c r="E547" i="5"/>
  <c r="F547" i="5" s="1"/>
  <c r="M546" i="5"/>
  <c r="K546" i="5"/>
  <c r="L546" i="5" s="1"/>
  <c r="N546" i="5" s="1"/>
  <c r="J546" i="5"/>
  <c r="E546" i="5"/>
  <c r="I546" i="5" s="1"/>
  <c r="M545" i="5"/>
  <c r="K545" i="5"/>
  <c r="L545" i="5" s="1"/>
  <c r="N545" i="5" s="1"/>
  <c r="J545" i="5"/>
  <c r="E545" i="5"/>
  <c r="I545" i="5" s="1"/>
  <c r="J544" i="5"/>
  <c r="E544" i="5"/>
  <c r="H544" i="5" s="1"/>
  <c r="M495" i="5"/>
  <c r="K495" i="5"/>
  <c r="L495" i="5" s="1"/>
  <c r="N495" i="5" s="1"/>
  <c r="J495" i="5"/>
  <c r="E495" i="5"/>
  <c r="I495" i="5" s="1"/>
  <c r="M494" i="5"/>
  <c r="K494" i="5"/>
  <c r="L494" i="5" s="1"/>
  <c r="N494" i="5" s="1"/>
  <c r="J494" i="5"/>
  <c r="E494" i="5"/>
  <c r="H494" i="5" s="1"/>
  <c r="M493" i="5"/>
  <c r="K493" i="5"/>
  <c r="L493" i="5" s="1"/>
  <c r="N493" i="5" s="1"/>
  <c r="J493" i="5"/>
  <c r="E493" i="5"/>
  <c r="H493" i="5" s="1"/>
  <c r="M492" i="5"/>
  <c r="K492" i="5"/>
  <c r="L492" i="5" s="1"/>
  <c r="N492" i="5" s="1"/>
  <c r="J492" i="5"/>
  <c r="E492" i="5"/>
  <c r="I492" i="5" s="1"/>
  <c r="M491" i="5"/>
  <c r="K491" i="5"/>
  <c r="L491" i="5" s="1"/>
  <c r="N491" i="5" s="1"/>
  <c r="J491" i="5"/>
  <c r="E491" i="5"/>
  <c r="H491" i="5" s="1"/>
  <c r="M490" i="5"/>
  <c r="K490" i="5"/>
  <c r="L490" i="5" s="1"/>
  <c r="N490" i="5" s="1"/>
  <c r="J490" i="5"/>
  <c r="E490" i="5"/>
  <c r="I490" i="5" s="1"/>
  <c r="M489" i="5"/>
  <c r="K489" i="5"/>
  <c r="L489" i="5" s="1"/>
  <c r="N489" i="5" s="1"/>
  <c r="J489" i="5"/>
  <c r="E489" i="5"/>
  <c r="I489" i="5" s="1"/>
  <c r="M488" i="5"/>
  <c r="K488" i="5"/>
  <c r="L488" i="5" s="1"/>
  <c r="N488" i="5" s="1"/>
  <c r="J488" i="5"/>
  <c r="E488" i="5"/>
  <c r="H488" i="5" s="1"/>
  <c r="M487" i="5"/>
  <c r="J487" i="5"/>
  <c r="E487" i="5"/>
  <c r="H487" i="5" s="1"/>
  <c r="J486" i="5"/>
  <c r="M437" i="5"/>
  <c r="K437" i="5"/>
  <c r="L437" i="5" s="1"/>
  <c r="N437" i="5" s="1"/>
  <c r="J437" i="5"/>
  <c r="E437" i="5"/>
  <c r="H437" i="5" s="1"/>
  <c r="M436" i="5"/>
  <c r="K436" i="5"/>
  <c r="L436" i="5" s="1"/>
  <c r="N436" i="5" s="1"/>
  <c r="J436" i="5"/>
  <c r="E436" i="5"/>
  <c r="I436" i="5" s="1"/>
  <c r="M435" i="5"/>
  <c r="K435" i="5"/>
  <c r="L435" i="5" s="1"/>
  <c r="N435" i="5" s="1"/>
  <c r="J435" i="5"/>
  <c r="E435" i="5"/>
  <c r="I435" i="5" s="1"/>
  <c r="M434" i="5"/>
  <c r="K434" i="5"/>
  <c r="L434" i="5" s="1"/>
  <c r="N434" i="5" s="1"/>
  <c r="J434" i="5"/>
  <c r="E434" i="5"/>
  <c r="H434" i="5" s="1"/>
  <c r="M433" i="5"/>
  <c r="K433" i="5"/>
  <c r="L433" i="5" s="1"/>
  <c r="N433" i="5" s="1"/>
  <c r="J433" i="5"/>
  <c r="E433" i="5"/>
  <c r="H433" i="5" s="1"/>
  <c r="M432" i="5"/>
  <c r="K432" i="5"/>
  <c r="L432" i="5" s="1"/>
  <c r="N432" i="5" s="1"/>
  <c r="J432" i="5"/>
  <c r="E432" i="5"/>
  <c r="F432" i="5" s="1"/>
  <c r="M431" i="5"/>
  <c r="E428" i="5"/>
  <c r="H428" i="5" s="1"/>
  <c r="M379" i="5"/>
  <c r="J379" i="5"/>
  <c r="E379" i="5"/>
  <c r="I379" i="5" s="1"/>
  <c r="M378" i="5"/>
  <c r="J378" i="5"/>
  <c r="E378" i="5"/>
  <c r="H378" i="5" s="1"/>
  <c r="M377" i="5"/>
  <c r="K377" i="5"/>
  <c r="L377" i="5" s="1"/>
  <c r="N377" i="5" s="1"/>
  <c r="J377" i="5"/>
  <c r="E377" i="5"/>
  <c r="I377" i="5" s="1"/>
  <c r="M376" i="5"/>
  <c r="K376" i="5"/>
  <c r="L376" i="5" s="1"/>
  <c r="N376" i="5" s="1"/>
  <c r="J376" i="5"/>
  <c r="E376" i="5"/>
  <c r="H376" i="5" s="1"/>
  <c r="M375" i="5"/>
  <c r="K375" i="5"/>
  <c r="L375" i="5" s="1"/>
  <c r="N375" i="5" s="1"/>
  <c r="J375" i="5"/>
  <c r="E375" i="5"/>
  <c r="I375" i="5" s="1"/>
  <c r="M374" i="5"/>
  <c r="K374" i="5"/>
  <c r="L374" i="5" s="1"/>
  <c r="N374" i="5" s="1"/>
  <c r="J374" i="5"/>
  <c r="E374" i="5"/>
  <c r="I374" i="5" s="1"/>
  <c r="M373" i="5"/>
  <c r="K373" i="5"/>
  <c r="L373" i="5" s="1"/>
  <c r="N373" i="5" s="1"/>
  <c r="J373" i="5"/>
  <c r="E373" i="5"/>
  <c r="I373" i="5" s="1"/>
  <c r="M372" i="5"/>
  <c r="K372" i="5"/>
  <c r="L372" i="5" s="1"/>
  <c r="N372" i="5" s="1"/>
  <c r="J372" i="5"/>
  <c r="E372" i="5"/>
  <c r="H372" i="5" s="1"/>
  <c r="M371" i="5"/>
  <c r="J371" i="5"/>
  <c r="E371" i="5"/>
  <c r="I371" i="5" s="1"/>
  <c r="J370" i="5"/>
  <c r="E370" i="5"/>
  <c r="H370" i="5" s="1"/>
  <c r="M321" i="5"/>
  <c r="K321" i="5"/>
  <c r="L321" i="5" s="1"/>
  <c r="N321" i="5" s="1"/>
  <c r="J321" i="5"/>
  <c r="E321" i="5"/>
  <c r="I321" i="5" s="1"/>
  <c r="M320" i="5"/>
  <c r="K320" i="5"/>
  <c r="L320" i="5" s="1"/>
  <c r="N320" i="5" s="1"/>
  <c r="J320" i="5"/>
  <c r="E320" i="5"/>
  <c r="I320" i="5" s="1"/>
  <c r="M319" i="5"/>
  <c r="K319" i="5"/>
  <c r="L319" i="5" s="1"/>
  <c r="N319" i="5" s="1"/>
  <c r="J319" i="5"/>
  <c r="E319" i="5"/>
  <c r="F319" i="5" s="1"/>
  <c r="M318" i="5"/>
  <c r="K318" i="5"/>
  <c r="L318" i="5" s="1"/>
  <c r="N318" i="5" s="1"/>
  <c r="J318" i="5"/>
  <c r="E318" i="5"/>
  <c r="H318" i="5" s="1"/>
  <c r="M317" i="5"/>
  <c r="K317" i="5"/>
  <c r="L317" i="5" s="1"/>
  <c r="N317" i="5" s="1"/>
  <c r="J317" i="5"/>
  <c r="E317" i="5"/>
  <c r="I317" i="5" s="1"/>
  <c r="M316" i="5"/>
  <c r="K316" i="5"/>
  <c r="L316" i="5" s="1"/>
  <c r="N316" i="5" s="1"/>
  <c r="J316" i="5"/>
  <c r="E316" i="5"/>
  <c r="H316" i="5" s="1"/>
  <c r="M315" i="5"/>
  <c r="K315" i="5"/>
  <c r="L315" i="5" s="1"/>
  <c r="N315" i="5" s="1"/>
  <c r="J315" i="5"/>
  <c r="E315" i="5"/>
  <c r="I315" i="5" s="1"/>
  <c r="M314" i="5"/>
  <c r="K314" i="5"/>
  <c r="L314" i="5" s="1"/>
  <c r="N314" i="5" s="1"/>
  <c r="J314" i="5"/>
  <c r="E314" i="5"/>
  <c r="I314" i="5" s="1"/>
  <c r="J313" i="5"/>
  <c r="E313" i="5"/>
  <c r="F313" i="5" s="1"/>
  <c r="J312" i="5"/>
  <c r="E312" i="5"/>
  <c r="H312" i="5" s="1"/>
  <c r="J263" i="5"/>
  <c r="E263" i="5"/>
  <c r="I263" i="5" s="1"/>
  <c r="M263" i="5"/>
  <c r="M262" i="5"/>
  <c r="K262" i="5"/>
  <c r="L262" i="5" s="1"/>
  <c r="N262" i="5" s="1"/>
  <c r="J262" i="5"/>
  <c r="E262" i="5"/>
  <c r="H262" i="5" s="1"/>
  <c r="M261" i="5"/>
  <c r="K261" i="5"/>
  <c r="L261" i="5" s="1"/>
  <c r="N261" i="5" s="1"/>
  <c r="J261" i="5"/>
  <c r="E261" i="5"/>
  <c r="F261" i="5" s="1"/>
  <c r="M260" i="5"/>
  <c r="K260" i="5"/>
  <c r="L260" i="5" s="1"/>
  <c r="N260" i="5" s="1"/>
  <c r="J260" i="5"/>
  <c r="E260" i="5"/>
  <c r="F260" i="5" s="1"/>
  <c r="M259" i="5"/>
  <c r="K259" i="5"/>
  <c r="L259" i="5" s="1"/>
  <c r="N259" i="5" s="1"/>
  <c r="J259" i="5"/>
  <c r="E259" i="5"/>
  <c r="H259" i="5" s="1"/>
  <c r="M258" i="5"/>
  <c r="K258" i="5"/>
  <c r="L258" i="5" s="1"/>
  <c r="N258" i="5" s="1"/>
  <c r="J258" i="5"/>
  <c r="E258" i="5"/>
  <c r="I258" i="5" s="1"/>
  <c r="M257" i="5"/>
  <c r="K257" i="5"/>
  <c r="L257" i="5" s="1"/>
  <c r="N257" i="5" s="1"/>
  <c r="J257" i="5"/>
  <c r="E257" i="5"/>
  <c r="I257" i="5" s="1"/>
  <c r="M256" i="5"/>
  <c r="K256" i="5"/>
  <c r="L256" i="5" s="1"/>
  <c r="N256" i="5" s="1"/>
  <c r="J256" i="5"/>
  <c r="E256" i="5"/>
  <c r="H256" i="5" s="1"/>
  <c r="M205" i="5"/>
  <c r="K205" i="5"/>
  <c r="L205" i="5" s="1"/>
  <c r="N205" i="5" s="1"/>
  <c r="J205" i="5"/>
  <c r="E205" i="5"/>
  <c r="I205" i="5" s="1"/>
  <c r="M204" i="5"/>
  <c r="K204" i="5"/>
  <c r="L204" i="5" s="1"/>
  <c r="N204" i="5" s="1"/>
  <c r="J204" i="5"/>
  <c r="E204" i="5"/>
  <c r="F204" i="5" s="1"/>
  <c r="M203" i="5"/>
  <c r="K203" i="5"/>
  <c r="L203" i="5" s="1"/>
  <c r="N203" i="5" s="1"/>
  <c r="J203" i="5"/>
  <c r="E203" i="5"/>
  <c r="I203" i="5" s="1"/>
  <c r="M202" i="5"/>
  <c r="K202" i="5"/>
  <c r="L202" i="5" s="1"/>
  <c r="N202" i="5" s="1"/>
  <c r="J202" i="5"/>
  <c r="E202" i="5"/>
  <c r="H202" i="5" s="1"/>
  <c r="M201" i="5"/>
  <c r="K201" i="5"/>
  <c r="L201" i="5" s="1"/>
  <c r="N201" i="5" s="1"/>
  <c r="J201" i="5"/>
  <c r="E201" i="5"/>
  <c r="F201" i="5" s="1"/>
  <c r="M200" i="5"/>
  <c r="K200" i="5"/>
  <c r="L200" i="5" s="1"/>
  <c r="N200" i="5" s="1"/>
  <c r="J200" i="5"/>
  <c r="E200" i="5"/>
  <c r="F200" i="5" s="1"/>
  <c r="M199" i="5"/>
  <c r="K199" i="5"/>
  <c r="L199" i="5" s="1"/>
  <c r="N199" i="5" s="1"/>
  <c r="J199" i="5"/>
  <c r="E199" i="5"/>
  <c r="I199" i="5" s="1"/>
  <c r="M198" i="5"/>
  <c r="J147" i="5"/>
  <c r="J146" i="5"/>
  <c r="J145" i="5"/>
  <c r="J144" i="5"/>
  <c r="J143" i="5"/>
  <c r="J142" i="5"/>
  <c r="J141" i="5"/>
  <c r="E147" i="5"/>
  <c r="H147" i="5" s="1"/>
  <c r="E146" i="5"/>
  <c r="H146" i="5" s="1"/>
  <c r="E145" i="5"/>
  <c r="H145" i="5" s="1"/>
  <c r="E144" i="5"/>
  <c r="F144" i="5" s="1"/>
  <c r="E143" i="5"/>
  <c r="H143" i="5" s="1"/>
  <c r="E142" i="5"/>
  <c r="F142" i="5" s="1"/>
  <c r="E141" i="5"/>
  <c r="F141" i="5" s="1"/>
  <c r="E41" i="2"/>
  <c r="H41" i="2" s="1"/>
  <c r="E36" i="2"/>
  <c r="F36" i="2" s="1"/>
  <c r="E35" i="2"/>
  <c r="F35" i="2" s="1"/>
  <c r="E34" i="2"/>
  <c r="F34" i="2" s="1"/>
  <c r="E33" i="2"/>
  <c r="H33" i="2" s="1"/>
  <c r="J41" i="2"/>
  <c r="J36" i="2"/>
  <c r="J35" i="2"/>
  <c r="J34" i="2"/>
  <c r="J33" i="2"/>
  <c r="C78" i="26"/>
  <c r="B78" i="26"/>
  <c r="A78" i="26"/>
  <c r="C77" i="26"/>
  <c r="B77" i="26"/>
  <c r="A77" i="26"/>
  <c r="C76" i="26"/>
  <c r="B76" i="26"/>
  <c r="A76" i="26"/>
  <c r="C75" i="26"/>
  <c r="B75" i="26"/>
  <c r="A75" i="26"/>
  <c r="C74" i="26"/>
  <c r="B74" i="26"/>
  <c r="A74" i="26"/>
  <c r="C73" i="26"/>
  <c r="B73" i="26"/>
  <c r="A73" i="26"/>
  <c r="C72" i="26"/>
  <c r="B72" i="26"/>
  <c r="A72" i="26"/>
  <c r="C71" i="26"/>
  <c r="B71" i="26"/>
  <c r="A71" i="26"/>
  <c r="C70" i="26"/>
  <c r="B70" i="26"/>
  <c r="A70" i="26"/>
  <c r="C69" i="26"/>
  <c r="B69" i="26"/>
  <c r="A69" i="26"/>
  <c r="C68" i="26"/>
  <c r="B68" i="26"/>
  <c r="A68" i="26"/>
  <c r="C67" i="26"/>
  <c r="B67" i="26"/>
  <c r="A67" i="26"/>
  <c r="C66" i="26"/>
  <c r="B66" i="26"/>
  <c r="D41" i="3" s="1"/>
  <c r="I41" i="3" s="1"/>
  <c r="A66" i="26"/>
  <c r="C65" i="26"/>
  <c r="B65" i="26"/>
  <c r="A65" i="26"/>
  <c r="C64" i="26"/>
  <c r="E486" i="5" s="1"/>
  <c r="I486" i="5" s="1"/>
  <c r="B64" i="26"/>
  <c r="E31" i="2" s="1"/>
  <c r="H31" i="2" s="1"/>
  <c r="A64" i="26"/>
  <c r="K53" i="26"/>
  <c r="J53" i="26"/>
  <c r="I53" i="26"/>
  <c r="H53" i="26"/>
  <c r="G53" i="26"/>
  <c r="F53" i="26"/>
  <c r="E53" i="26"/>
  <c r="D53" i="26"/>
  <c r="C53" i="26"/>
  <c r="B53" i="26"/>
  <c r="K52" i="26"/>
  <c r="J52" i="26"/>
  <c r="I52" i="26"/>
  <c r="H52" i="26"/>
  <c r="G52" i="26"/>
  <c r="F52" i="26"/>
  <c r="E52" i="26"/>
  <c r="D52" i="26"/>
  <c r="C52" i="26"/>
  <c r="B52" i="26"/>
  <c r="K37" i="26"/>
  <c r="J37" i="26"/>
  <c r="I37" i="26"/>
  <c r="H37" i="26"/>
  <c r="G37" i="26"/>
  <c r="F37" i="26"/>
  <c r="E37" i="26"/>
  <c r="D37" i="26"/>
  <c r="C37" i="26"/>
  <c r="B37" i="26"/>
  <c r="K36" i="26"/>
  <c r="J36" i="26"/>
  <c r="I36" i="26"/>
  <c r="H36" i="26"/>
  <c r="G36" i="26"/>
  <c r="F36" i="26"/>
  <c r="E36" i="26"/>
  <c r="D36" i="26"/>
  <c r="C36" i="26"/>
  <c r="B36" i="26"/>
  <c r="K21" i="26"/>
  <c r="J21" i="26"/>
  <c r="I21" i="26"/>
  <c r="H21" i="26"/>
  <c r="G21" i="26"/>
  <c r="F21" i="26"/>
  <c r="E21" i="26"/>
  <c r="D21" i="26"/>
  <c r="C21" i="26"/>
  <c r="B21" i="26"/>
  <c r="K20" i="26"/>
  <c r="J20" i="26"/>
  <c r="I20" i="26"/>
  <c r="H20" i="26"/>
  <c r="G20" i="26"/>
  <c r="F20" i="26"/>
  <c r="E20" i="26"/>
  <c r="D20" i="26"/>
  <c r="C20" i="26"/>
  <c r="B20" i="26"/>
  <c r="C8" i="26"/>
  <c r="C6" i="26"/>
  <c r="C4" i="26"/>
  <c r="E32" i="2" l="1"/>
  <c r="F32" i="2" s="1"/>
  <c r="E23" i="2"/>
  <c r="F23" i="2" s="1"/>
  <c r="E140" i="5"/>
  <c r="H140" i="5" s="1"/>
  <c r="E82" i="5"/>
  <c r="I82" i="5" s="1"/>
  <c r="E24" i="5"/>
  <c r="I24" i="5" s="1"/>
  <c r="E25" i="2"/>
  <c r="F25" i="2" s="1"/>
  <c r="E26" i="2"/>
  <c r="F26" i="2" s="1"/>
  <c r="E24" i="2"/>
  <c r="F24" i="2" s="1"/>
  <c r="E198" i="5"/>
  <c r="H198" i="5" s="1"/>
  <c r="E37" i="2"/>
  <c r="H37" i="2" s="1"/>
  <c r="E38" i="2"/>
  <c r="F38" i="2" s="1"/>
  <c r="E39" i="2"/>
  <c r="H39" i="2" s="1"/>
  <c r="E40" i="2"/>
  <c r="H40" i="2" s="1"/>
  <c r="E197" i="5"/>
  <c r="I197" i="5" s="1"/>
  <c r="E22" i="2"/>
  <c r="H22" i="2" s="1"/>
  <c r="E196" i="5"/>
  <c r="H196" i="5" s="1"/>
  <c r="E254" i="5"/>
  <c r="F254" i="5" s="1"/>
  <c r="E255" i="5"/>
  <c r="I255" i="5" s="1"/>
  <c r="E138" i="5"/>
  <c r="H138" i="5" s="1"/>
  <c r="E80" i="5"/>
  <c r="H80" i="5" s="1"/>
  <c r="E27" i="2"/>
  <c r="F27" i="2" s="1"/>
  <c r="E139" i="5"/>
  <c r="H139" i="5" s="1"/>
  <c r="E28" i="2"/>
  <c r="F28" i="2" s="1"/>
  <c r="E81" i="5"/>
  <c r="I81" i="5" s="1"/>
  <c r="E29" i="2"/>
  <c r="F29" i="2" s="1"/>
  <c r="E30" i="2"/>
  <c r="H30" i="2" s="1"/>
  <c r="E22" i="5"/>
  <c r="H22" i="5" s="1"/>
  <c r="D30" i="3"/>
  <c r="I30" i="3" s="1"/>
  <c r="E23" i="5"/>
  <c r="F23" i="5" s="1"/>
  <c r="D18" i="3"/>
  <c r="H18" i="3" s="1"/>
  <c r="E429" i="5"/>
  <c r="I429" i="5" s="1"/>
  <c r="E430" i="5"/>
  <c r="I430" i="5" s="1"/>
  <c r="E431" i="5"/>
  <c r="H431" i="5" s="1"/>
  <c r="J431" i="5"/>
  <c r="J183" i="5"/>
  <c r="H590" i="5"/>
  <c r="J822" i="5"/>
  <c r="J529" i="5"/>
  <c r="J239" i="5"/>
  <c r="J184" i="5"/>
  <c r="H885" i="5"/>
  <c r="I885" i="5" s="1"/>
  <c r="J123" i="5"/>
  <c r="H532" i="5"/>
  <c r="I532" i="5" s="1"/>
  <c r="J354" i="5"/>
  <c r="J238" i="5"/>
  <c r="A28" i="24"/>
  <c r="L649" i="5"/>
  <c r="J357" i="5"/>
  <c r="J647" i="5"/>
  <c r="J236" i="5"/>
  <c r="J642" i="5"/>
  <c r="J121" i="5"/>
  <c r="J643" i="5"/>
  <c r="D75" i="26"/>
  <c r="A27" i="24"/>
  <c r="L648" i="5"/>
  <c r="J7" i="5"/>
  <c r="J644" i="5"/>
  <c r="J587" i="5"/>
  <c r="J645" i="5"/>
  <c r="J472" i="5"/>
  <c r="J646" i="5"/>
  <c r="H769" i="5"/>
  <c r="I769" i="5" s="1"/>
  <c r="J413" i="5"/>
  <c r="J242" i="5"/>
  <c r="J648" i="5"/>
  <c r="J474" i="5"/>
  <c r="J353" i="5"/>
  <c r="H943" i="5"/>
  <c r="I943" i="5" s="1"/>
  <c r="H827" i="5"/>
  <c r="I827" i="5" s="1"/>
  <c r="A30" i="24"/>
  <c r="L651" i="5"/>
  <c r="L244" i="5"/>
  <c r="L650" i="5"/>
  <c r="D76" i="26"/>
  <c r="D74" i="26"/>
  <c r="H416" i="5"/>
  <c r="L941" i="5"/>
  <c r="L303" i="5"/>
  <c r="L709" i="5"/>
  <c r="J878" i="5"/>
  <c r="L184" i="5"/>
  <c r="L358" i="5"/>
  <c r="J124" i="5"/>
  <c r="L359" i="5"/>
  <c r="J62" i="5"/>
  <c r="H358" i="5"/>
  <c r="I358" i="5" s="1"/>
  <c r="L822" i="5"/>
  <c r="L361" i="5"/>
  <c r="J63" i="5"/>
  <c r="H648" i="5"/>
  <c r="L823" i="5"/>
  <c r="L535" i="5"/>
  <c r="J298" i="5"/>
  <c r="J68" i="5"/>
  <c r="L707" i="5"/>
  <c r="J414" i="5"/>
  <c r="J762" i="5"/>
  <c r="J468" i="5"/>
  <c r="L68" i="5"/>
  <c r="L767" i="5"/>
  <c r="L69" i="5"/>
  <c r="J701" i="5"/>
  <c r="L474" i="5"/>
  <c r="J9" i="5"/>
  <c r="H706" i="5"/>
  <c r="I706" i="5" s="1"/>
  <c r="J702" i="5"/>
  <c r="L475" i="5"/>
  <c r="L245" i="5"/>
  <c r="L14" i="5"/>
  <c r="I892" i="5"/>
  <c r="H951" i="5"/>
  <c r="K951" i="5" s="1"/>
  <c r="L951" i="5" s="1"/>
  <c r="N951" i="5" s="1"/>
  <c r="I898" i="5"/>
  <c r="H898" i="5"/>
  <c r="I951" i="5"/>
  <c r="F894" i="5"/>
  <c r="H894" i="5"/>
  <c r="H892" i="5"/>
  <c r="H957" i="5"/>
  <c r="I957" i="5"/>
  <c r="H242" i="5"/>
  <c r="A29" i="24"/>
  <c r="L418" i="5"/>
  <c r="L13" i="5"/>
  <c r="L766" i="5"/>
  <c r="L302" i="5"/>
  <c r="L592" i="5"/>
  <c r="L186" i="5"/>
  <c r="L476" i="5"/>
  <c r="L940" i="5"/>
  <c r="L70" i="5"/>
  <c r="L824" i="5"/>
  <c r="L360" i="5"/>
  <c r="L708" i="5"/>
  <c r="L534" i="5"/>
  <c r="L128" i="5"/>
  <c r="L882" i="5"/>
  <c r="H184" i="5"/>
  <c r="H900" i="5"/>
  <c r="J821" i="5"/>
  <c r="J700" i="5"/>
  <c r="J706" i="5"/>
  <c r="J527" i="5"/>
  <c r="L533" i="5"/>
  <c r="J412" i="5"/>
  <c r="L419" i="5"/>
  <c r="J297" i="5"/>
  <c r="L242" i="5"/>
  <c r="J182" i="5"/>
  <c r="J67" i="5"/>
  <c r="J299" i="5"/>
  <c r="J876" i="5"/>
  <c r="L883" i="5"/>
  <c r="J761" i="5"/>
  <c r="L706" i="5"/>
  <c r="J588" i="5"/>
  <c r="J473" i="5"/>
  <c r="J352" i="5"/>
  <c r="J358" i="5"/>
  <c r="J237" i="5"/>
  <c r="L243" i="5"/>
  <c r="J122" i="5"/>
  <c r="L129" i="5"/>
  <c r="J8" i="5"/>
  <c r="H952" i="5"/>
  <c r="H958" i="5"/>
  <c r="J763" i="5"/>
  <c r="J584" i="5"/>
  <c r="J469" i="5"/>
  <c r="J10" i="5"/>
  <c r="J818" i="5"/>
  <c r="L825" i="5"/>
  <c r="J703" i="5"/>
  <c r="L590" i="5"/>
  <c r="J530" i="5"/>
  <c r="J415" i="5"/>
  <c r="J294" i="5"/>
  <c r="J300" i="5"/>
  <c r="J179" i="5"/>
  <c r="L185" i="5"/>
  <c r="J64" i="5"/>
  <c r="L71" i="5"/>
  <c r="L939" i="5"/>
  <c r="J879" i="5"/>
  <c r="J758" i="5"/>
  <c r="J764" i="5"/>
  <c r="J585" i="5"/>
  <c r="L591" i="5"/>
  <c r="J470" i="5"/>
  <c r="L477" i="5"/>
  <c r="J355" i="5"/>
  <c r="L300" i="5"/>
  <c r="J240" i="5"/>
  <c r="J125" i="5"/>
  <c r="J5" i="5"/>
  <c r="J11" i="5"/>
  <c r="L938" i="5"/>
  <c r="J819" i="5"/>
  <c r="L764" i="5"/>
  <c r="J704" i="5"/>
  <c r="J531" i="5"/>
  <c r="J410" i="5"/>
  <c r="J416" i="5"/>
  <c r="J295" i="5"/>
  <c r="L301" i="5"/>
  <c r="J180" i="5"/>
  <c r="L187" i="5"/>
  <c r="J65" i="5"/>
  <c r="L11" i="5"/>
  <c r="J874" i="5"/>
  <c r="J880" i="5"/>
  <c r="J759" i="5"/>
  <c r="L765" i="5"/>
  <c r="J586" i="5"/>
  <c r="J471" i="5"/>
  <c r="L416" i="5"/>
  <c r="J356" i="5"/>
  <c r="J241" i="5"/>
  <c r="J120" i="5"/>
  <c r="J126" i="5"/>
  <c r="J6" i="5"/>
  <c r="L12" i="5"/>
  <c r="J178" i="5"/>
  <c r="L880" i="5"/>
  <c r="J820" i="5"/>
  <c r="J705" i="5"/>
  <c r="J526" i="5"/>
  <c r="J532" i="5"/>
  <c r="J411" i="5"/>
  <c r="L417" i="5"/>
  <c r="J296" i="5"/>
  <c r="J181" i="5"/>
  <c r="L126" i="5"/>
  <c r="J66" i="5"/>
  <c r="J875" i="5"/>
  <c r="L881" i="5"/>
  <c r="J760" i="5"/>
  <c r="L532" i="5"/>
  <c r="L127" i="5"/>
  <c r="J932" i="5"/>
  <c r="H938" i="5"/>
  <c r="I938" i="5" s="1"/>
  <c r="J936" i="5"/>
  <c r="J933" i="5"/>
  <c r="J934" i="5"/>
  <c r="J935" i="5"/>
  <c r="H940" i="5"/>
  <c r="F956" i="5"/>
  <c r="H956" i="5"/>
  <c r="I950" i="5"/>
  <c r="F836" i="5"/>
  <c r="I901" i="5"/>
  <c r="F842" i="5"/>
  <c r="I895" i="5"/>
  <c r="I899" i="5"/>
  <c r="H954" i="5"/>
  <c r="H842" i="5"/>
  <c r="I893" i="5"/>
  <c r="F953" i="5"/>
  <c r="I954" i="5"/>
  <c r="F959" i="5"/>
  <c r="F950" i="5"/>
  <c r="I955" i="5"/>
  <c r="J937" i="5"/>
  <c r="H953" i="5"/>
  <c r="H959" i="5"/>
  <c r="F952" i="5"/>
  <c r="F958" i="5"/>
  <c r="F955" i="5"/>
  <c r="F900" i="5"/>
  <c r="J938" i="5"/>
  <c r="H822" i="5"/>
  <c r="I822" i="5" s="1"/>
  <c r="H880" i="5"/>
  <c r="I880" i="5" s="1"/>
  <c r="H882" i="5"/>
  <c r="H841" i="5"/>
  <c r="F785" i="5"/>
  <c r="H823" i="5"/>
  <c r="I823" i="5" s="1"/>
  <c r="I835" i="5"/>
  <c r="H893" i="5"/>
  <c r="H899" i="5"/>
  <c r="H764" i="5"/>
  <c r="I764" i="5" s="1"/>
  <c r="F897" i="5"/>
  <c r="F777" i="5"/>
  <c r="I783" i="5"/>
  <c r="H785" i="5"/>
  <c r="H897" i="5"/>
  <c r="H777" i="5"/>
  <c r="I843" i="5"/>
  <c r="F896" i="5"/>
  <c r="I841" i="5"/>
  <c r="H896" i="5"/>
  <c r="H836" i="5"/>
  <c r="F895" i="5"/>
  <c r="F901" i="5"/>
  <c r="H783" i="5"/>
  <c r="H765" i="5"/>
  <c r="I765" i="5" s="1"/>
  <c r="I837" i="5"/>
  <c r="H780" i="5"/>
  <c r="H824" i="5"/>
  <c r="I780" i="5"/>
  <c r="H835" i="5"/>
  <c r="H825" i="5"/>
  <c r="I825" i="5" s="1"/>
  <c r="H766" i="5"/>
  <c r="F834" i="5"/>
  <c r="F840" i="5"/>
  <c r="F779" i="5"/>
  <c r="I834" i="5"/>
  <c r="I840" i="5"/>
  <c r="H779" i="5"/>
  <c r="L777" i="5"/>
  <c r="N777" i="5" s="1"/>
  <c r="F838" i="5"/>
  <c r="I839" i="5"/>
  <c r="F781" i="5"/>
  <c r="H838" i="5"/>
  <c r="H781" i="5"/>
  <c r="F837" i="5"/>
  <c r="F843" i="5"/>
  <c r="F839" i="5"/>
  <c r="H767" i="5"/>
  <c r="I767" i="5" s="1"/>
  <c r="F776" i="5"/>
  <c r="F782" i="5"/>
  <c r="H776" i="5"/>
  <c r="H782" i="5"/>
  <c r="F778" i="5"/>
  <c r="F784" i="5"/>
  <c r="H778" i="5"/>
  <c r="H784" i="5"/>
  <c r="H300" i="5"/>
  <c r="D68" i="26"/>
  <c r="D69" i="26"/>
  <c r="J254" i="5" s="1"/>
  <c r="D72" i="26"/>
  <c r="H474" i="5"/>
  <c r="I474" i="5" s="1"/>
  <c r="I27" i="5"/>
  <c r="D67" i="26"/>
  <c r="J38" i="2" s="1"/>
  <c r="D73" i="26"/>
  <c r="D71" i="26"/>
  <c r="J255" i="5" s="1"/>
  <c r="D66" i="26"/>
  <c r="J31" i="2" s="1"/>
  <c r="D78" i="26"/>
  <c r="I85" i="5"/>
  <c r="D64" i="26"/>
  <c r="J428" i="5" s="1"/>
  <c r="F26" i="5"/>
  <c r="I549" i="5"/>
  <c r="H26" i="5"/>
  <c r="H23" i="2"/>
  <c r="H141" i="5"/>
  <c r="H435" i="5"/>
  <c r="H724" i="5"/>
  <c r="I313" i="5"/>
  <c r="I724" i="5"/>
  <c r="I86" i="5"/>
  <c r="I88" i="5"/>
  <c r="I202" i="5"/>
  <c r="H88" i="5"/>
  <c r="I262" i="5"/>
  <c r="F28" i="5"/>
  <c r="H142" i="5"/>
  <c r="I318" i="5"/>
  <c r="F723" i="5"/>
  <c r="H144" i="5"/>
  <c r="H723" i="5"/>
  <c r="F85" i="5"/>
  <c r="F27" i="5"/>
  <c r="I493" i="5"/>
  <c r="I28" i="5"/>
  <c r="I608" i="5"/>
  <c r="H29" i="5"/>
  <c r="F41" i="2"/>
  <c r="I29" i="5"/>
  <c r="F25" i="5"/>
  <c r="F31" i="5"/>
  <c r="H31" i="5"/>
  <c r="I25" i="5"/>
  <c r="F30" i="5"/>
  <c r="H30" i="5"/>
  <c r="H84" i="5"/>
  <c r="F83" i="5"/>
  <c r="I84" i="5"/>
  <c r="F89" i="5"/>
  <c r="H83" i="5"/>
  <c r="H89" i="5"/>
  <c r="F87" i="5"/>
  <c r="H87" i="5"/>
  <c r="F86" i="5"/>
  <c r="F262" i="5"/>
  <c r="I666" i="5"/>
  <c r="F609" i="5"/>
  <c r="F375" i="5"/>
  <c r="F603" i="5"/>
  <c r="K603" i="5" s="1"/>
  <c r="L603" i="5" s="1"/>
  <c r="N603" i="5" s="1"/>
  <c r="H609" i="5"/>
  <c r="I487" i="5"/>
  <c r="K487" i="5" s="1"/>
  <c r="L487" i="5" s="1"/>
  <c r="N487" i="5" s="1"/>
  <c r="H722" i="5"/>
  <c r="H201" i="5"/>
  <c r="I201" i="5"/>
  <c r="I256" i="5"/>
  <c r="H375" i="5"/>
  <c r="I544" i="5"/>
  <c r="H603" i="5"/>
  <c r="H261" i="5"/>
  <c r="F371" i="5"/>
  <c r="F143" i="5"/>
  <c r="I261" i="5"/>
  <c r="H319" i="5"/>
  <c r="F549" i="5"/>
  <c r="H313" i="5"/>
  <c r="K313" i="5" s="1"/>
  <c r="L313" i="5" s="1"/>
  <c r="N313" i="5" s="1"/>
  <c r="I319" i="5"/>
  <c r="H608" i="5"/>
  <c r="H34" i="2"/>
  <c r="I433" i="5"/>
  <c r="H35" i="2"/>
  <c r="I370" i="5"/>
  <c r="K370" i="5" s="1"/>
  <c r="L370" i="5" s="1"/>
  <c r="N370" i="5" s="1"/>
  <c r="I372" i="5"/>
  <c r="F377" i="5"/>
  <c r="H602" i="5"/>
  <c r="G41" i="3"/>
  <c r="I312" i="5"/>
  <c r="I602" i="5"/>
  <c r="F718" i="5"/>
  <c r="H718" i="5"/>
  <c r="F374" i="5"/>
  <c r="I550" i="5"/>
  <c r="F722" i="5"/>
  <c r="I428" i="5"/>
  <c r="I434" i="5"/>
  <c r="I488" i="5"/>
  <c r="I494" i="5"/>
  <c r="H36" i="2"/>
  <c r="F145" i="5"/>
  <c r="I376" i="5"/>
  <c r="I378" i="5"/>
  <c r="I660" i="5"/>
  <c r="F146" i="5"/>
  <c r="F147" i="5"/>
  <c r="F317" i="5"/>
  <c r="F607" i="5"/>
  <c r="F665" i="5"/>
  <c r="F256" i="5"/>
  <c r="H260" i="5"/>
  <c r="H317" i="5"/>
  <c r="F433" i="5"/>
  <c r="F487" i="5"/>
  <c r="F493" i="5"/>
  <c r="H607" i="5"/>
  <c r="H665" i="5"/>
  <c r="I719" i="5"/>
  <c r="E41" i="3"/>
  <c r="F41" i="3"/>
  <c r="H41" i="3"/>
  <c r="F727" i="5"/>
  <c r="H721" i="5"/>
  <c r="H727" i="5"/>
  <c r="F720" i="5"/>
  <c r="I721" i="5"/>
  <c r="H720" i="5"/>
  <c r="H726" i="5"/>
  <c r="F726" i="5"/>
  <c r="F719" i="5"/>
  <c r="F725" i="5"/>
  <c r="H725" i="5"/>
  <c r="F664" i="5"/>
  <c r="H664" i="5"/>
  <c r="H669" i="5"/>
  <c r="I663" i="5"/>
  <c r="I669" i="5"/>
  <c r="H668" i="5"/>
  <c r="F663" i="5"/>
  <c r="F662" i="5"/>
  <c r="F668" i="5"/>
  <c r="H662" i="5"/>
  <c r="F661" i="5"/>
  <c r="F667" i="5"/>
  <c r="H661" i="5"/>
  <c r="H667" i="5"/>
  <c r="F660" i="5"/>
  <c r="F666" i="5"/>
  <c r="H606" i="5"/>
  <c r="F611" i="5"/>
  <c r="H605" i="5"/>
  <c r="H611" i="5"/>
  <c r="F604" i="5"/>
  <c r="I605" i="5"/>
  <c r="F610" i="5"/>
  <c r="H604" i="5"/>
  <c r="H610" i="5"/>
  <c r="F606" i="5"/>
  <c r="F548" i="5"/>
  <c r="F553" i="5"/>
  <c r="H547" i="5"/>
  <c r="H553" i="5"/>
  <c r="F546" i="5"/>
  <c r="I547" i="5"/>
  <c r="F552" i="5"/>
  <c r="H546" i="5"/>
  <c r="H552" i="5"/>
  <c r="F545" i="5"/>
  <c r="F551" i="5"/>
  <c r="I548" i="5"/>
  <c r="H545" i="5"/>
  <c r="H551" i="5"/>
  <c r="F544" i="5"/>
  <c r="F550" i="5"/>
  <c r="F486" i="5"/>
  <c r="F492" i="5"/>
  <c r="H486" i="5"/>
  <c r="H492" i="5"/>
  <c r="F491" i="5"/>
  <c r="F490" i="5"/>
  <c r="I491" i="5"/>
  <c r="H490" i="5"/>
  <c r="F489" i="5"/>
  <c r="F495" i="5"/>
  <c r="H489" i="5"/>
  <c r="H495" i="5"/>
  <c r="F488" i="5"/>
  <c r="F494" i="5"/>
  <c r="F436" i="5"/>
  <c r="H436" i="5"/>
  <c r="H432" i="5"/>
  <c r="I437" i="5"/>
  <c r="F435" i="5"/>
  <c r="I432" i="5"/>
  <c r="F437" i="5"/>
  <c r="F428" i="5"/>
  <c r="F434" i="5"/>
  <c r="H374" i="5"/>
  <c r="F373" i="5"/>
  <c r="F379" i="5"/>
  <c r="H373" i="5"/>
  <c r="H379" i="5"/>
  <c r="F372" i="5"/>
  <c r="F378" i="5"/>
  <c r="H371" i="5"/>
  <c r="H377" i="5"/>
  <c r="F370" i="5"/>
  <c r="F376" i="5"/>
  <c r="I316" i="5"/>
  <c r="F320" i="5"/>
  <c r="H314" i="5"/>
  <c r="H320" i="5"/>
  <c r="F316" i="5"/>
  <c r="F315" i="5"/>
  <c r="F321" i="5"/>
  <c r="H315" i="5"/>
  <c r="H321" i="5"/>
  <c r="F314" i="5"/>
  <c r="F312" i="5"/>
  <c r="F318" i="5"/>
  <c r="F259" i="5"/>
  <c r="I260" i="5"/>
  <c r="F258" i="5"/>
  <c r="I259" i="5"/>
  <c r="H258" i="5"/>
  <c r="F257" i="5"/>
  <c r="F263" i="5"/>
  <c r="K263" i="5" s="1"/>
  <c r="L263" i="5" s="1"/>
  <c r="N263" i="5" s="1"/>
  <c r="H257" i="5"/>
  <c r="H263" i="5"/>
  <c r="I200" i="5"/>
  <c r="F205" i="5"/>
  <c r="H199" i="5"/>
  <c r="H205" i="5"/>
  <c r="F203" i="5"/>
  <c r="I204" i="5"/>
  <c r="H200" i="5"/>
  <c r="F199" i="5"/>
  <c r="H204" i="5"/>
  <c r="H203" i="5"/>
  <c r="F202" i="5"/>
  <c r="F31" i="2"/>
  <c r="H32" i="2"/>
  <c r="F33" i="2"/>
  <c r="D65" i="26"/>
  <c r="D70" i="26"/>
  <c r="J196" i="5" s="1"/>
  <c r="D77" i="26"/>
  <c r="F197" i="5" l="1"/>
  <c r="F22" i="2"/>
  <c r="H25" i="2"/>
  <c r="J41" i="3"/>
  <c r="H197" i="5"/>
  <c r="F40" i="2"/>
  <c r="F198" i="5"/>
  <c r="I198" i="5"/>
  <c r="F39" i="2"/>
  <c r="F140" i="5"/>
  <c r="H24" i="5"/>
  <c r="F24" i="5"/>
  <c r="H24" i="2"/>
  <c r="H26" i="2"/>
  <c r="H82" i="5"/>
  <c r="F82" i="5"/>
  <c r="F196" i="5"/>
  <c r="I196" i="5"/>
  <c r="J32" i="2"/>
  <c r="J82" i="5"/>
  <c r="J140" i="5"/>
  <c r="J26" i="2"/>
  <c r="F37" i="2"/>
  <c r="J25" i="2"/>
  <c r="K198" i="5"/>
  <c r="L198" i="5" s="1"/>
  <c r="N198" i="5" s="1"/>
  <c r="J24" i="2"/>
  <c r="H38" i="2"/>
  <c r="J24" i="5"/>
  <c r="J429" i="5"/>
  <c r="J23" i="2"/>
  <c r="J40" i="2"/>
  <c r="H28" i="2"/>
  <c r="J39" i="2"/>
  <c r="J37" i="2"/>
  <c r="J198" i="5"/>
  <c r="G18" i="3"/>
  <c r="I254" i="5"/>
  <c r="H254" i="5"/>
  <c r="J197" i="5"/>
  <c r="I80" i="5"/>
  <c r="F80" i="5"/>
  <c r="F255" i="5"/>
  <c r="E30" i="3"/>
  <c r="H30" i="3"/>
  <c r="I22" i="5"/>
  <c r="G30" i="3"/>
  <c r="H23" i="5"/>
  <c r="F30" i="3"/>
  <c r="H255" i="5"/>
  <c r="F139" i="5"/>
  <c r="F30" i="2"/>
  <c r="H81" i="5"/>
  <c r="H29" i="2"/>
  <c r="F81" i="5"/>
  <c r="I138" i="5"/>
  <c r="F138" i="5"/>
  <c r="F22" i="5"/>
  <c r="J22" i="5"/>
  <c r="H27" i="2"/>
  <c r="J81" i="5"/>
  <c r="I23" i="5"/>
  <c r="J80" i="5"/>
  <c r="J139" i="5"/>
  <c r="J23" i="5"/>
  <c r="E18" i="3"/>
  <c r="J138" i="5"/>
  <c r="J22" i="2"/>
  <c r="J30" i="2"/>
  <c r="J27" i="2"/>
  <c r="J29" i="2"/>
  <c r="J28" i="2"/>
  <c r="F431" i="5"/>
  <c r="I431" i="5"/>
  <c r="K431" i="5" s="1"/>
  <c r="L431" i="5" s="1"/>
  <c r="N431" i="5" s="1"/>
  <c r="F429" i="5"/>
  <c r="H429" i="5"/>
  <c r="H430" i="5"/>
  <c r="J430" i="5"/>
  <c r="F430" i="5"/>
  <c r="K430" i="5" s="1"/>
  <c r="L430" i="5" s="1"/>
  <c r="N430" i="5" s="1"/>
  <c r="K429" i="5"/>
  <c r="L429" i="5" s="1"/>
  <c r="N429" i="5" s="1"/>
  <c r="K544" i="5"/>
  <c r="L544" i="5" s="1"/>
  <c r="N544" i="5" s="1"/>
  <c r="K602" i="5"/>
  <c r="L602" i="5" s="1"/>
  <c r="N602" i="5" s="1"/>
  <c r="K371" i="5"/>
  <c r="L371" i="5" s="1"/>
  <c r="N371" i="5" s="1"/>
  <c r="K379" i="5"/>
  <c r="L379" i="5" s="1"/>
  <c r="N379" i="5" s="1"/>
  <c r="K893" i="5"/>
  <c r="L893" i="5" s="1"/>
  <c r="N893" i="5" s="1"/>
  <c r="K892" i="5"/>
  <c r="K950" i="5"/>
  <c r="K378" i="5"/>
  <c r="L378" i="5" s="1"/>
  <c r="N378" i="5" s="1"/>
  <c r="I824" i="5"/>
  <c r="H828" i="5"/>
  <c r="I828" i="5" s="1"/>
  <c r="H829" i="5"/>
  <c r="I829" i="5" s="1"/>
  <c r="I882" i="5"/>
  <c r="I766" i="5"/>
  <c r="H771" i="5"/>
  <c r="I771" i="5" s="1"/>
  <c r="H770" i="5"/>
  <c r="I770" i="5" s="1"/>
  <c r="I940" i="5"/>
  <c r="K486" i="5"/>
  <c r="L486" i="5" s="1"/>
  <c r="N486" i="5" s="1"/>
  <c r="K312" i="5"/>
  <c r="L312" i="5" s="1"/>
  <c r="N312" i="5" s="1"/>
  <c r="K428" i="5"/>
  <c r="L428" i="5" s="1"/>
  <c r="N428" i="5" s="1"/>
  <c r="K24" i="5" l="1"/>
  <c r="L24" i="5" s="1"/>
  <c r="N24" i="5" s="1"/>
  <c r="K82" i="5"/>
  <c r="L82" i="5" s="1"/>
  <c r="N82" i="5" s="1"/>
  <c r="K196" i="5"/>
  <c r="L196" i="5" s="1"/>
  <c r="N196" i="5" s="1"/>
  <c r="K197" i="5"/>
  <c r="L197" i="5" s="1"/>
  <c r="N197" i="5" s="1"/>
  <c r="K80" i="5"/>
  <c r="L80" i="5" s="1"/>
  <c r="N80" i="5" s="1"/>
  <c r="K254" i="5"/>
  <c r="L254" i="5" s="1"/>
  <c r="N254" i="5" s="1"/>
  <c r="J30" i="3"/>
  <c r="K255" i="5"/>
  <c r="L255" i="5" s="1"/>
  <c r="N255" i="5" s="1"/>
  <c r="K81" i="5"/>
  <c r="L81" i="5" s="1"/>
  <c r="N81" i="5" s="1"/>
  <c r="K22" i="5"/>
  <c r="L22" i="5" s="1"/>
  <c r="N22" i="5" s="1"/>
  <c r="K23" i="5"/>
  <c r="L23" i="5" s="1"/>
  <c r="N23" i="5" s="1"/>
  <c r="H881" i="5"/>
  <c r="I881" i="5" s="1"/>
  <c r="L892" i="5"/>
  <c r="N892" i="5" s="1"/>
  <c r="L950" i="5"/>
  <c r="N950" i="5" s="1"/>
  <c r="H939" i="5"/>
  <c r="C826" i="5"/>
  <c r="C50" i="1" s="1"/>
  <c r="C768" i="5"/>
  <c r="C48" i="1" s="1"/>
  <c r="M41" i="2"/>
  <c r="M40" i="2"/>
  <c r="M39" i="2"/>
  <c r="M38" i="2"/>
  <c r="M37" i="2"/>
  <c r="M36" i="2"/>
  <c r="M35" i="2"/>
  <c r="M34" i="2"/>
  <c r="M33" i="2"/>
  <c r="M32" i="2"/>
  <c r="M31" i="2"/>
  <c r="M30" i="2"/>
  <c r="M29" i="2"/>
  <c r="M28" i="2"/>
  <c r="M27" i="2"/>
  <c r="M26" i="2"/>
  <c r="M25" i="2"/>
  <c r="M24" i="2"/>
  <c r="M23" i="2"/>
  <c r="M22" i="2"/>
  <c r="H10" i="2" l="1"/>
  <c r="B27" i="24"/>
  <c r="C27" i="24" s="1"/>
  <c r="E27" i="24" s="1"/>
  <c r="G48" i="1"/>
  <c r="B28" i="24"/>
  <c r="G50" i="1"/>
  <c r="I939" i="5"/>
  <c r="F12" i="18"/>
  <c r="B12" i="18"/>
  <c r="D27" i="24" l="1"/>
  <c r="F27" i="24" s="1"/>
  <c r="G27" i="24"/>
  <c r="H27" i="24" s="1"/>
  <c r="D28" i="24"/>
  <c r="F28" i="24" s="1"/>
  <c r="C28" i="24"/>
  <c r="H362" i="5"/>
  <c r="I362" i="5" s="1"/>
  <c r="M75" i="2"/>
  <c r="M74" i="2"/>
  <c r="M73" i="2"/>
  <c r="G28" i="24" l="1"/>
  <c r="H28" i="24" s="1"/>
  <c r="E28" i="24"/>
  <c r="B46" i="1"/>
  <c r="B44" i="1"/>
  <c r="B705" i="5"/>
  <c r="L647" i="5" s="1"/>
  <c r="B647" i="5"/>
  <c r="L646" i="5" s="1"/>
  <c r="G754" i="5"/>
  <c r="G697" i="5"/>
  <c r="G696" i="5"/>
  <c r="G639" i="5"/>
  <c r="I752" i="5"/>
  <c r="I751" i="5"/>
  <c r="D751" i="5"/>
  <c r="E751" i="5" s="1"/>
  <c r="D750" i="5"/>
  <c r="E750" i="5" s="1"/>
  <c r="D749" i="5"/>
  <c r="E749" i="5" s="1"/>
  <c r="D748" i="5"/>
  <c r="E748" i="5" s="1"/>
  <c r="M747" i="5"/>
  <c r="L747" i="5"/>
  <c r="K747" i="5"/>
  <c r="D747" i="5"/>
  <c r="E747" i="5" s="1"/>
  <c r="D746" i="5"/>
  <c r="E746" i="5" s="1"/>
  <c r="D745" i="5"/>
  <c r="E745" i="5" s="1"/>
  <c r="D744" i="5"/>
  <c r="E744" i="5" s="1"/>
  <c r="D743" i="5"/>
  <c r="E743" i="5" s="1"/>
  <c r="D742" i="5"/>
  <c r="E742" i="5" s="1"/>
  <c r="K741" i="5"/>
  <c r="L741" i="5" s="1"/>
  <c r="D741" i="5"/>
  <c r="E741" i="5" s="1"/>
  <c r="K740" i="5"/>
  <c r="L740" i="5" s="1"/>
  <c r="D740" i="5"/>
  <c r="E740" i="5" s="1"/>
  <c r="K739" i="5"/>
  <c r="L739" i="5" s="1"/>
  <c r="D739" i="5"/>
  <c r="E739" i="5" s="1"/>
  <c r="K738" i="5"/>
  <c r="L738" i="5" s="1"/>
  <c r="D738" i="5"/>
  <c r="E738" i="5" s="1"/>
  <c r="K737" i="5"/>
  <c r="L737" i="5" s="1"/>
  <c r="D737" i="5"/>
  <c r="E737" i="5" s="1"/>
  <c r="K736" i="5"/>
  <c r="L736" i="5" s="1"/>
  <c r="D736" i="5"/>
  <c r="E736" i="5" s="1"/>
  <c r="K735" i="5"/>
  <c r="L735" i="5" s="1"/>
  <c r="D735" i="5"/>
  <c r="E735" i="5" s="1"/>
  <c r="D734" i="5"/>
  <c r="E734" i="5" s="1"/>
  <c r="D733" i="5"/>
  <c r="E733" i="5" s="1"/>
  <c r="D732" i="5"/>
  <c r="E732" i="5" s="1"/>
  <c r="C708" i="5"/>
  <c r="C712" i="5" s="1"/>
  <c r="E46" i="1" s="1"/>
  <c r="C703" i="5"/>
  <c r="C701" i="5"/>
  <c r="C699" i="5"/>
  <c r="I694" i="5"/>
  <c r="I693" i="5"/>
  <c r="D693" i="5"/>
  <c r="E693" i="5" s="1"/>
  <c r="D692" i="5"/>
  <c r="E692" i="5" s="1"/>
  <c r="D691" i="5"/>
  <c r="E691" i="5" s="1"/>
  <c r="D690" i="5"/>
  <c r="E690" i="5" s="1"/>
  <c r="M689" i="5"/>
  <c r="L689" i="5"/>
  <c r="K689" i="5"/>
  <c r="D689" i="5"/>
  <c r="E689" i="5" s="1"/>
  <c r="D688" i="5"/>
  <c r="E688" i="5" s="1"/>
  <c r="D687" i="5"/>
  <c r="E687" i="5" s="1"/>
  <c r="D686" i="5"/>
  <c r="E686" i="5" s="1"/>
  <c r="D685" i="5"/>
  <c r="E685" i="5" s="1"/>
  <c r="D684" i="5"/>
  <c r="E684" i="5" s="1"/>
  <c r="K683" i="5"/>
  <c r="L683" i="5" s="1"/>
  <c r="D683" i="5"/>
  <c r="E683" i="5" s="1"/>
  <c r="K682" i="5"/>
  <c r="L682" i="5" s="1"/>
  <c r="D682" i="5"/>
  <c r="E682" i="5" s="1"/>
  <c r="K681" i="5"/>
  <c r="L681" i="5" s="1"/>
  <c r="D681" i="5"/>
  <c r="E681" i="5" s="1"/>
  <c r="K680" i="5"/>
  <c r="L680" i="5" s="1"/>
  <c r="D680" i="5"/>
  <c r="E680" i="5" s="1"/>
  <c r="K679" i="5"/>
  <c r="L679" i="5" s="1"/>
  <c r="D679" i="5"/>
  <c r="E679" i="5" s="1"/>
  <c r="K678" i="5"/>
  <c r="L678" i="5" s="1"/>
  <c r="D678" i="5"/>
  <c r="E678" i="5" s="1"/>
  <c r="K677" i="5"/>
  <c r="L677" i="5" s="1"/>
  <c r="D677" i="5"/>
  <c r="E677" i="5" s="1"/>
  <c r="D676" i="5"/>
  <c r="E676" i="5" s="1"/>
  <c r="D675" i="5"/>
  <c r="E675" i="5" s="1"/>
  <c r="D674" i="5"/>
  <c r="E674" i="5" s="1"/>
  <c r="C650" i="5"/>
  <c r="C654" i="5" s="1"/>
  <c r="E44" i="1" s="1"/>
  <c r="C645" i="5"/>
  <c r="C643" i="5"/>
  <c r="C641" i="5"/>
  <c r="K16" i="23"/>
  <c r="K15" i="23"/>
  <c r="K14" i="23"/>
  <c r="K13" i="23"/>
  <c r="K12" i="23"/>
  <c r="L16" i="23"/>
  <c r="L15" i="23"/>
  <c r="L14" i="23"/>
  <c r="L13" i="23"/>
  <c r="L12" i="23"/>
  <c r="K625" i="5"/>
  <c r="L625" i="5" s="1"/>
  <c r="K624" i="5"/>
  <c r="L624" i="5" s="1"/>
  <c r="K623" i="5"/>
  <c r="L623" i="5" s="1"/>
  <c r="K622" i="5"/>
  <c r="L622" i="5" s="1"/>
  <c r="K621" i="5"/>
  <c r="L621" i="5" s="1"/>
  <c r="K620" i="5"/>
  <c r="L620" i="5" s="1"/>
  <c r="K567" i="5"/>
  <c r="L567" i="5" s="1"/>
  <c r="K566" i="5"/>
  <c r="L566" i="5" s="1"/>
  <c r="K565" i="5"/>
  <c r="L565" i="5" s="1"/>
  <c r="K564" i="5"/>
  <c r="L564" i="5" s="1"/>
  <c r="K563" i="5"/>
  <c r="L563" i="5" s="1"/>
  <c r="K562" i="5"/>
  <c r="L562" i="5" s="1"/>
  <c r="K561" i="5"/>
  <c r="L561" i="5" s="1"/>
  <c r="K509" i="5"/>
  <c r="L509" i="5" s="1"/>
  <c r="K508" i="5"/>
  <c r="L508" i="5" s="1"/>
  <c r="K507" i="5"/>
  <c r="L507" i="5" s="1"/>
  <c r="K506" i="5"/>
  <c r="L506" i="5" s="1"/>
  <c r="K505" i="5"/>
  <c r="L505" i="5" s="1"/>
  <c r="K504" i="5"/>
  <c r="L504" i="5" s="1"/>
  <c r="K503" i="5"/>
  <c r="L503" i="5" s="1"/>
  <c r="K451" i="5"/>
  <c r="L451" i="5" s="1"/>
  <c r="K450" i="5"/>
  <c r="L450" i="5" s="1"/>
  <c r="K449" i="5"/>
  <c r="L449" i="5" s="1"/>
  <c r="K448" i="5"/>
  <c r="L448" i="5" s="1"/>
  <c r="K447" i="5"/>
  <c r="L447" i="5" s="1"/>
  <c r="K446" i="5"/>
  <c r="L446" i="5" s="1"/>
  <c r="K445" i="5"/>
  <c r="L445" i="5" s="1"/>
  <c r="K393" i="5"/>
  <c r="L393" i="5" s="1"/>
  <c r="K392" i="5"/>
  <c r="L392" i="5" s="1"/>
  <c r="K391" i="5"/>
  <c r="L391" i="5" s="1"/>
  <c r="K390" i="5"/>
  <c r="L390" i="5" s="1"/>
  <c r="K389" i="5"/>
  <c r="L389" i="5" s="1"/>
  <c r="K388" i="5"/>
  <c r="L388" i="5" s="1"/>
  <c r="K387" i="5"/>
  <c r="L387" i="5" s="1"/>
  <c r="K386" i="5"/>
  <c r="L386" i="5" s="1"/>
  <c r="K385" i="5"/>
  <c r="L385" i="5" s="1"/>
  <c r="K384" i="5"/>
  <c r="L384" i="5" s="1"/>
  <c r="K335" i="5"/>
  <c r="L335" i="5" s="1"/>
  <c r="K334" i="5"/>
  <c r="L334" i="5" s="1"/>
  <c r="K333" i="5"/>
  <c r="L333" i="5" s="1"/>
  <c r="K332" i="5"/>
  <c r="L332" i="5" s="1"/>
  <c r="K331" i="5"/>
  <c r="L331" i="5" s="1"/>
  <c r="K330" i="5"/>
  <c r="L330" i="5" s="1"/>
  <c r="K329" i="5"/>
  <c r="L329" i="5" s="1"/>
  <c r="K328" i="5"/>
  <c r="L328" i="5" s="1"/>
  <c r="K277" i="5"/>
  <c r="L277" i="5" s="1"/>
  <c r="K276" i="5"/>
  <c r="L276" i="5" s="1"/>
  <c r="K275" i="5"/>
  <c r="L275" i="5" s="1"/>
  <c r="K274" i="5"/>
  <c r="L274" i="5" s="1"/>
  <c r="K273" i="5"/>
  <c r="L273" i="5" s="1"/>
  <c r="K272" i="5"/>
  <c r="L272" i="5" s="1"/>
  <c r="K271" i="5"/>
  <c r="L271" i="5" s="1"/>
  <c r="K219" i="5"/>
  <c r="L219" i="5" s="1"/>
  <c r="K218" i="5"/>
  <c r="L218" i="5" s="1"/>
  <c r="K217" i="5"/>
  <c r="L217" i="5" s="1"/>
  <c r="K216" i="5"/>
  <c r="L216" i="5" s="1"/>
  <c r="K215" i="5"/>
  <c r="L215" i="5" s="1"/>
  <c r="K214" i="5"/>
  <c r="L214" i="5" s="1"/>
  <c r="K161" i="5"/>
  <c r="L161" i="5" s="1"/>
  <c r="K160" i="5"/>
  <c r="L160" i="5" s="1"/>
  <c r="K159" i="5"/>
  <c r="L159" i="5" s="1"/>
  <c r="K158" i="5"/>
  <c r="L158" i="5" s="1"/>
  <c r="K157" i="5"/>
  <c r="L157" i="5" s="1"/>
  <c r="K156" i="5"/>
  <c r="L156" i="5" s="1"/>
  <c r="K103" i="5"/>
  <c r="L103" i="5" s="1"/>
  <c r="K102" i="5"/>
  <c r="L102" i="5" s="1"/>
  <c r="K101" i="5"/>
  <c r="L101" i="5" s="1"/>
  <c r="K100" i="5"/>
  <c r="L100" i="5" s="1"/>
  <c r="K99" i="5"/>
  <c r="L99" i="5" s="1"/>
  <c r="K45" i="5"/>
  <c r="L45" i="5" s="1"/>
  <c r="K44" i="5"/>
  <c r="L44" i="5" s="1"/>
  <c r="K43" i="5"/>
  <c r="L43" i="5" s="1"/>
  <c r="K42" i="5"/>
  <c r="L42" i="5" s="1"/>
  <c r="K41" i="5"/>
  <c r="L41" i="5" s="1"/>
  <c r="C476" i="5"/>
  <c r="L66" i="5" l="1"/>
  <c r="L820" i="5"/>
  <c r="L356" i="5"/>
  <c r="L704" i="5"/>
  <c r="L240" i="5"/>
  <c r="L530" i="5"/>
  <c r="L124" i="5"/>
  <c r="L878" i="5"/>
  <c r="L414" i="5"/>
  <c r="L9" i="5"/>
  <c r="L298" i="5"/>
  <c r="L182" i="5"/>
  <c r="L762" i="5"/>
  <c r="L472" i="5"/>
  <c r="L936" i="5"/>
  <c r="L588" i="5"/>
  <c r="L705" i="5"/>
  <c r="L241" i="5"/>
  <c r="L531" i="5"/>
  <c r="L125" i="5"/>
  <c r="L879" i="5"/>
  <c r="L415" i="5"/>
  <c r="L10" i="5"/>
  <c r="L763" i="5"/>
  <c r="L299" i="5"/>
  <c r="L589" i="5"/>
  <c r="L183" i="5"/>
  <c r="L67" i="5"/>
  <c r="L821" i="5"/>
  <c r="L357" i="5"/>
  <c r="L937" i="5"/>
  <c r="L473" i="5"/>
  <c r="H653" i="5"/>
  <c r="I653" i="5" s="1"/>
  <c r="H711" i="5"/>
  <c r="I711" i="5" s="1"/>
  <c r="A26" i="24"/>
  <c r="H650" i="5"/>
  <c r="I650" i="5" s="1"/>
  <c r="A25" i="24"/>
  <c r="H708" i="5"/>
  <c r="I708" i="5" s="1"/>
  <c r="I648" i="5"/>
  <c r="I635" i="5"/>
  <c r="I636" i="5"/>
  <c r="I578" i="5"/>
  <c r="I577" i="5"/>
  <c r="I520" i="5"/>
  <c r="I519" i="5"/>
  <c r="I462" i="5"/>
  <c r="I461" i="5"/>
  <c r="I404" i="5"/>
  <c r="I403" i="5"/>
  <c r="I346" i="5"/>
  <c r="I345" i="5"/>
  <c r="I288" i="5"/>
  <c r="I287" i="5"/>
  <c r="I230" i="5"/>
  <c r="I229" i="5"/>
  <c r="I172" i="5"/>
  <c r="I171" i="5"/>
  <c r="I114" i="5"/>
  <c r="I113" i="5"/>
  <c r="I56" i="5"/>
  <c r="I55" i="5"/>
  <c r="H247" i="5" l="1"/>
  <c r="I247" i="5" s="1"/>
  <c r="H131" i="5"/>
  <c r="I131" i="5" s="1"/>
  <c r="H479" i="5"/>
  <c r="I479" i="5" s="1"/>
  <c r="H189" i="5"/>
  <c r="I189" i="5" s="1"/>
  <c r="H537" i="5"/>
  <c r="I537" i="5" s="1"/>
  <c r="H73" i="5"/>
  <c r="I73" i="5" s="1"/>
  <c r="H421" i="5"/>
  <c r="I421" i="5" s="1"/>
  <c r="H595" i="5"/>
  <c r="I595" i="5" s="1"/>
  <c r="H305" i="5"/>
  <c r="I305" i="5" s="1"/>
  <c r="H363" i="5"/>
  <c r="I363" i="5" s="1"/>
  <c r="H707" i="5"/>
  <c r="I707" i="5" s="1"/>
  <c r="C186" i="5"/>
  <c r="H649" i="5" l="1"/>
  <c r="I649" i="5" s="1"/>
  <c r="G13" i="24"/>
  <c r="C302" i="5"/>
  <c r="M147" i="5"/>
  <c r="K147" i="5"/>
  <c r="L147" i="5" s="1"/>
  <c r="N147" i="5" s="1"/>
  <c r="I147" i="5"/>
  <c r="M146" i="5"/>
  <c r="K146" i="5"/>
  <c r="L146" i="5" s="1"/>
  <c r="N146" i="5" s="1"/>
  <c r="I146" i="5"/>
  <c r="M145" i="5"/>
  <c r="K145" i="5"/>
  <c r="L145" i="5" s="1"/>
  <c r="N145" i="5" s="1"/>
  <c r="I145" i="5"/>
  <c r="M144" i="5"/>
  <c r="K144" i="5"/>
  <c r="L144" i="5" s="1"/>
  <c r="N144" i="5" s="1"/>
  <c r="M143" i="5"/>
  <c r="K143" i="5"/>
  <c r="L143" i="5" s="1"/>
  <c r="N143" i="5" s="1"/>
  <c r="I143" i="5"/>
  <c r="M142" i="5"/>
  <c r="K142" i="5"/>
  <c r="L142" i="5" s="1"/>
  <c r="N142" i="5" s="1"/>
  <c r="I142" i="5"/>
  <c r="M141" i="5"/>
  <c r="K141" i="5"/>
  <c r="L141" i="5" s="1"/>
  <c r="N141" i="5" s="1"/>
  <c r="M140" i="5"/>
  <c r="M139" i="5"/>
  <c r="M138" i="5"/>
  <c r="L65" i="2"/>
  <c r="L64" i="2"/>
  <c r="L63" i="2"/>
  <c r="L62" i="2"/>
  <c r="L61" i="2"/>
  <c r="L60" i="2"/>
  <c r="L59" i="2"/>
  <c r="F96" i="21"/>
  <c r="F95" i="21"/>
  <c r="F94" i="21"/>
  <c r="F93" i="21"/>
  <c r="F92" i="21"/>
  <c r="F91" i="21"/>
  <c r="F90" i="21"/>
  <c r="F89" i="21"/>
  <c r="F88" i="21"/>
  <c r="F87" i="21"/>
  <c r="F86" i="21"/>
  <c r="F85" i="21"/>
  <c r="F84" i="21"/>
  <c r="F83" i="21"/>
  <c r="F82" i="21"/>
  <c r="F81" i="21"/>
  <c r="F80" i="21"/>
  <c r="F79" i="21"/>
  <c r="F78" i="21"/>
  <c r="F77" i="21"/>
  <c r="F76" i="21"/>
  <c r="F75" i="21"/>
  <c r="F74" i="21"/>
  <c r="F73" i="21"/>
  <c r="F72" i="21"/>
  <c r="F71" i="21"/>
  <c r="F70" i="21"/>
  <c r="F69" i="21"/>
  <c r="F68" i="21"/>
  <c r="F67" i="21"/>
  <c r="F66" i="21"/>
  <c r="F65" i="21"/>
  <c r="F64" i="21"/>
  <c r="F63" i="21"/>
  <c r="F62" i="21"/>
  <c r="F61" i="21"/>
  <c r="F60" i="21"/>
  <c r="F59" i="21"/>
  <c r="F58" i="21"/>
  <c r="F57" i="21"/>
  <c r="F56" i="21"/>
  <c r="F55" i="21"/>
  <c r="F54" i="21"/>
  <c r="F53" i="21"/>
  <c r="F52" i="21"/>
  <c r="F51" i="21"/>
  <c r="F50" i="21"/>
  <c r="F49" i="21"/>
  <c r="F48" i="21"/>
  <c r="F47" i="21"/>
  <c r="F46" i="21"/>
  <c r="F45" i="21"/>
  <c r="F44" i="21"/>
  <c r="F43" i="21"/>
  <c r="F42" i="21"/>
  <c r="F41" i="21"/>
  <c r="F40" i="21"/>
  <c r="F39" i="21"/>
  <c r="F38" i="21"/>
  <c r="F37" i="21"/>
  <c r="F36" i="21"/>
  <c r="F35" i="21"/>
  <c r="F34" i="21"/>
  <c r="F33" i="21"/>
  <c r="D403" i="5"/>
  <c r="E403" i="5" s="1"/>
  <c r="D402" i="5"/>
  <c r="E402" i="5" s="1"/>
  <c r="D401" i="5"/>
  <c r="E401" i="5" s="1"/>
  <c r="D400" i="5"/>
  <c r="E400" i="5" s="1"/>
  <c r="M399" i="5"/>
  <c r="L399" i="5"/>
  <c r="K399" i="5"/>
  <c r="D399" i="5"/>
  <c r="E399" i="5" s="1"/>
  <c r="M398" i="5"/>
  <c r="L398" i="5"/>
  <c r="K398" i="5"/>
  <c r="D398" i="5"/>
  <c r="E398" i="5" s="1"/>
  <c r="D397" i="5"/>
  <c r="E397" i="5" s="1"/>
  <c r="D396" i="5"/>
  <c r="E396" i="5" s="1"/>
  <c r="D395" i="5"/>
  <c r="E395" i="5" s="1"/>
  <c r="D394" i="5"/>
  <c r="E394" i="5" s="1"/>
  <c r="D393" i="5"/>
  <c r="E393" i="5" s="1"/>
  <c r="D392" i="5"/>
  <c r="E392" i="5" s="1"/>
  <c r="D391" i="5"/>
  <c r="E391" i="5" s="1"/>
  <c r="D390" i="5"/>
  <c r="E390" i="5" s="1"/>
  <c r="D389" i="5"/>
  <c r="E389" i="5" s="1"/>
  <c r="D388" i="5"/>
  <c r="E388" i="5" s="1"/>
  <c r="D387" i="5"/>
  <c r="E387" i="5" s="1"/>
  <c r="D386" i="5"/>
  <c r="E386" i="5" s="1"/>
  <c r="D385" i="5"/>
  <c r="E385" i="5" s="1"/>
  <c r="D384" i="5"/>
  <c r="E384" i="5" s="1"/>
  <c r="D345" i="5"/>
  <c r="E345" i="5" s="1"/>
  <c r="D344" i="5"/>
  <c r="E344" i="5" s="1"/>
  <c r="D343" i="5"/>
  <c r="E343" i="5" s="1"/>
  <c r="D342" i="5"/>
  <c r="E342" i="5" s="1"/>
  <c r="M341" i="5"/>
  <c r="L341" i="5"/>
  <c r="K341" i="5"/>
  <c r="D341" i="5"/>
  <c r="E341" i="5" s="1"/>
  <c r="D340" i="5"/>
  <c r="E340" i="5" s="1"/>
  <c r="D339" i="5"/>
  <c r="E339" i="5" s="1"/>
  <c r="D338" i="5"/>
  <c r="E338" i="5" s="1"/>
  <c r="D337" i="5"/>
  <c r="E337" i="5" s="1"/>
  <c r="D336" i="5"/>
  <c r="E336" i="5" s="1"/>
  <c r="D335" i="5"/>
  <c r="E335" i="5" s="1"/>
  <c r="D334" i="5"/>
  <c r="E334" i="5" s="1"/>
  <c r="D333" i="5"/>
  <c r="E333" i="5" s="1"/>
  <c r="D332" i="5"/>
  <c r="E332" i="5" s="1"/>
  <c r="D331" i="5"/>
  <c r="E331" i="5" s="1"/>
  <c r="D330" i="5"/>
  <c r="E330" i="5" s="1"/>
  <c r="D329" i="5"/>
  <c r="E329" i="5" s="1"/>
  <c r="D328" i="5"/>
  <c r="E328" i="5" s="1"/>
  <c r="D327" i="5"/>
  <c r="E327" i="5" s="1"/>
  <c r="D326" i="5"/>
  <c r="E326" i="5" s="1"/>
  <c r="D635" i="5"/>
  <c r="E635" i="5" s="1"/>
  <c r="D634" i="5"/>
  <c r="E634" i="5" s="1"/>
  <c r="D633" i="5"/>
  <c r="E633" i="5" s="1"/>
  <c r="D632" i="5"/>
  <c r="E632" i="5" s="1"/>
  <c r="M631" i="5"/>
  <c r="L631" i="5"/>
  <c r="K631" i="5"/>
  <c r="D631" i="5"/>
  <c r="E631" i="5" s="1"/>
  <c r="D630" i="5"/>
  <c r="E630" i="5" s="1"/>
  <c r="D629" i="5"/>
  <c r="E629" i="5" s="1"/>
  <c r="D628" i="5"/>
  <c r="E628" i="5" s="1"/>
  <c r="D627" i="5"/>
  <c r="E627" i="5" s="1"/>
  <c r="D626" i="5"/>
  <c r="E626" i="5" s="1"/>
  <c r="D625" i="5"/>
  <c r="E625" i="5" s="1"/>
  <c r="D624" i="5"/>
  <c r="E624" i="5" s="1"/>
  <c r="D623" i="5"/>
  <c r="E623" i="5" s="1"/>
  <c r="D622" i="5"/>
  <c r="E622" i="5" s="1"/>
  <c r="D621" i="5"/>
  <c r="E621" i="5" s="1"/>
  <c r="D620" i="5"/>
  <c r="E620" i="5" s="1"/>
  <c r="D619" i="5"/>
  <c r="E619" i="5" s="1"/>
  <c r="D618" i="5"/>
  <c r="E618" i="5" s="1"/>
  <c r="D617" i="5"/>
  <c r="E617" i="5" s="1"/>
  <c r="D616" i="5"/>
  <c r="E616" i="5" s="1"/>
  <c r="D577" i="5"/>
  <c r="E577" i="5" s="1"/>
  <c r="D576" i="5"/>
  <c r="E576" i="5" s="1"/>
  <c r="D575" i="5"/>
  <c r="E575" i="5" s="1"/>
  <c r="D574" i="5"/>
  <c r="E574" i="5" s="1"/>
  <c r="M573" i="5"/>
  <c r="L573" i="5"/>
  <c r="K573" i="5"/>
  <c r="D573" i="5"/>
  <c r="E573" i="5" s="1"/>
  <c r="D572" i="5"/>
  <c r="E572" i="5" s="1"/>
  <c r="D571" i="5"/>
  <c r="E571" i="5" s="1"/>
  <c r="D570" i="5"/>
  <c r="E570" i="5" s="1"/>
  <c r="D569" i="5"/>
  <c r="E569" i="5" s="1"/>
  <c r="D568" i="5"/>
  <c r="E568" i="5" s="1"/>
  <c r="D567" i="5"/>
  <c r="E567" i="5" s="1"/>
  <c r="D566" i="5"/>
  <c r="E566" i="5" s="1"/>
  <c r="D565" i="5"/>
  <c r="E565" i="5" s="1"/>
  <c r="D564" i="5"/>
  <c r="E564" i="5" s="1"/>
  <c r="D563" i="5"/>
  <c r="E563" i="5" s="1"/>
  <c r="D562" i="5"/>
  <c r="E562" i="5" s="1"/>
  <c r="D561" i="5"/>
  <c r="E561" i="5" s="1"/>
  <c r="D560" i="5"/>
  <c r="E560" i="5" s="1"/>
  <c r="D559" i="5"/>
  <c r="E559" i="5" s="1"/>
  <c r="D558" i="5"/>
  <c r="E558" i="5" s="1"/>
  <c r="D519" i="5"/>
  <c r="E519" i="5" s="1"/>
  <c r="D518" i="5"/>
  <c r="E518" i="5" s="1"/>
  <c r="D517" i="5"/>
  <c r="E517" i="5" s="1"/>
  <c r="D516" i="5"/>
  <c r="E516" i="5" s="1"/>
  <c r="M515" i="5"/>
  <c r="L515" i="5"/>
  <c r="K515" i="5"/>
  <c r="D515" i="5"/>
  <c r="E515" i="5" s="1"/>
  <c r="D514" i="5"/>
  <c r="E514" i="5" s="1"/>
  <c r="D513" i="5"/>
  <c r="E513" i="5" s="1"/>
  <c r="D512" i="5"/>
  <c r="E512" i="5" s="1"/>
  <c r="D511" i="5"/>
  <c r="E511" i="5" s="1"/>
  <c r="D510" i="5"/>
  <c r="E510" i="5" s="1"/>
  <c r="D509" i="5"/>
  <c r="E509" i="5" s="1"/>
  <c r="D508" i="5"/>
  <c r="E508" i="5" s="1"/>
  <c r="D507" i="5"/>
  <c r="E507" i="5" s="1"/>
  <c r="D506" i="5"/>
  <c r="E506" i="5" s="1"/>
  <c r="D505" i="5"/>
  <c r="E505" i="5" s="1"/>
  <c r="D504" i="5"/>
  <c r="E504" i="5" s="1"/>
  <c r="D503" i="5"/>
  <c r="E503" i="5" s="1"/>
  <c r="D502" i="5"/>
  <c r="E502" i="5" s="1"/>
  <c r="D501" i="5"/>
  <c r="E501" i="5" s="1"/>
  <c r="D500" i="5"/>
  <c r="E500" i="5" s="1"/>
  <c r="D461" i="5"/>
  <c r="E461" i="5" s="1"/>
  <c r="D460" i="5"/>
  <c r="E460" i="5" s="1"/>
  <c r="D459" i="5"/>
  <c r="E459" i="5" s="1"/>
  <c r="D458" i="5"/>
  <c r="E458" i="5" s="1"/>
  <c r="M457" i="5"/>
  <c r="L457" i="5"/>
  <c r="K457" i="5"/>
  <c r="D457" i="5"/>
  <c r="E457" i="5" s="1"/>
  <c r="D456" i="5"/>
  <c r="E456" i="5" s="1"/>
  <c r="D455" i="5"/>
  <c r="E455" i="5" s="1"/>
  <c r="D454" i="5"/>
  <c r="E454" i="5" s="1"/>
  <c r="D453" i="5"/>
  <c r="E453" i="5" s="1"/>
  <c r="D452" i="5"/>
  <c r="E452" i="5" s="1"/>
  <c r="D451" i="5"/>
  <c r="E451" i="5" s="1"/>
  <c r="D450" i="5"/>
  <c r="E450" i="5" s="1"/>
  <c r="D449" i="5"/>
  <c r="E449" i="5" s="1"/>
  <c r="D448" i="5"/>
  <c r="E448" i="5" s="1"/>
  <c r="D447" i="5"/>
  <c r="E447" i="5" s="1"/>
  <c r="D446" i="5"/>
  <c r="E446" i="5" s="1"/>
  <c r="D445" i="5"/>
  <c r="E445" i="5" s="1"/>
  <c r="D444" i="5"/>
  <c r="E444" i="5" s="1"/>
  <c r="D443" i="5"/>
  <c r="E443" i="5" s="1"/>
  <c r="D442" i="5"/>
  <c r="E442" i="5" s="1"/>
  <c r="D287" i="5"/>
  <c r="E287" i="5" s="1"/>
  <c r="D286" i="5"/>
  <c r="E286" i="5" s="1"/>
  <c r="D285" i="5"/>
  <c r="E285" i="5" s="1"/>
  <c r="D284" i="5"/>
  <c r="E284" i="5" s="1"/>
  <c r="M283" i="5"/>
  <c r="L283" i="5"/>
  <c r="K283" i="5"/>
  <c r="D283" i="5"/>
  <c r="E283" i="5" s="1"/>
  <c r="D282" i="5"/>
  <c r="E282" i="5" s="1"/>
  <c r="D281" i="5"/>
  <c r="E281" i="5" s="1"/>
  <c r="D280" i="5"/>
  <c r="E280" i="5" s="1"/>
  <c r="D279" i="5"/>
  <c r="E279" i="5" s="1"/>
  <c r="D278" i="5"/>
  <c r="E278" i="5" s="1"/>
  <c r="D277" i="5"/>
  <c r="E277" i="5" s="1"/>
  <c r="D276" i="5"/>
  <c r="E276" i="5" s="1"/>
  <c r="D275" i="5"/>
  <c r="E275" i="5" s="1"/>
  <c r="D274" i="5"/>
  <c r="E274" i="5" s="1"/>
  <c r="D273" i="5"/>
  <c r="E273" i="5" s="1"/>
  <c r="D272" i="5"/>
  <c r="E272" i="5" s="1"/>
  <c r="D271" i="5"/>
  <c r="E271" i="5" s="1"/>
  <c r="D270" i="5"/>
  <c r="E270" i="5" s="1"/>
  <c r="D269" i="5"/>
  <c r="E269" i="5" s="1"/>
  <c r="D268" i="5"/>
  <c r="E268" i="5" s="1"/>
  <c r="D229" i="5"/>
  <c r="E229" i="5" s="1"/>
  <c r="D228" i="5"/>
  <c r="E228" i="5" s="1"/>
  <c r="D227" i="5"/>
  <c r="E227" i="5" s="1"/>
  <c r="D226" i="5"/>
  <c r="E226" i="5" s="1"/>
  <c r="M225" i="5"/>
  <c r="L225" i="5"/>
  <c r="K225" i="5"/>
  <c r="D225" i="5"/>
  <c r="E225" i="5" s="1"/>
  <c r="D224" i="5"/>
  <c r="E224" i="5" s="1"/>
  <c r="D223" i="5"/>
  <c r="E223" i="5" s="1"/>
  <c r="D222" i="5"/>
  <c r="E222" i="5" s="1"/>
  <c r="D221" i="5"/>
  <c r="E221" i="5" s="1"/>
  <c r="D220" i="5"/>
  <c r="E220" i="5" s="1"/>
  <c r="D219" i="5"/>
  <c r="E219" i="5" s="1"/>
  <c r="D218" i="5"/>
  <c r="E218" i="5" s="1"/>
  <c r="D217" i="5"/>
  <c r="E217" i="5" s="1"/>
  <c r="D216" i="5"/>
  <c r="E216" i="5" s="1"/>
  <c r="D215" i="5"/>
  <c r="E215" i="5" s="1"/>
  <c r="D214" i="5"/>
  <c r="E214" i="5" s="1"/>
  <c r="D213" i="5"/>
  <c r="E213" i="5" s="1"/>
  <c r="D212" i="5"/>
  <c r="E212" i="5" s="1"/>
  <c r="D211" i="5"/>
  <c r="E211" i="5" s="1"/>
  <c r="D210" i="5"/>
  <c r="E210" i="5" s="1"/>
  <c r="D171" i="5"/>
  <c r="E171" i="5" s="1"/>
  <c r="D170" i="5"/>
  <c r="E170" i="5" s="1"/>
  <c r="D169" i="5"/>
  <c r="E169" i="5" s="1"/>
  <c r="D168" i="5"/>
  <c r="E168" i="5" s="1"/>
  <c r="D167" i="5"/>
  <c r="E167" i="5" s="1"/>
  <c r="D166" i="5"/>
  <c r="E166" i="5" s="1"/>
  <c r="D165" i="5"/>
  <c r="E165" i="5" s="1"/>
  <c r="D164" i="5"/>
  <c r="E164" i="5" s="1"/>
  <c r="D163" i="5"/>
  <c r="E163" i="5" s="1"/>
  <c r="D162" i="5"/>
  <c r="E162" i="5" s="1"/>
  <c r="D161" i="5"/>
  <c r="E161" i="5" s="1"/>
  <c r="D160" i="5"/>
  <c r="E160" i="5" s="1"/>
  <c r="D159" i="5"/>
  <c r="E159" i="5" s="1"/>
  <c r="D158" i="5"/>
  <c r="E158" i="5" s="1"/>
  <c r="D157" i="5"/>
  <c r="E157" i="5" s="1"/>
  <c r="D156" i="5"/>
  <c r="E156" i="5" s="1"/>
  <c r="D155" i="5"/>
  <c r="E155" i="5" s="1"/>
  <c r="D154" i="5"/>
  <c r="E154" i="5" s="1"/>
  <c r="D153" i="5"/>
  <c r="E153" i="5" s="1"/>
  <c r="D152" i="5"/>
  <c r="E152" i="5" s="1"/>
  <c r="G174" i="5"/>
  <c r="G116" i="5"/>
  <c r="D94" i="5"/>
  <c r="E94" i="5" s="1"/>
  <c r="D95" i="5"/>
  <c r="E95" i="5" s="1"/>
  <c r="D96" i="5"/>
  <c r="E96" i="5" s="1"/>
  <c r="D97" i="5"/>
  <c r="E97" i="5" s="1"/>
  <c r="D98" i="5"/>
  <c r="E98" i="5" s="1"/>
  <c r="D99" i="5"/>
  <c r="E99" i="5" s="1"/>
  <c r="D100" i="5"/>
  <c r="E100" i="5" s="1"/>
  <c r="D101" i="5"/>
  <c r="E101" i="5" s="1"/>
  <c r="D102" i="5"/>
  <c r="E102" i="5" s="1"/>
  <c r="D103" i="5"/>
  <c r="E103" i="5" s="1"/>
  <c r="D104" i="5"/>
  <c r="E104" i="5" s="1"/>
  <c r="D105" i="5"/>
  <c r="E105" i="5" s="1"/>
  <c r="D106" i="5"/>
  <c r="E106" i="5" s="1"/>
  <c r="D107" i="5"/>
  <c r="E107" i="5" s="1"/>
  <c r="D108" i="5"/>
  <c r="E108" i="5" s="1"/>
  <c r="D109" i="5"/>
  <c r="E109" i="5" s="1"/>
  <c r="D110" i="5"/>
  <c r="E110" i="5" s="1"/>
  <c r="D111" i="5"/>
  <c r="E111" i="5" s="1"/>
  <c r="D112" i="5"/>
  <c r="E112" i="5" s="1"/>
  <c r="D113" i="5"/>
  <c r="E113" i="5" s="1"/>
  <c r="I36" i="2"/>
  <c r="K35" i="2"/>
  <c r="L35" i="2" s="1"/>
  <c r="N35" i="2" s="1"/>
  <c r="K33" i="2"/>
  <c r="L33" i="2" s="1"/>
  <c r="N33" i="2" s="1"/>
  <c r="I144" i="5" l="1"/>
  <c r="I141" i="5"/>
  <c r="I34" i="2"/>
  <c r="K34" i="2"/>
  <c r="L34" i="2" s="1"/>
  <c r="N34" i="2" s="1"/>
  <c r="I39" i="2"/>
  <c r="K39" i="2" s="1"/>
  <c r="L39" i="2" s="1"/>
  <c r="N39" i="2" s="1"/>
  <c r="I33" i="2"/>
  <c r="I37" i="2"/>
  <c r="K37" i="2" s="1"/>
  <c r="L37" i="2" s="1"/>
  <c r="N37" i="2" s="1"/>
  <c r="I32" i="2"/>
  <c r="K32" i="2" s="1"/>
  <c r="L32" i="2" s="1"/>
  <c r="N32" i="2" s="1"/>
  <c r="I41" i="2"/>
  <c r="K36" i="2"/>
  <c r="L36" i="2" s="1"/>
  <c r="N36" i="2" s="1"/>
  <c r="K41" i="2"/>
  <c r="L41" i="2" s="1"/>
  <c r="N41" i="2" s="1"/>
  <c r="I35" i="2"/>
  <c r="I40" i="2"/>
  <c r="K40" i="2" s="1"/>
  <c r="L40" i="2" s="1"/>
  <c r="N40" i="2" s="1"/>
  <c r="G2" i="5"/>
  <c r="C9" i="24"/>
  <c r="C7" i="24"/>
  <c r="C6" i="24"/>
  <c r="H13" i="24"/>
  <c r="B42" i="1"/>
  <c r="B40" i="1"/>
  <c r="B38" i="1"/>
  <c r="C592" i="5"/>
  <c r="C534" i="5"/>
  <c r="C418" i="5"/>
  <c r="C13" i="5"/>
  <c r="D55" i="5"/>
  <c r="E55" i="5" s="1"/>
  <c r="D54" i="5"/>
  <c r="E54" i="5" s="1"/>
  <c r="D53" i="5"/>
  <c r="E53" i="5" s="1"/>
  <c r="D52" i="5"/>
  <c r="E52" i="5" s="1"/>
  <c r="D51" i="5"/>
  <c r="E51" i="5" s="1"/>
  <c r="D50" i="5"/>
  <c r="E50" i="5" s="1"/>
  <c r="D49" i="5"/>
  <c r="E49" i="5" s="1"/>
  <c r="D48" i="5"/>
  <c r="E48" i="5" s="1"/>
  <c r="D47" i="5"/>
  <c r="E47" i="5" s="1"/>
  <c r="D46" i="5"/>
  <c r="E46" i="5" s="1"/>
  <c r="D45" i="5"/>
  <c r="E45" i="5" s="1"/>
  <c r="D44" i="5"/>
  <c r="E44" i="5" s="1"/>
  <c r="D43" i="5"/>
  <c r="E43" i="5" s="1"/>
  <c r="D42" i="5"/>
  <c r="E42" i="5" s="1"/>
  <c r="D41" i="5"/>
  <c r="E41" i="5" s="1"/>
  <c r="D40" i="5"/>
  <c r="E40" i="5" s="1"/>
  <c r="D39" i="5"/>
  <c r="E39" i="5" s="1"/>
  <c r="D38" i="5"/>
  <c r="D37" i="5"/>
  <c r="D36" i="5"/>
  <c r="E36" i="5" s="1"/>
  <c r="C8" i="5"/>
  <c r="C6" i="5"/>
  <c r="C4" i="5"/>
  <c r="C70" i="5"/>
  <c r="C65" i="5"/>
  <c r="C63" i="5"/>
  <c r="C61" i="5"/>
  <c r="C355" i="5"/>
  <c r="C353" i="5"/>
  <c r="C351" i="5"/>
  <c r="C297" i="5"/>
  <c r="C295" i="5"/>
  <c r="C293" i="5"/>
  <c r="B589" i="5"/>
  <c r="L645" i="5" s="1"/>
  <c r="C587" i="5"/>
  <c r="C585" i="5"/>
  <c r="C583" i="5"/>
  <c r="L644" i="5"/>
  <c r="C529" i="5"/>
  <c r="C527" i="5"/>
  <c r="C525" i="5"/>
  <c r="B473" i="5"/>
  <c r="L643" i="5" s="1"/>
  <c r="C471" i="5"/>
  <c r="C469" i="5"/>
  <c r="C467" i="5"/>
  <c r="B415" i="5"/>
  <c r="L642" i="5" s="1"/>
  <c r="C413" i="5"/>
  <c r="C411" i="5"/>
  <c r="C409" i="5"/>
  <c r="C239" i="5"/>
  <c r="C237" i="5"/>
  <c r="C235" i="5"/>
  <c r="C181" i="5"/>
  <c r="C179" i="5"/>
  <c r="C177" i="5"/>
  <c r="C128" i="5"/>
  <c r="L296" i="5" l="1"/>
  <c r="L586" i="5"/>
  <c r="L180" i="5"/>
  <c r="L470" i="5"/>
  <c r="L64" i="5"/>
  <c r="L818" i="5"/>
  <c r="L354" i="5"/>
  <c r="L702" i="5"/>
  <c r="L238" i="5"/>
  <c r="L528" i="5"/>
  <c r="L412" i="5"/>
  <c r="L934" i="5"/>
  <c r="L7" i="5"/>
  <c r="L760" i="5"/>
  <c r="L876" i="5"/>
  <c r="L122" i="5"/>
  <c r="L411" i="5"/>
  <c r="L6" i="5"/>
  <c r="L759" i="5"/>
  <c r="L295" i="5"/>
  <c r="L585" i="5"/>
  <c r="L179" i="5"/>
  <c r="L469" i="5"/>
  <c r="L63" i="5"/>
  <c r="L817" i="5"/>
  <c r="L353" i="5"/>
  <c r="L701" i="5"/>
  <c r="L527" i="5"/>
  <c r="L121" i="5"/>
  <c r="L875" i="5"/>
  <c r="L933" i="5"/>
  <c r="L237" i="5"/>
  <c r="L526" i="5"/>
  <c r="L932" i="5"/>
  <c r="L120" i="5"/>
  <c r="L874" i="5"/>
  <c r="L410" i="5"/>
  <c r="L5" i="5"/>
  <c r="L758" i="5"/>
  <c r="L294" i="5"/>
  <c r="L584" i="5"/>
  <c r="L178" i="5"/>
  <c r="L468" i="5"/>
  <c r="L62" i="5"/>
  <c r="L816" i="5"/>
  <c r="L700" i="5"/>
  <c r="L236" i="5"/>
  <c r="L352" i="5"/>
  <c r="L181" i="5"/>
  <c r="L471" i="5"/>
  <c r="L65" i="5"/>
  <c r="L819" i="5"/>
  <c r="L355" i="5"/>
  <c r="L703" i="5"/>
  <c r="L239" i="5"/>
  <c r="L529" i="5"/>
  <c r="L877" i="5"/>
  <c r="L297" i="5"/>
  <c r="L123" i="5"/>
  <c r="L587" i="5"/>
  <c r="L413" i="5"/>
  <c r="L935" i="5"/>
  <c r="L761" i="5"/>
  <c r="L8" i="5"/>
  <c r="A21" i="24"/>
  <c r="A24" i="24"/>
  <c r="A22" i="24"/>
  <c r="G580" i="5"/>
  <c r="E38" i="5"/>
  <c r="E37" i="5"/>
  <c r="H16" i="5"/>
  <c r="I16" i="5" s="1"/>
  <c r="H68" i="5"/>
  <c r="I68" i="5" s="1"/>
  <c r="H70" i="5"/>
  <c r="I70" i="5" s="1"/>
  <c r="I590" i="5"/>
  <c r="H11" i="5"/>
  <c r="I11" i="5" s="1"/>
  <c r="I300" i="5"/>
  <c r="I242" i="5"/>
  <c r="I184" i="5"/>
  <c r="H360" i="5"/>
  <c r="I360" i="5" s="1"/>
  <c r="H302" i="5"/>
  <c r="I302" i="5" s="1"/>
  <c r="H592" i="5"/>
  <c r="I592" i="5" s="1"/>
  <c r="H534" i="5"/>
  <c r="I534" i="5" s="1"/>
  <c r="H476" i="5"/>
  <c r="I476" i="5" s="1"/>
  <c r="I416" i="5"/>
  <c r="H418" i="5"/>
  <c r="I418" i="5" s="1"/>
  <c r="H244" i="5"/>
  <c r="I244" i="5" s="1"/>
  <c r="H186" i="5"/>
  <c r="I186" i="5" s="1"/>
  <c r="H533" i="5" l="1"/>
  <c r="I533" i="5" s="1"/>
  <c r="H13" i="5"/>
  <c r="I13" i="5" s="1"/>
  <c r="H301" i="5"/>
  <c r="I301" i="5" s="1"/>
  <c r="H591" i="5"/>
  <c r="I591" i="5" s="1"/>
  <c r="H359" i="5" l="1"/>
  <c r="I359" i="5" s="1"/>
  <c r="C12" i="2" l="1"/>
  <c r="M83" i="2"/>
  <c r="M82" i="2"/>
  <c r="M81" i="2"/>
  <c r="L80" i="2"/>
  <c r="M80" i="2" s="1"/>
  <c r="K80" i="2"/>
  <c r="H15" i="2" l="1"/>
  <c r="B36" i="1"/>
  <c r="G406" i="5"/>
  <c r="G349" i="5"/>
  <c r="G581" i="5"/>
  <c r="G348" i="5"/>
  <c r="G291" i="5"/>
  <c r="G407" i="5"/>
  <c r="G232" i="5"/>
  <c r="C123" i="5"/>
  <c r="C121" i="5"/>
  <c r="C119" i="5"/>
  <c r="L75" i="2"/>
  <c r="L74" i="2"/>
  <c r="L73" i="2"/>
  <c r="G233" i="5"/>
  <c r="G175" i="5"/>
  <c r="G117" i="5"/>
  <c r="G59" i="5"/>
  <c r="G58" i="5"/>
  <c r="G290" i="5"/>
  <c r="D85" i="2"/>
  <c r="E85" i="2" s="1"/>
  <c r="D84" i="2"/>
  <c r="E84" i="2" s="1"/>
  <c r="D83" i="2"/>
  <c r="E83" i="2" s="1"/>
  <c r="D82" i="2"/>
  <c r="E82" i="2" s="1"/>
  <c r="D81" i="2"/>
  <c r="E81" i="2" s="1"/>
  <c r="D80" i="2"/>
  <c r="E80" i="2" s="1"/>
  <c r="D79" i="2"/>
  <c r="E79" i="2" s="1"/>
  <c r="D78" i="2"/>
  <c r="E78" i="2" s="1"/>
  <c r="D77" i="2"/>
  <c r="E77" i="2" s="1"/>
  <c r="D76" i="2"/>
  <c r="E76" i="2" s="1"/>
  <c r="D75" i="2"/>
  <c r="E75" i="2" s="1"/>
  <c r="D74" i="2"/>
  <c r="E74" i="2" s="1"/>
  <c r="D73" i="2"/>
  <c r="E73" i="2" s="1"/>
  <c r="D72" i="2"/>
  <c r="E72" i="2" s="1"/>
  <c r="D71" i="2"/>
  <c r="E71" i="2" s="1"/>
  <c r="D70" i="2"/>
  <c r="E70" i="2" s="1"/>
  <c r="D69" i="2"/>
  <c r="E69" i="2" s="1"/>
  <c r="D68" i="2"/>
  <c r="E68" i="2" s="1"/>
  <c r="D67" i="2"/>
  <c r="E67" i="2" s="1"/>
  <c r="D66" i="2"/>
  <c r="E66" i="2" s="1"/>
  <c r="D65" i="2"/>
  <c r="E65" i="2" s="1"/>
  <c r="D64" i="2"/>
  <c r="E64" i="2" s="1"/>
  <c r="D63" i="2"/>
  <c r="E63" i="2" s="1"/>
  <c r="D62" i="2"/>
  <c r="E62" i="2" s="1"/>
  <c r="D61" i="2"/>
  <c r="E61" i="2" s="1"/>
  <c r="D60" i="2"/>
  <c r="E60" i="2" s="1"/>
  <c r="D59" i="2"/>
  <c r="E59" i="2" s="1"/>
  <c r="D58" i="2"/>
  <c r="E58" i="2" s="1"/>
  <c r="D57" i="2"/>
  <c r="E57" i="2" s="1"/>
  <c r="D56" i="2"/>
  <c r="E56" i="2" s="1"/>
  <c r="D55" i="2"/>
  <c r="E55" i="2" s="1"/>
  <c r="D54" i="2"/>
  <c r="E54" i="2" s="1"/>
  <c r="D53" i="2"/>
  <c r="E53" i="2" s="1"/>
  <c r="D52" i="2"/>
  <c r="E52" i="2" s="1"/>
  <c r="D51" i="2"/>
  <c r="E51" i="2" s="1"/>
  <c r="D50" i="2"/>
  <c r="E50" i="2" s="1"/>
  <c r="D49" i="2"/>
  <c r="E49" i="2" s="1"/>
  <c r="D48" i="2"/>
  <c r="E48" i="2" s="1"/>
  <c r="D47" i="2"/>
  <c r="E47" i="2" s="1"/>
  <c r="D46" i="2"/>
  <c r="E46" i="2" s="1"/>
  <c r="H12" i="2" l="1"/>
  <c r="H126" i="5"/>
  <c r="I126" i="5" s="1"/>
  <c r="H128" i="5"/>
  <c r="I128" i="5" s="1"/>
  <c r="G523" i="5"/>
  <c r="G638" i="5"/>
  <c r="G464" i="5"/>
  <c r="G522" i="5"/>
  <c r="G465" i="5"/>
  <c r="F4" i="23"/>
  <c r="C15" i="2"/>
  <c r="C7" i="2"/>
  <c r="C5" i="2"/>
  <c r="C3" i="2"/>
  <c r="K10" i="23" l="1"/>
  <c r="L10" i="23" s="1"/>
  <c r="K11" i="23"/>
  <c r="L11" i="23" s="1"/>
  <c r="K8" i="23"/>
  <c r="L8" i="23" s="1"/>
  <c r="K9" i="23"/>
  <c r="L9" i="23" s="1"/>
  <c r="F27" i="21"/>
  <c r="F31" i="21"/>
  <c r="F32" i="21"/>
  <c r="F30" i="21"/>
  <c r="F29" i="21"/>
  <c r="F28" i="21"/>
  <c r="K6" i="23"/>
  <c r="L6" i="23" s="1"/>
  <c r="K978" i="5" s="1"/>
  <c r="K7" i="23"/>
  <c r="L7" i="23" s="1"/>
  <c r="K109" i="5" s="1"/>
  <c r="F26" i="21"/>
  <c r="F22" i="21"/>
  <c r="F24" i="21"/>
  <c r="F23" i="21"/>
  <c r="F16" i="21"/>
  <c r="F12" i="21"/>
  <c r="F21" i="21"/>
  <c r="K906" i="5" s="1"/>
  <c r="L906" i="5" s="1"/>
  <c r="H883" i="5" s="1"/>
  <c r="F15" i="21"/>
  <c r="F20" i="21"/>
  <c r="F25" i="21"/>
  <c r="L58" i="2" s="1"/>
  <c r="F19" i="21"/>
  <c r="K619" i="5" s="1"/>
  <c r="L619" i="5" s="1"/>
  <c r="F14" i="21"/>
  <c r="K734" i="5" s="1"/>
  <c r="L734" i="5" s="1"/>
  <c r="F13" i="21"/>
  <c r="K733" i="5" s="1"/>
  <c r="L733" i="5" s="1"/>
  <c r="F18" i="21"/>
  <c r="F17" i="21"/>
  <c r="M109" i="5" l="1"/>
  <c r="L109" i="5"/>
  <c r="K964" i="5"/>
  <c r="L964" i="5" s="1"/>
  <c r="L57" i="2"/>
  <c r="I883" i="5"/>
  <c r="H887" i="5"/>
  <c r="I887" i="5" s="1"/>
  <c r="H886" i="5"/>
  <c r="I886" i="5" s="1"/>
  <c r="L978" i="5"/>
  <c r="H942" i="5" s="1"/>
  <c r="I942" i="5" s="1"/>
  <c r="M978" i="5"/>
  <c r="K98" i="5"/>
  <c r="L98" i="5" s="1"/>
  <c r="K965" i="5"/>
  <c r="L965" i="5" s="1"/>
  <c r="H941" i="5" s="1"/>
  <c r="K326" i="5"/>
  <c r="L326" i="5" s="1"/>
  <c r="K97" i="5"/>
  <c r="L97" i="5" s="1"/>
  <c r="K327" i="5"/>
  <c r="L327" i="5" s="1"/>
  <c r="K40" i="5"/>
  <c r="L40" i="5" s="1"/>
  <c r="K39" i="5"/>
  <c r="L39" i="5" s="1"/>
  <c r="K688" i="5"/>
  <c r="M688" i="5" s="1"/>
  <c r="K746" i="5"/>
  <c r="K674" i="5"/>
  <c r="L674" i="5" s="1"/>
  <c r="K732" i="5"/>
  <c r="K618" i="5"/>
  <c r="L618" i="5" s="1"/>
  <c r="K676" i="5"/>
  <c r="L676" i="5" s="1"/>
  <c r="K617" i="5"/>
  <c r="L617" i="5" s="1"/>
  <c r="K675" i="5"/>
  <c r="L675" i="5" s="1"/>
  <c r="K572" i="5"/>
  <c r="M572" i="5" s="1"/>
  <c r="K630" i="5"/>
  <c r="K558" i="5"/>
  <c r="L558" i="5" s="1"/>
  <c r="K616" i="5"/>
  <c r="L616" i="5" s="1"/>
  <c r="K502" i="5"/>
  <c r="L502" i="5" s="1"/>
  <c r="K560" i="5"/>
  <c r="L560" i="5" s="1"/>
  <c r="K501" i="5"/>
  <c r="L501" i="5" s="1"/>
  <c r="K559" i="5"/>
  <c r="L559" i="5" s="1"/>
  <c r="K282" i="5"/>
  <c r="L282" i="5" s="1"/>
  <c r="H246" i="5" s="1"/>
  <c r="I246" i="5" s="1"/>
  <c r="K514" i="5"/>
  <c r="K268" i="5"/>
  <c r="L268" i="5" s="1"/>
  <c r="K500" i="5"/>
  <c r="L500" i="5" s="1"/>
  <c r="K270" i="5"/>
  <c r="L270" i="5" s="1"/>
  <c r="K444" i="5"/>
  <c r="L444" i="5" s="1"/>
  <c r="K269" i="5"/>
  <c r="L269" i="5" s="1"/>
  <c r="K443" i="5"/>
  <c r="L443" i="5" s="1"/>
  <c r="K442" i="5"/>
  <c r="L442" i="5" s="1"/>
  <c r="K51" i="5"/>
  <c r="M51" i="5" s="1"/>
  <c r="K167" i="5"/>
  <c r="L72" i="2"/>
  <c r="M72" i="2" s="1"/>
  <c r="K37" i="5"/>
  <c r="L37" i="5" s="1"/>
  <c r="K224" i="5"/>
  <c r="M224" i="5" s="1"/>
  <c r="K108" i="5"/>
  <c r="K456" i="5"/>
  <c r="K166" i="5"/>
  <c r="K36" i="5"/>
  <c r="L36" i="5" s="1"/>
  <c r="K94" i="5"/>
  <c r="L94" i="5" s="1"/>
  <c r="K154" i="5"/>
  <c r="L154" i="5" s="1"/>
  <c r="K212" i="5"/>
  <c r="L212" i="5" s="1"/>
  <c r="K153" i="5"/>
  <c r="L153" i="5" s="1"/>
  <c r="K211" i="5"/>
  <c r="L211" i="5" s="1"/>
  <c r="K152" i="5"/>
  <c r="L152" i="5" s="1"/>
  <c r="K210" i="5"/>
  <c r="L210" i="5" s="1"/>
  <c r="K155" i="5"/>
  <c r="L155" i="5" s="1"/>
  <c r="K213" i="5"/>
  <c r="L213" i="5" s="1"/>
  <c r="L55" i="2"/>
  <c r="K96" i="5"/>
  <c r="L96" i="5" s="1"/>
  <c r="K38" i="5"/>
  <c r="L38" i="5" s="1"/>
  <c r="K95" i="5"/>
  <c r="L95" i="5" s="1"/>
  <c r="L56" i="2"/>
  <c r="L54" i="2"/>
  <c r="L51" i="2"/>
  <c r="L52" i="2"/>
  <c r="L53" i="2"/>
  <c r="G11" i="1"/>
  <c r="L48" i="2"/>
  <c r="L50" i="2"/>
  <c r="L49" i="2"/>
  <c r="L47" i="2"/>
  <c r="L46" i="2"/>
  <c r="L71" i="2"/>
  <c r="M71" i="2" s="1"/>
  <c r="K340" i="5"/>
  <c r="L70" i="2"/>
  <c r="M70" i="2" s="1"/>
  <c r="K50" i="5"/>
  <c r="H13" i="2" l="1"/>
  <c r="C884" i="5"/>
  <c r="I941" i="5"/>
  <c r="H944" i="5"/>
  <c r="I944" i="5" s="1"/>
  <c r="H945" i="5"/>
  <c r="I945" i="5" s="1"/>
  <c r="L732" i="5"/>
  <c r="H709" i="5" s="1"/>
  <c r="I709" i="5" s="1"/>
  <c r="L688" i="5"/>
  <c r="H652" i="5" s="1"/>
  <c r="I652" i="5" s="1"/>
  <c r="M746" i="5"/>
  <c r="L746" i="5"/>
  <c r="H710" i="5" s="1"/>
  <c r="I710" i="5" s="1"/>
  <c r="H651" i="5"/>
  <c r="I651" i="5" s="1"/>
  <c r="M630" i="5"/>
  <c r="L630" i="5"/>
  <c r="H594" i="5" s="1"/>
  <c r="I594" i="5" s="1"/>
  <c r="L572" i="5"/>
  <c r="H536" i="5" s="1"/>
  <c r="I536" i="5" s="1"/>
  <c r="M282" i="5"/>
  <c r="M514" i="5"/>
  <c r="L514" i="5"/>
  <c r="H478" i="5" s="1"/>
  <c r="I478" i="5" s="1"/>
  <c r="L224" i="5"/>
  <c r="H188" i="5" s="1"/>
  <c r="I188" i="5" s="1"/>
  <c r="M166" i="5"/>
  <c r="L51" i="5"/>
  <c r="M167" i="5"/>
  <c r="L167" i="5"/>
  <c r="L166" i="5"/>
  <c r="H130" i="5" s="1"/>
  <c r="I130" i="5" s="1"/>
  <c r="H14" i="2"/>
  <c r="L456" i="5"/>
  <c r="H420" i="5" s="1"/>
  <c r="I420" i="5" s="1"/>
  <c r="M456" i="5"/>
  <c r="M108" i="5"/>
  <c r="L108" i="5"/>
  <c r="H72" i="5" s="1"/>
  <c r="I72" i="5" s="1"/>
  <c r="L340" i="5"/>
  <c r="H304" i="5" s="1"/>
  <c r="I304" i="5" s="1"/>
  <c r="M340" i="5"/>
  <c r="H535" i="5"/>
  <c r="I535" i="5" s="1"/>
  <c r="H361" i="5"/>
  <c r="I361" i="5" s="1"/>
  <c r="H245" i="5"/>
  <c r="I245" i="5" s="1"/>
  <c r="H303" i="5"/>
  <c r="I303" i="5" s="1"/>
  <c r="H187" i="5"/>
  <c r="I187" i="5" s="1"/>
  <c r="H477" i="5"/>
  <c r="I477" i="5" s="1"/>
  <c r="H419" i="5"/>
  <c r="I419" i="5" s="1"/>
  <c r="M50" i="5"/>
  <c r="L50" i="5"/>
  <c r="H593" i="5"/>
  <c r="I593" i="5" s="1"/>
  <c r="H71" i="5"/>
  <c r="I71" i="5" s="1"/>
  <c r="H14" i="5"/>
  <c r="I14" i="5" s="1"/>
  <c r="H129" i="5"/>
  <c r="I129" i="5" s="1"/>
  <c r="C7" i="3"/>
  <c r="C5" i="3"/>
  <c r="C3" i="3"/>
  <c r="C7" i="18"/>
  <c r="C5" i="18"/>
  <c r="C3" i="18"/>
  <c r="C886" i="5" l="1"/>
  <c r="E52" i="1" s="1"/>
  <c r="C52" i="1"/>
  <c r="C942" i="5"/>
  <c r="H713" i="5"/>
  <c r="I713" i="5" s="1"/>
  <c r="H712" i="5"/>
  <c r="I712" i="5" s="1"/>
  <c r="H654" i="5"/>
  <c r="I654" i="5" s="1"/>
  <c r="H655" i="5"/>
  <c r="I655" i="5" s="1"/>
  <c r="H15" i="5"/>
  <c r="I15" i="5" s="1"/>
  <c r="H596" i="5"/>
  <c r="I596" i="5" s="1"/>
  <c r="H597" i="5"/>
  <c r="I597" i="5" s="1"/>
  <c r="H306" i="5"/>
  <c r="I306" i="5" s="1"/>
  <c r="H307" i="5"/>
  <c r="I307" i="5" s="1"/>
  <c r="H364" i="5"/>
  <c r="I364" i="5" s="1"/>
  <c r="H365" i="5"/>
  <c r="I365" i="5" s="1"/>
  <c r="H538" i="5"/>
  <c r="I538" i="5" s="1"/>
  <c r="H539" i="5"/>
  <c r="I539" i="5" s="1"/>
  <c r="C7" i="22"/>
  <c r="C5" i="22"/>
  <c r="C3" i="22"/>
  <c r="C7" i="21"/>
  <c r="C5" i="21"/>
  <c r="C3" i="21"/>
  <c r="C54" i="1" l="1"/>
  <c r="B30" i="24" s="1"/>
  <c r="C30" i="24" s="1"/>
  <c r="C944" i="5"/>
  <c r="E54" i="1" s="1"/>
  <c r="B29" i="24"/>
  <c r="C29" i="24" s="1"/>
  <c r="G52" i="1"/>
  <c r="C362" i="5"/>
  <c r="C32" i="1" s="1"/>
  <c r="C304" i="5"/>
  <c r="C710" i="5"/>
  <c r="C46" i="1" s="1"/>
  <c r="C652" i="5"/>
  <c r="C44" i="1" s="1"/>
  <c r="C594" i="5"/>
  <c r="C536" i="5"/>
  <c r="C7" i="11"/>
  <c r="C5" i="11"/>
  <c r="C3" i="11"/>
  <c r="C7" i="1"/>
  <c r="C5" i="1"/>
  <c r="C3" i="1"/>
  <c r="G54" i="1" l="1"/>
  <c r="D30" i="24"/>
  <c r="G30" i="24"/>
  <c r="H30" i="24" s="1"/>
  <c r="D29" i="24"/>
  <c r="G29" i="24"/>
  <c r="H29" i="24" s="1"/>
  <c r="B26" i="24"/>
  <c r="C26" i="24" s="1"/>
  <c r="G46" i="1"/>
  <c r="B25" i="24"/>
  <c r="C25" i="24" s="1"/>
  <c r="D25" i="24" s="1"/>
  <c r="G44" i="1"/>
  <c r="B20" i="24"/>
  <c r="C20" i="24" s="1"/>
  <c r="C40" i="1"/>
  <c r="C538" i="5"/>
  <c r="E40" i="1" s="1"/>
  <c r="C42" i="1"/>
  <c r="C596" i="5"/>
  <c r="E42" i="1" s="1"/>
  <c r="C30" i="1"/>
  <c r="B19" i="24" s="1"/>
  <c r="C306" i="5"/>
  <c r="E30" i="1" s="1"/>
  <c r="E29" i="24" l="1"/>
  <c r="F29" i="24" s="1"/>
  <c r="E30" i="24"/>
  <c r="F30" i="24" s="1"/>
  <c r="D26" i="24"/>
  <c r="B24" i="24"/>
  <c r="C24" i="24" s="1"/>
  <c r="G42" i="1"/>
  <c r="B23" i="24"/>
  <c r="G40" i="1"/>
  <c r="E20" i="24"/>
  <c r="D20" i="24"/>
  <c r="F20" i="24" s="1"/>
  <c r="G25" i="24"/>
  <c r="H25" i="24" s="1"/>
  <c r="G26" i="24"/>
  <c r="H26" i="24" s="1"/>
  <c r="C19" i="24"/>
  <c r="G20" i="24"/>
  <c r="H20" i="24" s="1"/>
  <c r="C23" i="24" l="1"/>
  <c r="D23" i="24" s="1"/>
  <c r="G23" i="24"/>
  <c r="H23" i="24" s="1"/>
  <c r="D24" i="24"/>
  <c r="E26" i="24"/>
  <c r="F26" i="24" s="1"/>
  <c r="E25" i="24"/>
  <c r="F25" i="24" s="1"/>
  <c r="D19" i="24"/>
  <c r="G24" i="24"/>
  <c r="H24" i="24" s="1"/>
  <c r="G19" i="24"/>
  <c r="H19" i="24" s="1"/>
  <c r="E19" i="24" l="1"/>
  <c r="F19" i="24" s="1"/>
  <c r="E24" i="24"/>
  <c r="F24" i="24" s="1"/>
  <c r="I140" i="5"/>
  <c r="K140" i="5" s="1"/>
  <c r="L140" i="5" s="1"/>
  <c r="N140" i="5" s="1"/>
  <c r="I26" i="2"/>
  <c r="I139" i="5"/>
  <c r="I29" i="2"/>
  <c r="I27" i="2"/>
  <c r="I31" i="2"/>
  <c r="K31" i="2" s="1"/>
  <c r="L31" i="2" s="1"/>
  <c r="N31" i="2" s="1"/>
  <c r="I30" i="2"/>
  <c r="I28" i="2"/>
  <c r="I22" i="2"/>
  <c r="I38" i="2"/>
  <c r="I23" i="2"/>
  <c r="I24" i="2"/>
  <c r="I25" i="2"/>
  <c r="F18" i="3"/>
  <c r="I18" i="3"/>
  <c r="D49" i="18"/>
  <c r="C49" i="18"/>
  <c r="K22" i="2" l="1"/>
  <c r="L22" i="2" s="1"/>
  <c r="N22" i="2" s="1"/>
  <c r="D23" i="3"/>
  <c r="D24" i="3" s="1"/>
  <c r="K26" i="2"/>
  <c r="L26" i="2" s="1"/>
  <c r="N26" i="2" s="1"/>
  <c r="K23" i="2"/>
  <c r="L23" i="2" s="1"/>
  <c r="N23" i="2" s="1"/>
  <c r="K29" i="2"/>
  <c r="L29" i="2" s="1"/>
  <c r="N29" i="2" s="1"/>
  <c r="K27" i="2"/>
  <c r="L27" i="2" s="1"/>
  <c r="N27" i="2" s="1"/>
  <c r="D35" i="3"/>
  <c r="K138" i="5"/>
  <c r="L138" i="5" s="1"/>
  <c r="N138" i="5" s="1"/>
  <c r="K139" i="5"/>
  <c r="L139" i="5" s="1"/>
  <c r="N139" i="5" s="1"/>
  <c r="K30" i="2"/>
  <c r="L30" i="2" s="1"/>
  <c r="N30" i="2" s="1"/>
  <c r="K28" i="2"/>
  <c r="L28" i="2" s="1"/>
  <c r="N28" i="2" s="1"/>
  <c r="K25" i="2"/>
  <c r="L25" i="2" s="1"/>
  <c r="N25" i="2" s="1"/>
  <c r="K38" i="2"/>
  <c r="L38" i="2" s="1"/>
  <c r="N38" i="2" s="1"/>
  <c r="K24" i="2"/>
  <c r="L24" i="2" s="1"/>
  <c r="N24" i="2" s="1"/>
  <c r="J18" i="3"/>
  <c r="D11" i="3" s="1"/>
  <c r="H243" i="5" l="1"/>
  <c r="I243" i="5" s="1"/>
  <c r="D25" i="3"/>
  <c r="D26" i="3"/>
  <c r="H12" i="5"/>
  <c r="H417" i="5"/>
  <c r="I417" i="5" s="1"/>
  <c r="H185" i="5"/>
  <c r="I185" i="5" s="1"/>
  <c r="H475" i="5"/>
  <c r="I475" i="5" s="1"/>
  <c r="H69" i="5"/>
  <c r="I69" i="5" s="1"/>
  <c r="D37" i="3"/>
  <c r="D36" i="3"/>
  <c r="D13" i="3"/>
  <c r="D14" i="3"/>
  <c r="D12" i="3"/>
  <c r="H127" i="5"/>
  <c r="I127" i="5" s="1"/>
  <c r="H248" i="5" l="1"/>
  <c r="I248" i="5" s="1"/>
  <c r="H249" i="5"/>
  <c r="I249" i="5" s="1"/>
  <c r="F23" i="3"/>
  <c r="G23" i="3" s="1"/>
  <c r="H422" i="5"/>
  <c r="I422" i="5" s="1"/>
  <c r="H423" i="5"/>
  <c r="I423" i="5" s="1"/>
  <c r="I12" i="5"/>
  <c r="H190" i="5"/>
  <c r="I190" i="5" s="1"/>
  <c r="H191" i="5"/>
  <c r="I191" i="5" s="1"/>
  <c r="H481" i="5"/>
  <c r="I481" i="5" s="1"/>
  <c r="H480" i="5"/>
  <c r="I480" i="5" s="1"/>
  <c r="F35" i="3"/>
  <c r="G35" i="3" s="1"/>
  <c r="H75" i="5"/>
  <c r="I75" i="5" s="1"/>
  <c r="H74" i="5"/>
  <c r="I74" i="5" s="1"/>
  <c r="F11" i="3"/>
  <c r="H18" i="5"/>
  <c r="I18" i="5" s="1"/>
  <c r="H17" i="5"/>
  <c r="I17" i="5" s="1"/>
  <c r="H132" i="5"/>
  <c r="I132" i="5" s="1"/>
  <c r="H133" i="5"/>
  <c r="I133" i="5" s="1"/>
  <c r="H17" i="2" l="1"/>
  <c r="H18" i="2" s="1"/>
  <c r="C246" i="5"/>
  <c r="C28" i="1" s="1"/>
  <c r="B18" i="24" s="1"/>
  <c r="C18" i="24" s="1"/>
  <c r="E18" i="24" s="1"/>
  <c r="C58" i="1"/>
  <c r="B32" i="24" s="1"/>
  <c r="C32" i="24" s="1"/>
  <c r="C478" i="5"/>
  <c r="C420" i="5"/>
  <c r="C188" i="5"/>
  <c r="G26" i="1" s="1"/>
  <c r="C130" i="5"/>
  <c r="G24" i="1" s="1"/>
  <c r="C72" i="5"/>
  <c r="G22" i="1" s="1"/>
  <c r="C15" i="5"/>
  <c r="G20" i="1" s="1"/>
  <c r="C16" i="1"/>
  <c r="I14" i="2"/>
  <c r="I15" i="2"/>
  <c r="I12" i="2"/>
  <c r="I11" i="2"/>
  <c r="G11" i="3"/>
  <c r="C56" i="1"/>
  <c r="B31" i="24" s="1"/>
  <c r="I17" i="2" l="1"/>
  <c r="I16" i="2"/>
  <c r="C14" i="2"/>
  <c r="I13" i="2"/>
  <c r="G18" i="24"/>
  <c r="H18" i="24" s="1"/>
  <c r="D18" i="24"/>
  <c r="F18" i="24" s="1"/>
  <c r="D32" i="24"/>
  <c r="E16" i="1"/>
  <c r="C36" i="1"/>
  <c r="B21" i="24" s="1"/>
  <c r="C422" i="5"/>
  <c r="E36" i="1" s="1"/>
  <c r="C74" i="5"/>
  <c r="E22" i="1" s="1"/>
  <c r="C24" i="1"/>
  <c r="C17" i="5"/>
  <c r="C38" i="1"/>
  <c r="C480" i="5"/>
  <c r="E38" i="1" s="1"/>
  <c r="C11" i="1"/>
  <c r="C26" i="1"/>
  <c r="B17" i="24" s="1"/>
  <c r="C190" i="5"/>
  <c r="E26" i="1" s="1"/>
  <c r="B33" i="24"/>
  <c r="C132" i="5"/>
  <c r="E24" i="1" s="1"/>
  <c r="C22" i="1"/>
  <c r="B15" i="24" s="1"/>
  <c r="C16" i="2"/>
  <c r="C31" i="24"/>
  <c r="D31" i="24"/>
  <c r="C20" i="1"/>
  <c r="C33" i="24" l="1"/>
  <c r="D33" i="24" s="1"/>
  <c r="E33" i="24"/>
  <c r="F33" i="24"/>
  <c r="C13" i="1"/>
  <c r="B14" i="24"/>
  <c r="C14" i="24" s="1"/>
  <c r="B22" i="24"/>
  <c r="G38" i="1"/>
  <c r="C21" i="24"/>
  <c r="G36" i="1"/>
  <c r="B16" i="24"/>
  <c r="C16" i="24" s="1"/>
  <c r="G16" i="24" s="1"/>
  <c r="H16" i="24" s="1"/>
  <c r="E20" i="1"/>
  <c r="C15" i="24"/>
  <c r="D15" i="24" s="1"/>
  <c r="C17" i="24"/>
  <c r="E11" i="1"/>
  <c r="G33" i="24" l="1"/>
  <c r="H33" i="24" s="1"/>
  <c r="C22" i="24"/>
  <c r="G22" i="24" s="1"/>
  <c r="G21" i="24"/>
  <c r="H21" i="24" s="1"/>
  <c r="F14" i="24"/>
  <c r="G14" i="24"/>
  <c r="D16" i="24"/>
  <c r="E23" i="24"/>
  <c r="F23" i="24" s="1"/>
  <c r="D21" i="24"/>
  <c r="E16" i="24"/>
  <c r="D17" i="24"/>
  <c r="D14" i="24"/>
  <c r="C13" i="24"/>
  <c r="D13" i="24" s="1"/>
  <c r="E13" i="1"/>
  <c r="E13" i="24"/>
  <c r="B13" i="24"/>
  <c r="G15" i="24"/>
  <c r="H15" i="24" s="1"/>
  <c r="D22" i="24" l="1"/>
  <c r="E21" i="24"/>
  <c r="F21" i="24" s="1"/>
  <c r="F16" i="24"/>
  <c r="H22" i="24"/>
  <c r="E22" i="24"/>
  <c r="E15" i="24"/>
  <c r="F15" i="24" s="1"/>
  <c r="H14" i="24"/>
  <c r="E14" i="24"/>
  <c r="F13" i="24"/>
  <c r="G17" i="24"/>
  <c r="F22" i="24" l="1"/>
  <c r="H17" i="24"/>
  <c r="E17" i="24"/>
  <c r="F17" i="24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D956AA81-32D0-4A63-8C22-B19CB11E7E48}" keepAlive="1" name="Query - Table2" description="Connection to the 'Table2' query in the workbook." type="5" refreshedVersion="0" background="1">
    <dbPr connection="Provider=Microsoft.Mashup.OleDb.1;Data Source=$Workbook$;Location=Table2;Extended Properties=&quot;&quot;" command="SELECT * FROM [Table2]"/>
  </connection>
</connections>
</file>

<file path=xl/sharedStrings.xml><?xml version="1.0" encoding="utf-8"?>
<sst xmlns="http://schemas.openxmlformats.org/spreadsheetml/2006/main" count="2076" uniqueCount="311">
  <si>
    <t>Labor</t>
  </si>
  <si>
    <t>Monthly</t>
  </si>
  <si>
    <t>Monthly Janitorial</t>
  </si>
  <si>
    <t>Exeptional-Additional Services</t>
  </si>
  <si>
    <t>Emergency Services</t>
  </si>
  <si>
    <t>High Traffic Carpet</t>
  </si>
  <si>
    <t>Day Porter</t>
  </si>
  <si>
    <t>Window Washing</t>
  </si>
  <si>
    <t>Service Element for Which a Price is Required</t>
  </si>
  <si>
    <t>Unit</t>
  </si>
  <si>
    <t>Price</t>
  </si>
  <si>
    <t>Per Month</t>
  </si>
  <si>
    <t>Cost</t>
  </si>
  <si>
    <t>Description</t>
  </si>
  <si>
    <t xml:space="preserve">Units </t>
  </si>
  <si>
    <t>Equipment</t>
  </si>
  <si>
    <t># of</t>
  </si>
  <si>
    <t>Units</t>
  </si>
  <si>
    <t>Worker</t>
  </si>
  <si>
    <t>Work</t>
  </si>
  <si>
    <t>Hourly</t>
  </si>
  <si>
    <t>FICA</t>
  </si>
  <si>
    <t>Workers</t>
  </si>
  <si>
    <t>Unemploy-</t>
  </si>
  <si>
    <t>Other Benefits</t>
  </si>
  <si>
    <t>Times</t>
  </si>
  <si>
    <t>Annual/Total</t>
  </si>
  <si>
    <t>Annual Hours</t>
  </si>
  <si>
    <t>Hours</t>
  </si>
  <si>
    <t>Rate</t>
  </si>
  <si>
    <t>comp%</t>
  </si>
  <si>
    <t>ment  %</t>
  </si>
  <si>
    <t>Benefits %</t>
  </si>
  <si>
    <t>Per Yr.</t>
  </si>
  <si>
    <t>Emp type 1</t>
  </si>
  <si>
    <t>Emp type 2</t>
  </si>
  <si>
    <t>Emp type 3</t>
  </si>
  <si>
    <t>Labor cost</t>
  </si>
  <si>
    <t>as a  %</t>
  </si>
  <si>
    <t>Worksheet</t>
  </si>
  <si>
    <t>WORK AREA:</t>
  </si>
  <si>
    <t>Total Annual Operations Expense</t>
  </si>
  <si>
    <t xml:space="preserve">     INDIRECT COSTS</t>
  </si>
  <si>
    <t>ORGANIZATION</t>
  </si>
  <si>
    <t>DEPARTMENTAL</t>
  </si>
  <si>
    <t>Management Salaries</t>
  </si>
  <si>
    <t>Management Payroll Tax Expense</t>
  </si>
  <si>
    <t>Management Medical Insurance</t>
  </si>
  <si>
    <t>Management Pension Plan Expense</t>
  </si>
  <si>
    <t>Sales &amp; Administrative Salaries</t>
  </si>
  <si>
    <t>Sales &amp; Administrative Payroll Tax Expense</t>
  </si>
  <si>
    <t>Sales &amp; Administrative Medical Insurance</t>
  </si>
  <si>
    <t>Sales &amp; Administrative Pension Plan Expense</t>
  </si>
  <si>
    <t>Office Rent</t>
  </si>
  <si>
    <t>Advertising and Public Education</t>
  </si>
  <si>
    <t>Background Checks &amp; Urinalysis</t>
  </si>
  <si>
    <t>Professional &amp; Accounting / Audit Fees</t>
  </si>
  <si>
    <t>Training &amp; Worker Safety</t>
  </si>
  <si>
    <t xml:space="preserve"> Insurance</t>
  </si>
  <si>
    <t>Telephone</t>
  </si>
  <si>
    <t>Utilities</t>
  </si>
  <si>
    <t>Property Taxes/Licenses/Fees</t>
  </si>
  <si>
    <t>Dues &amp; Subscriptions</t>
  </si>
  <si>
    <t>Depreciation-office building</t>
  </si>
  <si>
    <t>Depreciation-office equipment</t>
  </si>
  <si>
    <t>Repairs &amp; Maintenance-office</t>
  </si>
  <si>
    <t>Cleaning and Maintenance</t>
  </si>
  <si>
    <t>Office Equipment Rental</t>
  </si>
  <si>
    <t>Office Supplies</t>
  </si>
  <si>
    <t>Postage &amp; Freight</t>
  </si>
  <si>
    <t>Rehab</t>
  </si>
  <si>
    <t>Miscellaneous Expense</t>
  </si>
  <si>
    <t>Bad Debts</t>
  </si>
  <si>
    <t>Other: *</t>
  </si>
  <si>
    <t>TOTAL INDIRECT COSTS</t>
  </si>
  <si>
    <t>% of wage</t>
  </si>
  <si>
    <t>Day Porter Services</t>
  </si>
  <si>
    <t>Per Service</t>
  </si>
  <si>
    <t>Cleaning Area</t>
  </si>
  <si>
    <t xml:space="preserve">Hours </t>
  </si>
  <si>
    <t>Supplies</t>
  </si>
  <si>
    <t>Equipment Cost</t>
  </si>
  <si>
    <t>Amortization</t>
  </si>
  <si>
    <t>Cost per</t>
  </si>
  <si>
    <t>Service</t>
  </si>
  <si>
    <t xml:space="preserve">Project % </t>
  </si>
  <si>
    <t>of Yearly Use</t>
  </si>
  <si>
    <t>Overhead</t>
  </si>
  <si>
    <t>Margin</t>
  </si>
  <si>
    <t>Transportation</t>
  </si>
  <si>
    <t>Margin*</t>
  </si>
  <si>
    <t>*Held In reserve for inventory and equipment replacement.</t>
  </si>
  <si>
    <t>Miles Per</t>
  </si>
  <si>
    <t>Rate Per</t>
  </si>
  <si>
    <t>Mile</t>
  </si>
  <si>
    <t>of Asset/months</t>
  </si>
  <si>
    <t>Area to be Serviced in square feet</t>
  </si>
  <si>
    <t>Price per square foot</t>
  </si>
  <si>
    <t>Price per service</t>
  </si>
  <si>
    <t xml:space="preserve"> </t>
  </si>
  <si>
    <t>SUBCONTRACTORS</t>
  </si>
  <si>
    <t>Cost per Time</t>
  </si>
  <si>
    <t>Subcontractor</t>
  </si>
  <si>
    <t>Service to be purchased</t>
  </si>
  <si>
    <t>Direct Labor Matrix</t>
  </si>
  <si>
    <t>Per Use/Per Item  - Supplies Matrix</t>
  </si>
  <si>
    <t>Durable EquipmentMatrix</t>
  </si>
  <si>
    <t>Emp type 4</t>
  </si>
  <si>
    <t>Emp type 5</t>
  </si>
  <si>
    <t>Oregon Forward Contractor</t>
  </si>
  <si>
    <t>Project/Contract #</t>
  </si>
  <si>
    <t>Emp type 6</t>
  </si>
  <si>
    <t>Emp type 7</t>
  </si>
  <si>
    <t>Emp type 8</t>
  </si>
  <si>
    <t>Emp type 9</t>
  </si>
  <si>
    <t>Emp type 10</t>
  </si>
  <si>
    <t>Column1</t>
  </si>
  <si>
    <t>sq. ft.</t>
  </si>
  <si>
    <t>Subcontractors will be utilized</t>
  </si>
  <si>
    <t>Return to Contract and Information</t>
  </si>
  <si>
    <t>Service Components Required by Contract and Plan to Fulfill the Contract</t>
  </si>
  <si>
    <t>Yes</t>
  </si>
  <si>
    <t>No</t>
  </si>
  <si>
    <t>Item Description</t>
  </si>
  <si>
    <t>Include unit size</t>
  </si>
  <si>
    <t>Monthly/Total</t>
  </si>
  <si>
    <t>Wage</t>
  </si>
  <si>
    <t>Frequency</t>
  </si>
  <si>
    <t>/ year</t>
  </si>
  <si>
    <t>/square foot</t>
  </si>
  <si>
    <t>/hour</t>
  </si>
  <si>
    <t>/service</t>
  </si>
  <si>
    <t>Summary Pricing</t>
  </si>
  <si>
    <t>Links to Pages</t>
  </si>
  <si>
    <t>Contract Information</t>
  </si>
  <si>
    <t>Public Agency</t>
  </si>
  <si>
    <t>Include size of container or lot</t>
  </si>
  <si>
    <t>Benefits</t>
  </si>
  <si>
    <t>Item</t>
  </si>
  <si>
    <t>Number</t>
  </si>
  <si>
    <t>Worker's Compensation</t>
  </si>
  <si>
    <t>Unemployment</t>
  </si>
  <si>
    <t>Exceptional Services</t>
  </si>
  <si>
    <t>Hourly Cost</t>
  </si>
  <si>
    <t>Exceptional Services Rate</t>
  </si>
  <si>
    <t>Payroll costs</t>
  </si>
  <si>
    <t>Equipment, Supplies, Transportation</t>
  </si>
  <si>
    <t>Payroll Costs</t>
  </si>
  <si>
    <t>Worker Description</t>
  </si>
  <si>
    <t>Other</t>
  </si>
  <si>
    <t xml:space="preserve">Hourly </t>
  </si>
  <si>
    <t>Emergency Services Rate</t>
  </si>
  <si>
    <t>Day Porter Hourly Services Rate</t>
  </si>
  <si>
    <t>All Carpets</t>
  </si>
  <si>
    <t>Other Periodic Services (List below)</t>
  </si>
  <si>
    <t>Rate per mile from GSA</t>
  </si>
  <si>
    <t xml:space="preserve">Mileage Reimbursement from GSA </t>
  </si>
  <si>
    <t xml:space="preserve">https://www.gsa.gov/travel?topnav=travel#tab--pov-mileage </t>
  </si>
  <si>
    <t>per mile</t>
  </si>
  <si>
    <t>Vehicle</t>
  </si>
  <si>
    <t>Vehicle type</t>
  </si>
  <si>
    <t>Average Annual Miles</t>
  </si>
  <si>
    <t>Annual Depreciation</t>
  </si>
  <si>
    <t xml:space="preserve">Annual Fuel </t>
  </si>
  <si>
    <t>Annual Maintenance</t>
  </si>
  <si>
    <t>Price per mile</t>
  </si>
  <si>
    <t>Typical</t>
  </si>
  <si>
    <t>Not Typical</t>
  </si>
  <si>
    <t>Services per</t>
  </si>
  <si>
    <t>Year</t>
  </si>
  <si>
    <t>Links to Periodical Services in this Worksheet</t>
  </si>
  <si>
    <t>Oregon Forward Program Monthly Janitorial Contract Price Calculation</t>
  </si>
  <si>
    <t>Oregon Forward Program Periodical Services Price Calculation</t>
  </si>
  <si>
    <t>Oregon Forward Program Overhead and Margin Information</t>
  </si>
  <si>
    <t>Oregon Forward Program Exceptional, Emergency and Day Porter Services</t>
  </si>
  <si>
    <t>Links to Services in this Worksheet</t>
  </si>
  <si>
    <t>Exceptional/Additional Services</t>
  </si>
  <si>
    <t>Oregon Forward Program Janitorial Services Planned Subcontractors</t>
  </si>
  <si>
    <t>Oregon Forward Program Janitorial Services Direct Labor Matrix</t>
  </si>
  <si>
    <t>Oregon Forward Program Janitorial Services Pricing Summary</t>
  </si>
  <si>
    <t>Oregon Forward Program Janitorial Services Transportation</t>
  </si>
  <si>
    <t>Oregon Forward Program Janitorial Services Contract Information</t>
  </si>
  <si>
    <t>Oregon Forward Program Janitorial Services Supplies</t>
  </si>
  <si>
    <t>Oregon Forward Program Janitorial Services Equipment List</t>
  </si>
  <si>
    <t>Equipment Description</t>
  </si>
  <si>
    <t>Include Brand and Model</t>
  </si>
  <si>
    <t>Purchase date</t>
  </si>
  <si>
    <t>Month for kt</t>
  </si>
  <si>
    <t>Vehicle Cost</t>
  </si>
  <si>
    <t>Labor Cost</t>
  </si>
  <si>
    <t>Price per Month</t>
  </si>
  <si>
    <t>Periodical Service</t>
  </si>
  <si>
    <t>End of Periodic Section</t>
  </si>
  <si>
    <t>Start of Periodic Section</t>
  </si>
  <si>
    <t>End of Periodical Services</t>
  </si>
  <si>
    <t>Worker Title</t>
  </si>
  <si>
    <t>Permission granted by the Public Agency and DAS</t>
  </si>
  <si>
    <t>Date of Purchase 
(mm/dd/yyyy)</t>
  </si>
  <si>
    <t>Purchased with a Grant?</t>
  </si>
  <si>
    <t>Durable Equipment</t>
  </si>
  <si>
    <t>Transportation cost</t>
  </si>
  <si>
    <t>Subcontractors</t>
  </si>
  <si>
    <t>Company Name</t>
  </si>
  <si>
    <t xml:space="preserve">Supplies </t>
  </si>
  <si>
    <t>Cost / Service</t>
  </si>
  <si>
    <t>Hard Floor Scrub and Seal</t>
  </si>
  <si>
    <t>Periodical Services</t>
  </si>
  <si>
    <t>Enter Periodical Service 4</t>
  </si>
  <si>
    <t>High Dusting</t>
  </si>
  <si>
    <t>Hard Floor Strip and Wax</t>
  </si>
  <si>
    <t>Carpet Cleaning, All Carpets</t>
  </si>
  <si>
    <t xml:space="preserve">Carpet Cleaning, High Traffic </t>
  </si>
  <si>
    <t>Other Periodic Services</t>
  </si>
  <si>
    <t>hrs/day</t>
  </si>
  <si>
    <t>STATE OF OREGON</t>
  </si>
  <si>
    <t>DEPARTMENT OF ADMINISTRATIVE SERVICES</t>
  </si>
  <si>
    <t>Oregon Forward Program Request for Price Approval</t>
  </si>
  <si>
    <t>Public Agency Customer:</t>
  </si>
  <si>
    <t xml:space="preserve">Oregon Forward Company: </t>
  </si>
  <si>
    <t xml:space="preserve">Service: </t>
  </si>
  <si>
    <t>Once completed, select the "microsoft print to pdf" option to facilitate the signature process</t>
  </si>
  <si>
    <t xml:space="preserve">   </t>
  </si>
  <si>
    <t>Public Agency Signature</t>
  </si>
  <si>
    <t>Signature Date</t>
  </si>
  <si>
    <t>Email Address</t>
  </si>
  <si>
    <t>Phone number</t>
  </si>
  <si>
    <t>Oregon Forward Contractor Signature</t>
  </si>
  <si>
    <t>DAS has reviewed the submitted documentation offered by the Oregon Forward Contractor. The price(s) listed are approved.in accordance with OAR 125-055-0030.</t>
  </si>
  <si>
    <t>Oregon Forward Program Signature</t>
  </si>
  <si>
    <t>Janitorial Services</t>
  </si>
  <si>
    <t>Periodical Services(Carpets, Hard Floors, Windows, Blinds, other periodical services</t>
  </si>
  <si>
    <t>Exceptional, Emergency and Day Porter Services</t>
  </si>
  <si>
    <t>Price Approval</t>
  </si>
  <si>
    <t>Wages and Benefits</t>
  </si>
  <si>
    <t>Proposal Preparer</t>
  </si>
  <si>
    <t>Cost per year</t>
  </si>
  <si>
    <t>Services per year</t>
  </si>
  <si>
    <t>Square feet per person per hour</t>
  </si>
  <si>
    <t>Per Year</t>
  </si>
  <si>
    <t>Units per</t>
  </si>
  <si>
    <t>per year</t>
  </si>
  <si>
    <t>Annual</t>
  </si>
  <si>
    <r>
      <rPr>
        <b/>
        <sz val="12"/>
        <rFont val="Arial"/>
        <family val="2"/>
      </rPr>
      <t>Contract number</t>
    </r>
    <r>
      <rPr>
        <b/>
        <sz val="11"/>
        <rFont val="Arial"/>
        <family val="2"/>
      </rPr>
      <t xml:space="preserve"> </t>
    </r>
    <r>
      <rPr>
        <sz val="11"/>
        <rFont val="Arial"/>
        <family val="2"/>
      </rPr>
      <t>(&amp; amendment#)</t>
    </r>
    <r>
      <rPr>
        <b/>
        <sz val="11"/>
        <rFont val="Arial"/>
        <family val="2"/>
      </rPr>
      <t>:</t>
    </r>
  </si>
  <si>
    <t>Transportation Cost Matrix</t>
  </si>
  <si>
    <t>% of Price</t>
  </si>
  <si>
    <t>Annual info</t>
  </si>
  <si>
    <t>Depreciation Term (Months)</t>
  </si>
  <si>
    <t>/month*</t>
  </si>
  <si>
    <t>List "Other Benefits" Provided. Sick Leave and Oregon Paid Leave will populate automatically</t>
  </si>
  <si>
    <t>Wages &amp; Benefits Matrix for all direct labor workers on this contract</t>
  </si>
  <si>
    <t>Durable EquipmentMatrix for all equipment that will be used to fufill contract</t>
  </si>
  <si>
    <t>List all Supplies that will be used tofulfill the contract.</t>
  </si>
  <si>
    <t>Emp type 11</t>
  </si>
  <si>
    <t>Emp type 12</t>
  </si>
  <si>
    <t>Emp type 13</t>
  </si>
  <si>
    <t>Emp type 14</t>
  </si>
  <si>
    <t>Emp type 15</t>
  </si>
  <si>
    <t>wage</t>
  </si>
  <si>
    <t>benefits</t>
  </si>
  <si>
    <t>Overhead &amp; Margin</t>
  </si>
  <si>
    <t>Wages and Benefits (includes Unemployment and Worker's Compensation</t>
  </si>
  <si>
    <t>Summary-Pricing</t>
  </si>
  <si>
    <t>Contract Requirement</t>
  </si>
  <si>
    <t xml:space="preserve"> Yes/No</t>
  </si>
  <si>
    <t>Included in Monthly Charge</t>
  </si>
  <si>
    <t>Yes/No</t>
  </si>
  <si>
    <t>Clean Chairs</t>
  </si>
  <si>
    <t>Number of Chairs</t>
  </si>
  <si>
    <t>Price per chair</t>
  </si>
  <si>
    <t>/per chair</t>
  </si>
  <si>
    <t>Area</t>
  </si>
  <si>
    <t>Number of chairs</t>
  </si>
  <si>
    <t>/month</t>
  </si>
  <si>
    <t>sq ft/person/ hr</t>
  </si>
  <si>
    <t>when "Worker Title" is replaced with a worker category/title.</t>
  </si>
  <si>
    <t>Replace "Worker Title" with the title for each type of worker.</t>
  </si>
  <si>
    <t>If any workers may use Overtime, create a worker title and information for that situation.</t>
  </si>
  <si>
    <t>Use the area below to show how you arrived at the final figure that you show</t>
  </si>
  <si>
    <t>as your total Overhead. Alternatively indicate that the calculation is entered</t>
  </si>
  <si>
    <t>Enter Periodical Service 6</t>
  </si>
  <si>
    <t>Revised1/2/2025</t>
  </si>
  <si>
    <t>Enter Periodical Service 5</t>
  </si>
  <si>
    <t>Enter Periodical Service 1</t>
  </si>
  <si>
    <t>Enter Periodical Service 2</t>
  </si>
  <si>
    <t>Enter Periodical Service 3</t>
  </si>
  <si>
    <t>TOTAL ANNUAL REVENUE</t>
  </si>
  <si>
    <t>TOTAL ANNUAL COSTS</t>
  </si>
  <si>
    <t>TOTAL ANNUAL EMPLOYEE HOURS</t>
  </si>
  <si>
    <t>OVERHEAD/REVENUE BASIS</t>
  </si>
  <si>
    <t>OVERHEAD/COST BASIS</t>
  </si>
  <si>
    <t>OVERHEAD/EMPLOYEE HOURS BASIS</t>
  </si>
  <si>
    <t xml:space="preserve">ORG.WIDE </t>
  </si>
  <si>
    <t>DEPARTMENT</t>
  </si>
  <si>
    <t xml:space="preserve">into the "OHCalc" spreadsheet, unless you are using the Worksheet in cells </t>
  </si>
  <si>
    <t>B14 through D62.</t>
  </si>
  <si>
    <t>Overhead as a percentage of total costs</t>
  </si>
  <si>
    <t>Enter Periodical Service 7</t>
  </si>
  <si>
    <t>Enter Periodical Service 8</t>
  </si>
  <si>
    <t>Enter Periodical Service 9</t>
  </si>
  <si>
    <t>Enter Periodical Service 10</t>
  </si>
  <si>
    <t>Trips per</t>
  </si>
  <si>
    <t>Trip</t>
  </si>
  <si>
    <t>per trip</t>
  </si>
  <si>
    <t>DP Hours per day</t>
  </si>
  <si>
    <t>Clean Upholstered Chairs</t>
  </si>
  <si>
    <t>Proposed Prices</t>
  </si>
  <si>
    <t>Title</t>
  </si>
  <si>
    <t>*Services included in Monthly Price have green background.</t>
  </si>
  <si>
    <t>Monthly Price, includes periodicals per SOW*</t>
  </si>
  <si>
    <t xml:space="preserve">Total Cost </t>
  </si>
  <si>
    <t>Form date: 10/24/25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</si>
</sst>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.000000_);_(&quot;$&quot;* \(#,##0.000000\);_(&quot;$&quot;* &quot;-&quot;??????_);_(@_)"/>
    <numFmt numFmtId="165" formatCode="_(* #,##0.0000_);_(* \(#,##0.0000\);_(* &quot;-&quot;??_);_(@_)"/>
    <numFmt numFmtId="166" formatCode="_(* #,##0_);_(* \(#,##0\);_(* &quot;-&quot;??_);_(@_)"/>
    <numFmt numFmtId="167" formatCode="#,##0.0_);\(#,##0.0\)"/>
    <numFmt numFmtId="168" formatCode="&quot;$&quot;#,##0.00"/>
    <numFmt numFmtId="169" formatCode="0.0%"/>
    <numFmt numFmtId="170" formatCode="0.0000"/>
    <numFmt numFmtId="171" formatCode="_(&quot;$&quot;* #,##0.000_);_(&quot;$&quot;* \(#,##0.000\);_(&quot;$&quot;* &quot;-&quot;??_);_(@_)"/>
    <numFmt numFmtId="172" formatCode="_(&quot;$&quot;* #,##0.0000_);_(&quot;$&quot;* \(#,##0.0000\);_(&quot;$&quot;* &quot;-&quot;????_);_(@_)"/>
    <numFmt numFmtId="173" formatCode="0_);\(0\)"/>
  </numFmts>
  <fonts count="47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4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i/>
      <sz val="11"/>
      <color indexed="8"/>
      <name val="Calibri"/>
      <family val="2"/>
      <scheme val="minor"/>
    </font>
    <font>
      <b/>
      <sz val="16"/>
      <name val="Arial"/>
      <family val="2"/>
    </font>
    <font>
      <b/>
      <sz val="24"/>
      <name val="Arial"/>
      <family val="2"/>
    </font>
    <font>
      <b/>
      <sz val="12"/>
      <name val="Arial"/>
      <family val="2"/>
    </font>
    <font>
      <u/>
      <sz val="10"/>
      <color indexed="12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sz val="8"/>
      <name val="Arial"/>
      <family val="2"/>
    </font>
    <font>
      <b/>
      <sz val="11"/>
      <color indexed="10"/>
      <name val="Arial"/>
      <family val="2"/>
    </font>
    <font>
      <b/>
      <u/>
      <sz val="10"/>
      <color indexed="12"/>
      <name val="Arial"/>
      <family val="2"/>
    </font>
    <font>
      <sz val="10"/>
      <color rgb="FF000000"/>
      <name val="Arial"/>
      <family val="2"/>
    </font>
    <font>
      <b/>
      <sz val="10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1"/>
      <name val="Arial"/>
      <family val="2"/>
    </font>
    <font>
      <sz val="10"/>
      <color rgb="FF040C28"/>
      <name val="Arial"/>
      <family val="2"/>
    </font>
    <font>
      <b/>
      <sz val="10"/>
      <color theme="1"/>
      <name val="Arial"/>
      <family val="2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6"/>
      <color theme="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4"/>
      <color indexed="12"/>
      <name val="Arial"/>
      <family val="2"/>
    </font>
    <font>
      <b/>
      <sz val="14"/>
      <name val="Arial"/>
      <family val="2"/>
    </font>
    <font>
      <b/>
      <i/>
      <sz val="10"/>
      <color theme="7" tint="-0.24994659260841701"/>
      <name val="Arial"/>
      <family val="2"/>
    </font>
    <font>
      <sz val="10"/>
      <color theme="1"/>
      <name val="Arial"/>
      <family val="2"/>
    </font>
    <font>
      <i/>
      <sz val="8"/>
      <name val="Arial"/>
      <family val="2"/>
    </font>
    <font>
      <b/>
      <sz val="11"/>
      <color theme="1"/>
      <name val="Arial"/>
      <family val="2"/>
    </font>
    <font>
      <sz val="14"/>
      <color theme="1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FFFF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"/>
      <family val="2"/>
    </font>
    <font>
      <b/>
      <sz val="16"/>
      <color theme="1"/>
      <name val="Arial"/>
      <family val="2"/>
    </font>
    <font>
      <sz val="10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8"/>
      <color theme="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CFF"/>
        <bgColor indexed="64"/>
      </patternFill>
    </fill>
  </fills>
  <borders count="15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ck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rgb="FF000000"/>
      </bottom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000000"/>
      </left>
      <right/>
      <top/>
      <bottom/>
      <diagonal/>
    </border>
    <border>
      <left style="double">
        <color rgb="FF000000"/>
      </left>
      <right/>
      <top style="thin">
        <color indexed="64"/>
      </top>
      <bottom style="thin">
        <color indexed="64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/>
      <right style="double">
        <color rgb="FF000000"/>
      </right>
      <top/>
      <bottom/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medium">
        <color rgb="FF000000"/>
      </right>
      <top style="double">
        <color rgb="FF000000"/>
      </top>
      <bottom style="medium">
        <color rgb="FF000000"/>
      </bottom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double">
        <color rgb="FF000000"/>
      </top>
      <bottom/>
      <diagonal/>
    </border>
    <border>
      <left style="thin">
        <color indexed="64"/>
      </left>
      <right style="double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medium">
        <color rgb="FF000000"/>
      </bottom>
      <diagonal/>
    </border>
    <border>
      <left style="double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auto="1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double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double">
        <color rgb="FF000000"/>
      </right>
      <top style="thin">
        <color rgb="FF000000"/>
      </top>
      <bottom style="medium">
        <color rgb="FF000000"/>
      </bottom>
      <diagonal/>
    </border>
    <border>
      <left style="double">
        <color rgb="FF000000"/>
      </left>
      <right/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medium">
        <color indexed="64"/>
      </right>
      <top style="thin">
        <color rgb="FF000000"/>
      </top>
      <bottom/>
      <diagonal/>
    </border>
    <border>
      <left style="thin">
        <color indexed="64"/>
      </left>
      <right style="double">
        <color rgb="FF000000"/>
      </right>
      <top style="thin">
        <color rgb="FF000000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</borders>
  <cellStyleXfs count="10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9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</cellStyleXfs>
  <cellXfs count="863">
    <xf numFmtId="0" fontId="0" fillId="0" borderId="0" xfId="0"/>
    <xf numFmtId="44" fontId="0" fillId="0" borderId="0" xfId="0" applyNumberFormat="1"/>
    <xf numFmtId="0" fontId="3" fillId="0" borderId="0" xfId="0" applyFont="1"/>
    <xf numFmtId="0" fontId="6" fillId="0" borderId="0" xfId="0" applyFont="1"/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center"/>
    </xf>
    <xf numFmtId="0" fontId="0" fillId="0" borderId="0" xfId="0" applyAlignment="1">
      <alignment horizontal="center"/>
    </xf>
    <xf numFmtId="0" fontId="11" fillId="0" borderId="0" xfId="0" applyFont="1"/>
    <xf numFmtId="0" fontId="4" fillId="0" borderId="5" xfId="0" applyFont="1" applyBorder="1"/>
    <xf numFmtId="0" fontId="5" fillId="0" borderId="5" xfId="0" applyFont="1" applyBorder="1" applyAlignment="1">
      <alignment horizontal="center"/>
    </xf>
    <xf numFmtId="0" fontId="5" fillId="0" borderId="35" xfId="0" applyFont="1" applyBorder="1"/>
    <xf numFmtId="0" fontId="5" fillId="0" borderId="36" xfId="0" applyFont="1" applyBorder="1"/>
    <xf numFmtId="0" fontId="5" fillId="2" borderId="36" xfId="0" applyFont="1" applyFill="1" applyBorder="1" applyProtection="1">
      <protection locked="0"/>
    </xf>
    <xf numFmtId="0" fontId="5" fillId="2" borderId="8" xfId="0" applyFont="1" applyFill="1" applyBorder="1" applyProtection="1">
      <protection locked="0"/>
    </xf>
    <xf numFmtId="0" fontId="5" fillId="0" borderId="0" xfId="0" applyFont="1"/>
    <xf numFmtId="44" fontId="5" fillId="3" borderId="5" xfId="2" applyFont="1" applyFill="1" applyBorder="1" applyAlignment="1">
      <alignment horizontal="right"/>
    </xf>
    <xf numFmtId="1" fontId="14" fillId="0" borderId="0" xfId="0" applyNumberFormat="1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7" fillId="0" borderId="0" xfId="0" applyFont="1"/>
    <xf numFmtId="0" fontId="0" fillId="0" borderId="0" xfId="0" applyAlignment="1">
      <alignment horizontal="right"/>
    </xf>
    <xf numFmtId="0" fontId="4" fillId="0" borderId="19" xfId="0" applyFont="1" applyBorder="1" applyAlignment="1">
      <alignment horizontal="center"/>
    </xf>
    <xf numFmtId="0" fontId="4" fillId="0" borderId="1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/>
    </xf>
    <xf numFmtId="44" fontId="0" fillId="3" borderId="8" xfId="2" applyFont="1" applyFill="1" applyBorder="1" applyProtection="1"/>
    <xf numFmtId="167" fontId="0" fillId="3" borderId="8" xfId="2" applyNumberFormat="1" applyFont="1" applyFill="1" applyBorder="1" applyProtection="1"/>
    <xf numFmtId="44" fontId="0" fillId="3" borderId="9" xfId="2" applyFont="1" applyFill="1" applyBorder="1" applyProtection="1"/>
    <xf numFmtId="167" fontId="0" fillId="3" borderId="9" xfId="2" applyNumberFormat="1" applyFont="1" applyFill="1" applyBorder="1" applyProtection="1"/>
    <xf numFmtId="0" fontId="0" fillId="0" borderId="19" xfId="0" applyBorder="1" applyAlignment="1">
      <alignment horizontal="center"/>
    </xf>
    <xf numFmtId="168" fontId="0" fillId="0" borderId="0" xfId="0" applyNumberFormat="1"/>
    <xf numFmtId="0" fontId="4" fillId="0" borderId="0" xfId="0" applyFont="1"/>
    <xf numFmtId="164" fontId="0" fillId="0" borderId="0" xfId="0" applyNumberFormat="1"/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/>
    </xf>
    <xf numFmtId="0" fontId="15" fillId="0" borderId="7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4" borderId="5" xfId="0" applyFill="1" applyBorder="1" applyProtection="1">
      <protection locked="0"/>
    </xf>
    <xf numFmtId="165" fontId="0" fillId="4" borderId="5" xfId="1" applyNumberFormat="1" applyFont="1" applyFill="1" applyBorder="1" applyProtection="1">
      <protection locked="0"/>
    </xf>
    <xf numFmtId="165" fontId="0" fillId="4" borderId="9" xfId="1" applyNumberFormat="1" applyFont="1" applyFill="1" applyBorder="1" applyProtection="1">
      <protection locked="0"/>
    </xf>
    <xf numFmtId="165" fontId="0" fillId="4" borderId="8" xfId="1" applyNumberFormat="1" applyFont="1" applyFill="1" applyBorder="1" applyProtection="1">
      <protection locked="0"/>
    </xf>
    <xf numFmtId="166" fontId="0" fillId="4" borderId="5" xfId="1" applyNumberFormat="1" applyFont="1" applyFill="1" applyBorder="1" applyProtection="1">
      <protection locked="0"/>
    </xf>
    <xf numFmtId="166" fontId="0" fillId="4" borderId="9" xfId="1" applyNumberFormat="1" applyFont="1" applyFill="1" applyBorder="1" applyProtection="1">
      <protection locked="0"/>
    </xf>
    <xf numFmtId="166" fontId="0" fillId="4" borderId="8" xfId="1" applyNumberFormat="1" applyFont="1" applyFill="1" applyBorder="1" applyProtection="1">
      <protection locked="0"/>
    </xf>
    <xf numFmtId="0" fontId="0" fillId="0" borderId="0" xfId="0" applyAlignment="1">
      <alignment wrapText="1"/>
    </xf>
    <xf numFmtId="44" fontId="5" fillId="4" borderId="8" xfId="2" applyFont="1" applyFill="1" applyBorder="1" applyAlignment="1" applyProtection="1">
      <alignment horizontal="right"/>
      <protection locked="0"/>
    </xf>
    <xf numFmtId="44" fontId="5" fillId="4" borderId="5" xfId="2" applyFont="1" applyFill="1" applyBorder="1" applyAlignment="1" applyProtection="1">
      <alignment horizontal="right"/>
      <protection locked="0"/>
    </xf>
    <xf numFmtId="0" fontId="5" fillId="4" borderId="3" xfId="7" applyFill="1" applyBorder="1" applyProtection="1">
      <protection locked="0"/>
    </xf>
    <xf numFmtId="8" fontId="5" fillId="4" borderId="3" xfId="7" applyNumberFormat="1" applyFill="1" applyBorder="1" applyProtection="1">
      <protection locked="0"/>
    </xf>
    <xf numFmtId="0" fontId="17" fillId="0" borderId="0" xfId="4" applyFont="1" applyAlignment="1" applyProtection="1"/>
    <xf numFmtId="0" fontId="4" fillId="0" borderId="13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2" fillId="0" borderId="0" xfId="4" applyAlignment="1" applyProtection="1">
      <alignment horizontal="center"/>
    </xf>
    <xf numFmtId="169" fontId="0" fillId="3" borderId="8" xfId="2" applyNumberFormat="1" applyFont="1" applyFill="1" applyBorder="1" applyProtection="1"/>
    <xf numFmtId="169" fontId="0" fillId="3" borderId="9" xfId="2" applyNumberFormat="1" applyFont="1" applyFill="1" applyBorder="1" applyProtection="1"/>
    <xf numFmtId="0" fontId="5" fillId="0" borderId="0" xfId="0" applyFont="1" applyAlignment="1" applyProtection="1">
      <alignment horizontal="center" vertical="center" wrapText="1"/>
      <protection locked="0"/>
    </xf>
    <xf numFmtId="0" fontId="12" fillId="0" borderId="0" xfId="4" applyAlignment="1" applyProtection="1"/>
    <xf numFmtId="166" fontId="0" fillId="4" borderId="16" xfId="1" applyNumberFormat="1" applyFont="1" applyFill="1" applyBorder="1" applyProtection="1">
      <protection locked="0"/>
    </xf>
    <xf numFmtId="44" fontId="0" fillId="3" borderId="5" xfId="2" applyFont="1" applyFill="1" applyBorder="1" applyProtection="1"/>
    <xf numFmtId="44" fontId="0" fillId="3" borderId="16" xfId="2" applyFont="1" applyFill="1" applyBorder="1" applyProtection="1"/>
    <xf numFmtId="169" fontId="0" fillId="3" borderId="16" xfId="2" applyNumberFormat="1" applyFont="1" applyFill="1" applyBorder="1" applyProtection="1"/>
    <xf numFmtId="167" fontId="0" fillId="3" borderId="16" xfId="2" applyNumberFormat="1" applyFont="1" applyFill="1" applyBorder="1" applyProtection="1"/>
    <xf numFmtId="169" fontId="0" fillId="3" borderId="5" xfId="2" applyNumberFormat="1" applyFont="1" applyFill="1" applyBorder="1" applyProtection="1"/>
    <xf numFmtId="167" fontId="0" fillId="3" borderId="5" xfId="2" applyNumberFormat="1" applyFont="1" applyFill="1" applyBorder="1" applyProtection="1"/>
    <xf numFmtId="165" fontId="0" fillId="4" borderId="16" xfId="8" applyNumberFormat="1" applyFont="1" applyFill="1" applyBorder="1" applyProtection="1">
      <protection locked="0"/>
    </xf>
    <xf numFmtId="165" fontId="0" fillId="4" borderId="5" xfId="8" applyNumberFormat="1" applyFont="1" applyFill="1" applyBorder="1" applyProtection="1">
      <protection locked="0"/>
    </xf>
    <xf numFmtId="165" fontId="0" fillId="4" borderId="9" xfId="8" applyNumberFormat="1" applyFont="1" applyFill="1" applyBorder="1" applyProtection="1">
      <protection locked="0"/>
    </xf>
    <xf numFmtId="165" fontId="0" fillId="4" borderId="8" xfId="8" applyNumberFormat="1" applyFont="1" applyFill="1" applyBorder="1" applyProtection="1">
      <protection locked="0"/>
    </xf>
    <xf numFmtId="0" fontId="0" fillId="0" borderId="0" xfId="0" applyProtection="1">
      <protection hidden="1"/>
    </xf>
    <xf numFmtId="3" fontId="0" fillId="0" borderId="0" xfId="0" applyNumberFormat="1"/>
    <xf numFmtId="170" fontId="0" fillId="0" borderId="0" xfId="0" applyNumberFormat="1"/>
    <xf numFmtId="10" fontId="0" fillId="3" borderId="16" xfId="2" applyNumberFormat="1" applyFont="1" applyFill="1" applyBorder="1" applyProtection="1"/>
    <xf numFmtId="10" fontId="0" fillId="3" borderId="5" xfId="2" applyNumberFormat="1" applyFont="1" applyFill="1" applyBorder="1" applyProtection="1"/>
    <xf numFmtId="10" fontId="0" fillId="3" borderId="9" xfId="2" applyNumberFormat="1" applyFont="1" applyFill="1" applyBorder="1" applyProtection="1"/>
    <xf numFmtId="10" fontId="0" fillId="3" borderId="8" xfId="2" applyNumberFormat="1" applyFont="1" applyFill="1" applyBorder="1" applyProtection="1"/>
    <xf numFmtId="0" fontId="15" fillId="0" borderId="0" xfId="0" applyFont="1" applyAlignment="1">
      <alignment horizontal="center"/>
    </xf>
    <xf numFmtId="44" fontId="5" fillId="4" borderId="31" xfId="0" applyNumberFormat="1" applyFont="1" applyFill="1" applyBorder="1" applyAlignment="1" applyProtection="1">
      <alignment horizontal="center" vertical="center"/>
      <protection locked="0"/>
    </xf>
    <xf numFmtId="0" fontId="0" fillId="0" borderId="4" xfId="0" applyBorder="1"/>
    <xf numFmtId="10" fontId="0" fillId="7" borderId="16" xfId="3" applyNumberFormat="1" applyFont="1" applyFill="1" applyBorder="1" applyProtection="1"/>
    <xf numFmtId="10" fontId="0" fillId="7" borderId="5" xfId="3" applyNumberFormat="1" applyFont="1" applyFill="1" applyBorder="1" applyProtection="1"/>
    <xf numFmtId="10" fontId="0" fillId="7" borderId="9" xfId="3" applyNumberFormat="1" applyFont="1" applyFill="1" applyBorder="1" applyProtection="1"/>
    <xf numFmtId="10" fontId="0" fillId="7" borderId="8" xfId="3" applyNumberFormat="1" applyFont="1" applyFill="1" applyBorder="1" applyProtection="1"/>
    <xf numFmtId="44" fontId="5" fillId="7" borderId="5" xfId="6" applyFont="1" applyFill="1" applyBorder="1" applyAlignment="1" applyProtection="1">
      <alignment shrinkToFit="1"/>
    </xf>
    <xf numFmtId="0" fontId="0" fillId="0" borderId="4" xfId="0" applyBorder="1" applyAlignment="1">
      <alignment horizontal="center"/>
    </xf>
    <xf numFmtId="0" fontId="4" fillId="0" borderId="12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44" fontId="5" fillId="0" borderId="45" xfId="6" applyFont="1" applyFill="1" applyBorder="1" applyAlignment="1" applyProtection="1">
      <alignment horizontal="center"/>
    </xf>
    <xf numFmtId="39" fontId="5" fillId="0" borderId="45" xfId="6" applyNumberFormat="1" applyFont="1" applyFill="1" applyBorder="1" applyAlignment="1" applyProtection="1">
      <alignment horizontal="center"/>
    </xf>
    <xf numFmtId="10" fontId="5" fillId="0" borderId="45" xfId="5" applyNumberFormat="1" applyFont="1" applyFill="1" applyBorder="1" applyAlignment="1" applyProtection="1">
      <alignment horizontal="center"/>
    </xf>
    <xf numFmtId="10" fontId="0" fillId="0" borderId="45" xfId="6" applyNumberFormat="1" applyFont="1" applyFill="1" applyBorder="1" applyAlignment="1" applyProtection="1">
      <alignment horizontal="center"/>
    </xf>
    <xf numFmtId="44" fontId="0" fillId="0" borderId="45" xfId="6" applyFont="1" applyFill="1" applyBorder="1" applyAlignment="1" applyProtection="1">
      <alignment horizontal="center"/>
    </xf>
    <xf numFmtId="0" fontId="0" fillId="8" borderId="4" xfId="0" applyFill="1" applyBorder="1" applyAlignment="1">
      <alignment vertical="center"/>
    </xf>
    <xf numFmtId="0" fontId="0" fillId="8" borderId="4" xfId="0" applyFill="1" applyBorder="1"/>
    <xf numFmtId="0" fontId="0" fillId="8" borderId="4" xfId="0" applyFill="1" applyBorder="1" applyAlignment="1">
      <alignment horizontal="center"/>
    </xf>
    <xf numFmtId="10" fontId="0" fillId="8" borderId="4" xfId="0" applyNumberFormat="1" applyFill="1" applyBorder="1" applyAlignment="1">
      <alignment horizontal="center"/>
    </xf>
    <xf numFmtId="0" fontId="4" fillId="8" borderId="4" xfId="0" applyFont="1" applyFill="1" applyBorder="1" applyAlignment="1">
      <alignment horizontal="center"/>
    </xf>
    <xf numFmtId="10" fontId="0" fillId="0" borderId="19" xfId="0" applyNumberFormat="1" applyBorder="1" applyAlignment="1">
      <alignment horizontal="center"/>
    </xf>
    <xf numFmtId="0" fontId="5" fillId="0" borderId="0" xfId="4" applyFont="1" applyAlignment="1" applyProtection="1"/>
    <xf numFmtId="3" fontId="12" fillId="0" borderId="0" xfId="4" applyNumberFormat="1" applyAlignment="1" applyProtection="1"/>
    <xf numFmtId="0" fontId="20" fillId="0" borderId="0" xfId="0" applyFont="1"/>
    <xf numFmtId="0" fontId="0" fillId="0" borderId="0" xfId="0" applyAlignment="1">
      <alignment horizontal="center" vertical="center"/>
    </xf>
    <xf numFmtId="0" fontId="0" fillId="0" borderId="0" xfId="0" applyAlignment="1">
      <alignment shrinkToFit="1"/>
    </xf>
    <xf numFmtId="0" fontId="12" fillId="0" borderId="0" xfId="4" applyAlignment="1" applyProtection="1">
      <alignment shrinkToFit="1"/>
    </xf>
    <xf numFmtId="171" fontId="0" fillId="0" borderId="0" xfId="2" applyNumberFormat="1" applyFont="1" applyAlignment="1" applyProtection="1">
      <alignment horizontal="center" vertical="center"/>
    </xf>
    <xf numFmtId="14" fontId="22" fillId="0" borderId="0" xfId="0" applyNumberFormat="1" applyFont="1"/>
    <xf numFmtId="0" fontId="23" fillId="0" borderId="47" xfId="0" applyFont="1" applyBorder="1" applyAlignment="1">
      <alignment horizontal="center" vertical="center"/>
    </xf>
    <xf numFmtId="0" fontId="23" fillId="0" borderId="48" xfId="0" applyFont="1" applyBorder="1" applyAlignment="1">
      <alignment horizontal="center" vertical="center"/>
    </xf>
    <xf numFmtId="0" fontId="23" fillId="0" borderId="49" xfId="0" applyFont="1" applyBorder="1" applyAlignment="1">
      <alignment horizontal="center" vertical="center" wrapText="1"/>
    </xf>
    <xf numFmtId="0" fontId="23" fillId="0" borderId="50" xfId="0" applyFont="1" applyBorder="1" applyAlignment="1">
      <alignment horizontal="center" vertical="center" wrapText="1"/>
    </xf>
    <xf numFmtId="0" fontId="23" fillId="0" borderId="51" xfId="0" applyFont="1" applyBorder="1" applyAlignment="1">
      <alignment horizontal="center" vertical="center" wrapText="1"/>
    </xf>
    <xf numFmtId="44" fontId="0" fillId="3" borderId="16" xfId="6" applyFont="1" applyFill="1" applyBorder="1" applyProtection="1"/>
    <xf numFmtId="44" fontId="0" fillId="3" borderId="5" xfId="6" applyFont="1" applyFill="1" applyBorder="1" applyProtection="1"/>
    <xf numFmtId="0" fontId="24" fillId="0" borderId="0" xfId="0" applyFont="1" applyAlignment="1">
      <alignment horizontal="center" vertical="center"/>
    </xf>
    <xf numFmtId="0" fontId="25" fillId="0" borderId="0" xfId="0" applyFont="1"/>
    <xf numFmtId="0" fontId="0" fillId="4" borderId="53" xfId="0" applyFill="1" applyBorder="1" applyProtection="1">
      <protection locked="0"/>
    </xf>
    <xf numFmtId="0" fontId="0" fillId="4" borderId="54" xfId="0" applyFill="1" applyBorder="1" applyProtection="1">
      <protection locked="0"/>
    </xf>
    <xf numFmtId="166" fontId="0" fillId="4" borderId="56" xfId="1" applyNumberFormat="1" applyFont="1" applyFill="1" applyBorder="1" applyProtection="1">
      <protection locked="0"/>
    </xf>
    <xf numFmtId="0" fontId="0" fillId="4" borderId="59" xfId="0" applyFill="1" applyBorder="1" applyProtection="1">
      <protection locked="0"/>
    </xf>
    <xf numFmtId="0" fontId="19" fillId="0" borderId="64" xfId="0" applyFont="1" applyBorder="1"/>
    <xf numFmtId="0" fontId="3" fillId="0" borderId="64" xfId="0" applyFont="1" applyBorder="1"/>
    <xf numFmtId="0" fontId="4" fillId="0" borderId="65" xfId="0" applyFont="1" applyBorder="1" applyAlignment="1">
      <alignment horizontal="center" vertical="center"/>
    </xf>
    <xf numFmtId="0" fontId="15" fillId="0" borderId="66" xfId="0" applyFont="1" applyBorder="1" applyAlignment="1">
      <alignment horizontal="center"/>
    </xf>
    <xf numFmtId="0" fontId="15" fillId="0" borderId="67" xfId="0" applyFont="1" applyBorder="1" applyAlignment="1">
      <alignment horizontal="center"/>
    </xf>
    <xf numFmtId="0" fontId="4" fillId="0" borderId="68" xfId="0" applyFont="1" applyBorder="1" applyAlignment="1">
      <alignment horizontal="center" vertical="center"/>
    </xf>
    <xf numFmtId="0" fontId="15" fillId="0" borderId="69" xfId="0" applyFont="1" applyBorder="1" applyAlignment="1">
      <alignment horizontal="center"/>
    </xf>
    <xf numFmtId="0" fontId="4" fillId="0" borderId="70" xfId="0" applyFont="1" applyBorder="1" applyAlignment="1">
      <alignment horizontal="center" vertical="center"/>
    </xf>
    <xf numFmtId="0" fontId="15" fillId="0" borderId="71" xfId="0" applyFont="1" applyBorder="1" applyAlignment="1">
      <alignment horizontal="center"/>
    </xf>
    <xf numFmtId="0" fontId="4" fillId="0" borderId="72" xfId="0" applyFont="1" applyBorder="1" applyAlignment="1">
      <alignment horizontal="center" vertical="center"/>
    </xf>
    <xf numFmtId="10" fontId="5" fillId="4" borderId="39" xfId="3" applyNumberFormat="1" applyFont="1" applyFill="1" applyBorder="1" applyAlignment="1" applyProtection="1">
      <alignment horizontal="center" vertical="center"/>
      <protection locked="0"/>
    </xf>
    <xf numFmtId="10" fontId="5" fillId="4" borderId="32" xfId="3" applyNumberFormat="1" applyFont="1" applyFill="1" applyBorder="1" applyAlignment="1" applyProtection="1">
      <alignment horizontal="center" vertical="center"/>
      <protection locked="0"/>
    </xf>
    <xf numFmtId="10" fontId="5" fillId="7" borderId="37" xfId="3" applyNumberFormat="1" applyFont="1" applyFill="1" applyBorder="1" applyAlignment="1" applyProtection="1">
      <alignment horizontal="center" vertical="center" wrapText="1"/>
    </xf>
    <xf numFmtId="9" fontId="0" fillId="4" borderId="16" xfId="1" applyNumberFormat="1" applyFont="1" applyFill="1" applyBorder="1" applyProtection="1">
      <protection locked="0"/>
    </xf>
    <xf numFmtId="9" fontId="0" fillId="4" borderId="5" xfId="1" applyNumberFormat="1" applyFont="1" applyFill="1" applyBorder="1" applyProtection="1">
      <protection locked="0"/>
    </xf>
    <xf numFmtId="9" fontId="0" fillId="4" borderId="9" xfId="1" applyNumberFormat="1" applyFont="1" applyFill="1" applyBorder="1" applyProtection="1">
      <protection locked="0"/>
    </xf>
    <xf numFmtId="9" fontId="0" fillId="4" borderId="8" xfId="1" applyNumberFormat="1" applyFont="1" applyFill="1" applyBorder="1" applyProtection="1">
      <protection locked="0"/>
    </xf>
    <xf numFmtId="0" fontId="4" fillId="0" borderId="18" xfId="0" applyFont="1" applyBorder="1" applyAlignment="1">
      <alignment horizontal="center"/>
    </xf>
    <xf numFmtId="39" fontId="5" fillId="7" borderId="77" xfId="6" applyNumberFormat="1" applyFont="1" applyFill="1" applyBorder="1" applyAlignment="1" applyProtection="1">
      <alignment horizontal="center"/>
    </xf>
    <xf numFmtId="10" fontId="5" fillId="7" borderId="77" xfId="5" applyNumberFormat="1" applyFont="1" applyFill="1" applyBorder="1" applyAlignment="1" applyProtection="1">
      <alignment horizontal="center"/>
    </xf>
    <xf numFmtId="10" fontId="0" fillId="3" borderId="77" xfId="6" applyNumberFormat="1" applyFont="1" applyFill="1" applyBorder="1" applyAlignment="1" applyProtection="1">
      <alignment horizontal="center"/>
    </xf>
    <xf numFmtId="44" fontId="0" fillId="3" borderId="78" xfId="6" applyFont="1" applyFill="1" applyBorder="1" applyAlignment="1" applyProtection="1">
      <alignment horizontal="center"/>
    </xf>
    <xf numFmtId="0" fontId="5" fillId="0" borderId="0" xfId="0" applyFont="1" applyAlignment="1">
      <alignment horizontal="center" vertical="center" wrapText="1"/>
    </xf>
    <xf numFmtId="168" fontId="5" fillId="0" borderId="0" xfId="0" applyNumberFormat="1" applyFont="1" applyAlignment="1">
      <alignment horizontal="center" vertical="center"/>
    </xf>
    <xf numFmtId="37" fontId="0" fillId="4" borderId="1" xfId="0" applyNumberFormat="1" applyFill="1" applyBorder="1" applyProtection="1">
      <protection locked="0"/>
    </xf>
    <xf numFmtId="10" fontId="0" fillId="4" borderId="5" xfId="3" applyNumberFormat="1" applyFont="1" applyFill="1" applyBorder="1" applyProtection="1">
      <protection locked="0"/>
    </xf>
    <xf numFmtId="9" fontId="0" fillId="0" borderId="0" xfId="3" applyFont="1" applyFill="1" applyBorder="1" applyProtection="1"/>
    <xf numFmtId="10" fontId="5" fillId="7" borderId="39" xfId="3" applyNumberFormat="1" applyFont="1" applyFill="1" applyBorder="1" applyAlignment="1" applyProtection="1">
      <alignment horizontal="center" vertical="center" wrapText="1"/>
    </xf>
    <xf numFmtId="0" fontId="0" fillId="6" borderId="76" xfId="0" applyFill="1" applyBorder="1" applyAlignment="1" applyProtection="1">
      <alignment horizontal="center" vertical="center"/>
      <protection locked="0"/>
    </xf>
    <xf numFmtId="0" fontId="4" fillId="0" borderId="4" xfId="0" applyFont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3" fontId="27" fillId="8" borderId="0" xfId="0" applyNumberFormat="1" applyFont="1" applyFill="1" applyAlignment="1">
      <alignment horizontal="left" vertical="center"/>
    </xf>
    <xf numFmtId="3" fontId="26" fillId="8" borderId="0" xfId="0" applyNumberFormat="1" applyFont="1" applyFill="1" applyAlignment="1">
      <alignment horizontal="left" vertical="center"/>
    </xf>
    <xf numFmtId="0" fontId="5" fillId="0" borderId="0" xfId="7" applyProtection="1">
      <protection locked="0"/>
    </xf>
    <xf numFmtId="44" fontId="5" fillId="0" borderId="0" xfId="6" applyFont="1" applyFill="1" applyBorder="1"/>
    <xf numFmtId="0" fontId="4" fillId="0" borderId="52" xfId="7" applyFont="1" applyBorder="1" applyAlignment="1">
      <alignment horizontal="center" wrapText="1"/>
    </xf>
    <xf numFmtId="0" fontId="5" fillId="4" borderId="53" xfId="7" applyFill="1" applyBorder="1" applyProtection="1">
      <protection locked="0"/>
    </xf>
    <xf numFmtId="44" fontId="5" fillId="4" borderId="79" xfId="6" applyFont="1" applyFill="1" applyBorder="1" applyProtection="1">
      <protection locked="0"/>
    </xf>
    <xf numFmtId="8" fontId="5" fillId="4" borderId="53" xfId="7" applyNumberFormat="1" applyFill="1" applyBorder="1" applyProtection="1">
      <protection locked="0"/>
    </xf>
    <xf numFmtId="0" fontId="5" fillId="4" borderId="54" xfId="7" applyFill="1" applyBorder="1" applyProtection="1">
      <protection locked="0"/>
    </xf>
    <xf numFmtId="0" fontId="5" fillId="4" borderId="85" xfId="7" applyFill="1" applyBorder="1" applyProtection="1">
      <protection locked="0"/>
    </xf>
    <xf numFmtId="44" fontId="5" fillId="4" borderId="80" xfId="6" applyFont="1" applyFill="1" applyBorder="1" applyProtection="1">
      <protection locked="0"/>
    </xf>
    <xf numFmtId="3" fontId="12" fillId="4" borderId="5" xfId="4" applyNumberFormat="1" applyFill="1" applyBorder="1" applyAlignment="1" applyProtection="1">
      <protection locked="0"/>
    </xf>
    <xf numFmtId="0" fontId="29" fillId="0" borderId="0" xfId="4" applyFont="1" applyAlignment="1" applyProtection="1"/>
    <xf numFmtId="3" fontId="12" fillId="0" borderId="5" xfId="4" applyNumberFormat="1" applyFill="1" applyBorder="1" applyAlignment="1" applyProtection="1">
      <protection locked="0"/>
    </xf>
    <xf numFmtId="0" fontId="0" fillId="6" borderId="53" xfId="0" applyFill="1" applyBorder="1" applyAlignment="1" applyProtection="1">
      <alignment shrinkToFit="1"/>
      <protection locked="0"/>
    </xf>
    <xf numFmtId="0" fontId="0" fillId="6" borderId="2" xfId="0" applyFill="1" applyBorder="1" applyAlignment="1" applyProtection="1">
      <alignment shrinkToFit="1"/>
      <protection locked="0"/>
    </xf>
    <xf numFmtId="3" fontId="0" fillId="6" borderId="5" xfId="0" applyNumberFormat="1" applyFill="1" applyBorder="1" applyAlignment="1" applyProtection="1">
      <alignment shrinkToFit="1"/>
      <protection locked="0"/>
    </xf>
    <xf numFmtId="44" fontId="0" fillId="6" borderId="5" xfId="0" applyNumberFormat="1" applyFill="1" applyBorder="1" applyAlignment="1" applyProtection="1">
      <alignment shrinkToFit="1"/>
      <protection locked="0"/>
    </xf>
    <xf numFmtId="14" fontId="0" fillId="6" borderId="5" xfId="0" applyNumberFormat="1" applyFill="1" applyBorder="1" applyAlignment="1" applyProtection="1">
      <alignment shrinkToFit="1"/>
      <protection locked="0"/>
    </xf>
    <xf numFmtId="1" fontId="0" fillId="6" borderId="5" xfId="0" applyNumberFormat="1" applyFill="1" applyBorder="1" applyAlignment="1" applyProtection="1">
      <alignment shrinkToFit="1"/>
      <protection locked="0"/>
    </xf>
    <xf numFmtId="44" fontId="0" fillId="6" borderId="1" xfId="0" applyNumberFormat="1" applyFill="1" applyBorder="1" applyAlignment="1" applyProtection="1">
      <alignment shrinkToFit="1"/>
      <protection locked="0"/>
    </xf>
    <xf numFmtId="0" fontId="0" fillId="6" borderId="54" xfId="0" applyFill="1" applyBorder="1" applyAlignment="1" applyProtection="1">
      <alignment shrinkToFit="1"/>
      <protection locked="0"/>
    </xf>
    <xf numFmtId="0" fontId="0" fillId="6" borderId="55" xfId="0" applyFill="1" applyBorder="1" applyAlignment="1" applyProtection="1">
      <alignment shrinkToFit="1"/>
      <protection locked="0"/>
    </xf>
    <xf numFmtId="3" fontId="0" fillId="6" borderId="56" xfId="0" applyNumberFormat="1" applyFill="1" applyBorder="1" applyAlignment="1" applyProtection="1">
      <alignment shrinkToFit="1"/>
      <protection locked="0"/>
    </xf>
    <xf numFmtId="44" fontId="0" fillId="6" borderId="56" xfId="0" applyNumberFormat="1" applyFill="1" applyBorder="1" applyAlignment="1" applyProtection="1">
      <alignment shrinkToFit="1"/>
      <protection locked="0"/>
    </xf>
    <xf numFmtId="14" fontId="0" fillId="6" borderId="56" xfId="0" applyNumberFormat="1" applyFill="1" applyBorder="1" applyAlignment="1" applyProtection="1">
      <alignment shrinkToFit="1"/>
      <protection locked="0"/>
    </xf>
    <xf numFmtId="1" fontId="0" fillId="6" borderId="56" xfId="0" applyNumberFormat="1" applyFill="1" applyBorder="1" applyAlignment="1" applyProtection="1">
      <alignment shrinkToFit="1"/>
      <protection locked="0"/>
    </xf>
    <xf numFmtId="44" fontId="0" fillId="6" borderId="57" xfId="0" applyNumberFormat="1" applyFill="1" applyBorder="1" applyAlignment="1" applyProtection="1">
      <alignment shrinkToFit="1"/>
      <protection locked="0"/>
    </xf>
    <xf numFmtId="0" fontId="0" fillId="0" borderId="0" xfId="0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4" fillId="0" borderId="0" xfId="4" applyFont="1" applyBorder="1" applyAlignment="1" applyProtection="1">
      <alignment horizontal="left" vertical="center"/>
    </xf>
    <xf numFmtId="0" fontId="4" fillId="0" borderId="97" xfId="0" applyFont="1" applyBorder="1" applyAlignment="1">
      <alignment horizontal="center"/>
    </xf>
    <xf numFmtId="0" fontId="4" fillId="0" borderId="66" xfId="0" applyFont="1" applyBorder="1" applyAlignment="1">
      <alignment horizontal="center"/>
    </xf>
    <xf numFmtId="0" fontId="4" fillId="0" borderId="99" xfId="0" applyFont="1" applyBorder="1" applyAlignment="1">
      <alignment horizontal="center"/>
    </xf>
    <xf numFmtId="0" fontId="4" fillId="0" borderId="67" xfId="0" applyFont="1" applyBorder="1" applyAlignment="1">
      <alignment horizontal="center"/>
    </xf>
    <xf numFmtId="0" fontId="4" fillId="0" borderId="100" xfId="0" applyFont="1" applyBorder="1" applyAlignment="1">
      <alignment horizontal="center" vertical="center"/>
    </xf>
    <xf numFmtId="0" fontId="4" fillId="0" borderId="69" xfId="0" applyFont="1" applyBorder="1" applyAlignment="1">
      <alignment horizontal="center"/>
    </xf>
    <xf numFmtId="44" fontId="0" fillId="3" borderId="102" xfId="6" applyFont="1" applyFill="1" applyBorder="1" applyProtection="1"/>
    <xf numFmtId="44" fontId="0" fillId="3" borderId="52" xfId="6" applyFont="1" applyFill="1" applyBorder="1" applyProtection="1"/>
    <xf numFmtId="0" fontId="0" fillId="4" borderId="56" xfId="0" applyFill="1" applyBorder="1" applyProtection="1">
      <protection locked="0"/>
    </xf>
    <xf numFmtId="37" fontId="0" fillId="4" borderId="57" xfId="0" applyNumberFormat="1" applyFill="1" applyBorder="1" applyProtection="1">
      <protection locked="0"/>
    </xf>
    <xf numFmtId="44" fontId="0" fillId="3" borderId="56" xfId="6" applyFont="1" applyFill="1" applyBorder="1" applyProtection="1"/>
    <xf numFmtId="44" fontId="0" fillId="3" borderId="58" xfId="6" applyFont="1" applyFill="1" applyBorder="1" applyProtection="1"/>
    <xf numFmtId="0" fontId="4" fillId="0" borderId="103" xfId="0" applyFont="1" applyBorder="1" applyAlignment="1">
      <alignment horizontal="center"/>
    </xf>
    <xf numFmtId="164" fontId="4" fillId="0" borderId="96" xfId="0" applyNumberFormat="1" applyFont="1" applyBorder="1" applyAlignment="1">
      <alignment horizontal="center"/>
    </xf>
    <xf numFmtId="164" fontId="4" fillId="0" borderId="104" xfId="0" applyNumberFormat="1" applyFont="1" applyBorder="1" applyAlignment="1">
      <alignment horizontal="center"/>
    </xf>
    <xf numFmtId="165" fontId="0" fillId="4" borderId="56" xfId="1" applyNumberFormat="1" applyFont="1" applyFill="1" applyBorder="1" applyProtection="1">
      <protection locked="0"/>
    </xf>
    <xf numFmtId="44" fontId="0" fillId="3" borderId="102" xfId="2" applyFont="1" applyFill="1" applyBorder="1" applyProtection="1"/>
    <xf numFmtId="44" fontId="0" fillId="3" borderId="60" xfId="2" applyFont="1" applyFill="1" applyBorder="1" applyProtection="1"/>
    <xf numFmtId="44" fontId="0" fillId="3" borderId="107" xfId="2" applyFont="1" applyFill="1" applyBorder="1" applyProtection="1"/>
    <xf numFmtId="9" fontId="0" fillId="4" borderId="56" xfId="1" applyNumberFormat="1" applyFont="1" applyFill="1" applyBorder="1" applyProtection="1">
      <protection locked="0"/>
    </xf>
    <xf numFmtId="44" fontId="0" fillId="3" borderId="58" xfId="2" applyFont="1" applyFill="1" applyBorder="1" applyProtection="1"/>
    <xf numFmtId="0" fontId="4" fillId="0" borderId="98" xfId="0" applyFont="1" applyBorder="1" applyAlignment="1">
      <alignment horizontal="center"/>
    </xf>
    <xf numFmtId="0" fontId="0" fillId="4" borderId="105" xfId="0" applyFill="1" applyBorder="1" applyProtection="1">
      <protection locked="0"/>
    </xf>
    <xf numFmtId="44" fontId="0" fillId="3" borderId="52" xfId="2" applyFont="1" applyFill="1" applyBorder="1" applyProtection="1"/>
    <xf numFmtId="0" fontId="0" fillId="4" borderId="106" xfId="0" applyFill="1" applyBorder="1" applyProtection="1">
      <protection locked="0"/>
    </xf>
    <xf numFmtId="44" fontId="0" fillId="3" borderId="56" xfId="2" applyFont="1" applyFill="1" applyBorder="1" applyProtection="1"/>
    <xf numFmtId="10" fontId="0" fillId="7" borderId="56" xfId="3" applyNumberFormat="1" applyFont="1" applyFill="1" applyBorder="1" applyProtection="1"/>
    <xf numFmtId="10" fontId="0" fillId="3" borderId="56" xfId="2" applyNumberFormat="1" applyFont="1" applyFill="1" applyBorder="1" applyProtection="1"/>
    <xf numFmtId="169" fontId="0" fillId="3" borderId="56" xfId="2" applyNumberFormat="1" applyFont="1" applyFill="1" applyBorder="1" applyProtection="1"/>
    <xf numFmtId="167" fontId="0" fillId="3" borderId="56" xfId="2" applyNumberFormat="1" applyFont="1" applyFill="1" applyBorder="1" applyProtection="1"/>
    <xf numFmtId="0" fontId="0" fillId="6" borderId="8" xfId="0" applyFill="1" applyBorder="1" applyAlignment="1" applyProtection="1">
      <alignment shrinkToFit="1"/>
      <protection locked="0"/>
    </xf>
    <xf numFmtId="44" fontId="0" fillId="7" borderId="8" xfId="0" applyNumberFormat="1" applyFill="1" applyBorder="1" applyAlignment="1">
      <alignment shrinkToFit="1"/>
    </xf>
    <xf numFmtId="0" fontId="0" fillId="6" borderId="5" xfId="0" applyFill="1" applyBorder="1" applyAlignment="1" applyProtection="1">
      <alignment shrinkToFit="1"/>
      <protection locked="0"/>
    </xf>
    <xf numFmtId="44" fontId="0" fillId="7" borderId="5" xfId="0" applyNumberFormat="1" applyFill="1" applyBorder="1" applyAlignment="1">
      <alignment shrinkToFit="1"/>
    </xf>
    <xf numFmtId="0" fontId="0" fillId="6" borderId="56" xfId="0" applyFill="1" applyBorder="1" applyAlignment="1" applyProtection="1">
      <alignment shrinkToFit="1"/>
      <protection locked="0"/>
    </xf>
    <xf numFmtId="44" fontId="0" fillId="7" borderId="56" xfId="0" applyNumberFormat="1" applyFill="1" applyBorder="1" applyAlignment="1">
      <alignment shrinkToFit="1"/>
    </xf>
    <xf numFmtId="44" fontId="0" fillId="7" borderId="60" xfId="0" applyNumberFormat="1" applyFill="1" applyBorder="1" applyAlignment="1">
      <alignment shrinkToFit="1"/>
    </xf>
    <xf numFmtId="44" fontId="0" fillId="7" borderId="52" xfId="0" applyNumberFormat="1" applyFill="1" applyBorder="1" applyAlignment="1">
      <alignment shrinkToFit="1"/>
    </xf>
    <xf numFmtId="44" fontId="0" fillId="7" borderId="58" xfId="0" applyNumberFormat="1" applyFill="1" applyBorder="1" applyAlignment="1">
      <alignment shrinkToFit="1"/>
    </xf>
    <xf numFmtId="0" fontId="4" fillId="0" borderId="53" xfId="7" applyFont="1" applyBorder="1" applyAlignment="1">
      <alignment horizontal="center"/>
    </xf>
    <xf numFmtId="0" fontId="4" fillId="0" borderId="5" xfId="7" applyFont="1" applyBorder="1" applyAlignment="1">
      <alignment horizontal="center"/>
    </xf>
    <xf numFmtId="0" fontId="4" fillId="0" borderId="5" xfId="7" applyFont="1" applyBorder="1" applyAlignment="1">
      <alignment horizont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3" fontId="0" fillId="0" borderId="0" xfId="0" applyNumberFormat="1" applyAlignment="1">
      <alignment horizontal="center" vertical="center" wrapText="1"/>
    </xf>
    <xf numFmtId="3" fontId="12" fillId="4" borderId="0" xfId="4" applyNumberFormat="1" applyFill="1" applyBorder="1" applyAlignment="1" applyProtection="1"/>
    <xf numFmtId="3" fontId="0" fillId="0" borderId="0" xfId="0" applyNumberFormat="1" applyAlignment="1">
      <alignment horizontal="center" vertical="center"/>
    </xf>
    <xf numFmtId="44" fontId="0" fillId="3" borderId="102" xfId="2" applyFont="1" applyFill="1" applyBorder="1" applyAlignment="1" applyProtection="1">
      <alignment shrinkToFit="1"/>
    </xf>
    <xf numFmtId="44" fontId="0" fillId="3" borderId="60" xfId="2" applyFont="1" applyFill="1" applyBorder="1" applyAlignment="1" applyProtection="1">
      <alignment shrinkToFit="1"/>
    </xf>
    <xf numFmtId="44" fontId="0" fillId="3" borderId="107" xfId="2" applyFont="1" applyFill="1" applyBorder="1" applyAlignment="1" applyProtection="1">
      <alignment shrinkToFit="1"/>
    </xf>
    <xf numFmtId="44" fontId="0" fillId="3" borderId="58" xfId="2" applyFont="1" applyFill="1" applyBorder="1" applyAlignment="1" applyProtection="1">
      <alignment shrinkToFit="1"/>
    </xf>
    <xf numFmtId="44" fontId="0" fillId="3" borderId="16" xfId="2" applyFont="1" applyFill="1" applyBorder="1" applyAlignment="1" applyProtection="1">
      <alignment shrinkToFit="1"/>
    </xf>
    <xf numFmtId="44" fontId="0" fillId="3" borderId="8" xfId="2" applyFont="1" applyFill="1" applyBorder="1" applyAlignment="1" applyProtection="1">
      <alignment shrinkToFit="1"/>
    </xf>
    <xf numFmtId="44" fontId="0" fillId="3" borderId="9" xfId="2" applyFont="1" applyFill="1" applyBorder="1" applyAlignment="1" applyProtection="1">
      <alignment shrinkToFit="1"/>
    </xf>
    <xf numFmtId="44" fontId="0" fillId="3" borderId="56" xfId="2" applyFont="1" applyFill="1" applyBorder="1" applyAlignment="1" applyProtection="1">
      <alignment shrinkToFit="1"/>
    </xf>
    <xf numFmtId="44" fontId="5" fillId="7" borderId="77" xfId="6" applyFont="1" applyFill="1" applyBorder="1" applyAlignment="1" applyProtection="1">
      <alignment horizontal="center"/>
    </xf>
    <xf numFmtId="0" fontId="7" fillId="0" borderId="0" xfId="0" applyFont="1" applyAlignment="1">
      <alignment horizontal="center" vertical="center"/>
    </xf>
    <xf numFmtId="0" fontId="11" fillId="0" borderId="109" xfId="0" applyFont="1" applyBorder="1" applyAlignment="1">
      <alignment horizontal="center" vertical="center" wrapText="1"/>
    </xf>
    <xf numFmtId="169" fontId="0" fillId="4" borderId="5" xfId="0" applyNumberFormat="1" applyFill="1" applyBorder="1" applyProtection="1">
      <protection locked="0"/>
    </xf>
    <xf numFmtId="3" fontId="12" fillId="0" borderId="40" xfId="4" applyNumberFormat="1" applyFill="1" applyBorder="1" applyAlignment="1" applyProtection="1"/>
    <xf numFmtId="0" fontId="0" fillId="4" borderId="5" xfId="0" applyFill="1" applyBorder="1" applyAlignment="1" applyProtection="1">
      <alignment horizontal="center" vertical="center"/>
      <protection locked="0"/>
    </xf>
    <xf numFmtId="0" fontId="0" fillId="0" borderId="2" xfId="0" applyBorder="1" applyAlignment="1">
      <alignment horizontal="center" vertical="center"/>
    </xf>
    <xf numFmtId="3" fontId="0" fillId="0" borderId="42" xfId="0" applyNumberFormat="1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3" fontId="0" fillId="4" borderId="16" xfId="2" quotePrefix="1" applyNumberFormat="1" applyFont="1" applyFill="1" applyBorder="1" applyProtection="1">
      <protection locked="0"/>
    </xf>
    <xf numFmtId="3" fontId="0" fillId="4" borderId="5" xfId="2" applyNumberFormat="1" applyFont="1" applyFill="1" applyBorder="1" applyProtection="1">
      <protection locked="0"/>
    </xf>
    <xf numFmtId="3" fontId="0" fillId="4" borderId="9" xfId="2" applyNumberFormat="1" applyFont="1" applyFill="1" applyBorder="1" applyProtection="1">
      <protection locked="0"/>
    </xf>
    <xf numFmtId="3" fontId="0" fillId="4" borderId="8" xfId="2" applyNumberFormat="1" applyFont="1" applyFill="1" applyBorder="1" applyProtection="1">
      <protection locked="0"/>
    </xf>
    <xf numFmtId="3" fontId="0" fillId="4" borderId="56" xfId="2" applyNumberFormat="1" applyFont="1" applyFill="1" applyBorder="1" applyProtection="1">
      <protection locked="0"/>
    </xf>
    <xf numFmtId="0" fontId="3" fillId="0" borderId="0" xfId="2" applyNumberFormat="1" applyFont="1" applyFill="1" applyBorder="1" applyAlignment="1" applyProtection="1">
      <alignment horizontal="center"/>
    </xf>
    <xf numFmtId="0" fontId="7" fillId="0" borderId="0" xfId="0" applyFont="1" applyAlignment="1">
      <alignment horizontal="center"/>
    </xf>
    <xf numFmtId="169" fontId="0" fillId="8" borderId="51" xfId="0" applyNumberFormat="1" applyFill="1" applyBorder="1"/>
    <xf numFmtId="169" fontId="0" fillId="7" borderId="52" xfId="0" applyNumberFormat="1" applyFill="1" applyBorder="1"/>
    <xf numFmtId="44" fontId="0" fillId="3" borderId="53" xfId="2" applyFont="1" applyFill="1" applyBorder="1" applyAlignment="1" applyProtection="1">
      <alignment horizontal="left" vertical="center" shrinkToFit="1"/>
    </xf>
    <xf numFmtId="44" fontId="0" fillId="7" borderId="53" xfId="0" applyNumberFormat="1" applyFill="1" applyBorder="1" applyAlignment="1">
      <alignment horizontal="left" vertical="center" shrinkToFit="1"/>
    </xf>
    <xf numFmtId="0" fontId="8" fillId="4" borderId="9" xfId="0" applyFont="1" applyFill="1" applyBorder="1" applyProtection="1">
      <protection locked="0"/>
    </xf>
    <xf numFmtId="0" fontId="4" fillId="0" borderId="120" xfId="0" applyFont="1" applyBorder="1" applyAlignment="1">
      <alignment horizontal="center" vertical="center"/>
    </xf>
    <xf numFmtId="0" fontId="15" fillId="0" borderId="121" xfId="0" applyFont="1" applyBorder="1" applyAlignment="1">
      <alignment horizontal="center"/>
    </xf>
    <xf numFmtId="0" fontId="0" fillId="4" borderId="30" xfId="0" applyFill="1" applyBorder="1" applyAlignment="1" applyProtection="1">
      <alignment horizontal="left" vertical="center" wrapText="1"/>
      <protection locked="0"/>
    </xf>
    <xf numFmtId="0" fontId="0" fillId="4" borderId="44" xfId="0" applyFill="1" applyBorder="1" applyAlignment="1" applyProtection="1">
      <alignment horizontal="left" vertical="center" wrapText="1"/>
      <protection locked="0"/>
    </xf>
    <xf numFmtId="0" fontId="0" fillId="0" borderId="19" xfId="0" applyBorder="1" applyAlignment="1" applyProtection="1">
      <alignment horizontal="left" vertical="center" wrapText="1"/>
      <protection locked="0"/>
    </xf>
    <xf numFmtId="3" fontId="36" fillId="8" borderId="0" xfId="0" applyNumberFormat="1" applyFont="1" applyFill="1" applyAlignment="1">
      <alignment horizontal="left" vertical="center"/>
    </xf>
    <xf numFmtId="0" fontId="0" fillId="4" borderId="105" xfId="0" applyFill="1" applyBorder="1" applyAlignment="1" applyProtection="1">
      <alignment wrapText="1"/>
      <protection locked="0"/>
    </xf>
    <xf numFmtId="0" fontId="0" fillId="4" borderId="53" xfId="0" applyFill="1" applyBorder="1" applyAlignment="1" applyProtection="1">
      <alignment wrapText="1"/>
      <protection locked="0"/>
    </xf>
    <xf numFmtId="0" fontId="0" fillId="4" borderId="106" xfId="0" applyFill="1" applyBorder="1" applyAlignment="1" applyProtection="1">
      <alignment wrapText="1"/>
      <protection locked="0"/>
    </xf>
    <xf numFmtId="0" fontId="0" fillId="4" borderId="59" xfId="0" applyFill="1" applyBorder="1" applyAlignment="1" applyProtection="1">
      <alignment wrapText="1"/>
      <protection locked="0"/>
    </xf>
    <xf numFmtId="0" fontId="0" fillId="4" borderId="54" xfId="0" applyFill="1" applyBorder="1" applyAlignment="1" applyProtection="1">
      <alignment wrapText="1"/>
      <protection locked="0"/>
    </xf>
    <xf numFmtId="44" fontId="0" fillId="7" borderId="60" xfId="8" applyNumberFormat="1" applyFont="1" applyFill="1" applyBorder="1" applyAlignment="1" applyProtection="1">
      <alignment horizontal="center" vertical="center"/>
    </xf>
    <xf numFmtId="44" fontId="0" fillId="7" borderId="52" xfId="8" applyNumberFormat="1" applyFont="1" applyFill="1" applyBorder="1" applyAlignment="1" applyProtection="1">
      <alignment horizontal="center" vertical="center"/>
    </xf>
    <xf numFmtId="44" fontId="0" fillId="7" borderId="63" xfId="8" applyNumberFormat="1" applyFont="1" applyFill="1" applyBorder="1" applyAlignment="1" applyProtection="1">
      <alignment horizontal="center" vertical="center"/>
    </xf>
    <xf numFmtId="44" fontId="0" fillId="7" borderId="52" xfId="1" applyNumberFormat="1" applyFont="1" applyFill="1" applyBorder="1" applyAlignment="1" applyProtection="1">
      <alignment horizontal="center" vertical="center"/>
    </xf>
    <xf numFmtId="44" fontId="0" fillId="7" borderId="63" xfId="1" applyNumberFormat="1" applyFont="1" applyFill="1" applyBorder="1" applyAlignment="1" applyProtection="1">
      <alignment horizontal="center" vertical="center"/>
    </xf>
    <xf numFmtId="44" fontId="0" fillId="7" borderId="60" xfId="1" applyNumberFormat="1" applyFont="1" applyFill="1" applyBorder="1" applyAlignment="1" applyProtection="1">
      <alignment horizontal="center" vertical="center"/>
    </xf>
    <xf numFmtId="44" fontId="0" fillId="7" borderId="58" xfId="1" applyNumberFormat="1" applyFont="1" applyFill="1" applyBorder="1" applyAlignment="1" applyProtection="1">
      <alignment horizontal="center" vertical="center"/>
    </xf>
    <xf numFmtId="0" fontId="26" fillId="8" borderId="0" xfId="0" applyFont="1" applyFill="1" applyAlignment="1">
      <alignment horizontal="left" vertical="center"/>
    </xf>
    <xf numFmtId="0" fontId="0" fillId="8" borderId="0" xfId="0" applyFill="1" applyAlignment="1">
      <alignment horizontal="left" vertical="center"/>
    </xf>
    <xf numFmtId="3" fontId="0" fillId="0" borderId="0" xfId="0" applyNumberFormat="1" applyAlignment="1">
      <alignment horizontal="center"/>
    </xf>
    <xf numFmtId="10" fontId="5" fillId="4" borderId="27" xfId="0" applyNumberFormat="1" applyFont="1" applyFill="1" applyBorder="1" applyAlignment="1" applyProtection="1">
      <alignment horizontal="center" vertical="center" wrapText="1"/>
      <protection locked="0"/>
    </xf>
    <xf numFmtId="10" fontId="5" fillId="4" borderId="39" xfId="0" applyNumberFormat="1" applyFont="1" applyFill="1" applyBorder="1" applyAlignment="1" applyProtection="1">
      <alignment horizontal="center" vertical="center"/>
      <protection locked="0"/>
    </xf>
    <xf numFmtId="10" fontId="5" fillId="4" borderId="28" xfId="0" applyNumberFormat="1" applyFont="1" applyFill="1" applyBorder="1" applyAlignment="1" applyProtection="1">
      <alignment horizontal="center" vertical="center" wrapText="1"/>
      <protection locked="0"/>
    </xf>
    <xf numFmtId="10" fontId="5" fillId="4" borderId="32" xfId="0" applyNumberFormat="1" applyFont="1" applyFill="1" applyBorder="1" applyAlignment="1" applyProtection="1">
      <alignment horizontal="center" vertical="center"/>
      <protection locked="0"/>
    </xf>
    <xf numFmtId="10" fontId="5" fillId="4" borderId="3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0" xfId="4" applyFill="1" applyAlignment="1" applyProtection="1"/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/>
    </xf>
    <xf numFmtId="0" fontId="5" fillId="0" borderId="30" xfId="0" applyFont="1" applyBorder="1" applyAlignment="1">
      <alignment horizontal="center" vertical="center"/>
    </xf>
    <xf numFmtId="0" fontId="5" fillId="0" borderId="74" xfId="0" applyFont="1" applyBorder="1" applyAlignment="1">
      <alignment horizontal="center" vertical="center"/>
    </xf>
    <xf numFmtId="0" fontId="5" fillId="0" borderId="75" xfId="0" applyFont="1" applyBorder="1" applyAlignment="1">
      <alignment horizontal="center" vertical="center"/>
    </xf>
    <xf numFmtId="10" fontId="5" fillId="7" borderId="38" xfId="0" applyNumberFormat="1" applyFont="1" applyFill="1" applyBorder="1" applyAlignment="1">
      <alignment horizontal="center" vertical="center" wrapText="1"/>
    </xf>
    <xf numFmtId="10" fontId="5" fillId="7" borderId="27" xfId="0" applyNumberFormat="1" applyFont="1" applyFill="1" applyBorder="1" applyAlignment="1">
      <alignment horizontal="center" vertical="center" wrapText="1"/>
    </xf>
    <xf numFmtId="10" fontId="0" fillId="0" borderId="0" xfId="0" applyNumberFormat="1"/>
    <xf numFmtId="0" fontId="5" fillId="7" borderId="38" xfId="0" applyFont="1" applyFill="1" applyBorder="1" applyAlignment="1">
      <alignment horizontal="center" vertical="center" wrapText="1"/>
    </xf>
    <xf numFmtId="0" fontId="5" fillId="7" borderId="27" xfId="0" applyFont="1" applyFill="1" applyBorder="1" applyAlignment="1">
      <alignment horizontal="center" vertical="center" wrapText="1"/>
    </xf>
    <xf numFmtId="0" fontId="0" fillId="0" borderId="99" xfId="0" applyBorder="1"/>
    <xf numFmtId="0" fontId="0" fillId="0" borderId="100" xfId="0" applyBorder="1"/>
    <xf numFmtId="3" fontId="0" fillId="4" borderId="5" xfId="0" applyNumberFormat="1" applyFill="1" applyBorder="1" applyAlignment="1" applyProtection="1">
      <alignment horizontal="center" vertical="center"/>
      <protection locked="0"/>
    </xf>
    <xf numFmtId="0" fontId="0" fillId="0" borderId="89" xfId="0" applyBorder="1" applyAlignment="1">
      <alignment wrapText="1"/>
    </xf>
    <xf numFmtId="0" fontId="32" fillId="0" borderId="0" xfId="0" applyFont="1" applyAlignment="1">
      <alignment wrapText="1"/>
    </xf>
    <xf numFmtId="0" fontId="40" fillId="0" borderId="0" xfId="0" applyFont="1"/>
    <xf numFmtId="0" fontId="40" fillId="0" borderId="0" xfId="0" applyFont="1" applyProtection="1">
      <protection hidden="1"/>
    </xf>
    <xf numFmtId="0" fontId="0" fillId="0" borderId="0" xfId="0" applyAlignment="1">
      <alignment horizontal="center" vertical="center" shrinkToFit="1"/>
    </xf>
    <xf numFmtId="3" fontId="26" fillId="8" borderId="0" xfId="0" applyNumberFormat="1" applyFont="1" applyFill="1" applyAlignment="1">
      <alignment horizontal="left" vertical="center" wrapText="1"/>
    </xf>
    <xf numFmtId="0" fontId="3" fillId="0" borderId="0" xfId="2" applyNumberFormat="1" applyFont="1" applyFill="1" applyBorder="1" applyAlignment="1" applyProtection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0" fillId="8" borderId="0" xfId="0" applyFill="1" applyAlignment="1">
      <alignment horizontal="left" vertical="center" wrapText="1"/>
    </xf>
    <xf numFmtId="3" fontId="36" fillId="8" borderId="0" xfId="0" applyNumberFormat="1" applyFont="1" applyFill="1" applyAlignment="1">
      <alignment horizontal="left" vertical="center" wrapText="1"/>
    </xf>
    <xf numFmtId="0" fontId="0" fillId="0" borderId="99" xfId="0" applyBorder="1" applyAlignment="1">
      <alignment horizontal="center"/>
    </xf>
    <xf numFmtId="0" fontId="0" fillId="0" borderId="96" xfId="0" applyBorder="1" applyAlignment="1">
      <alignment horizontal="center"/>
    </xf>
    <xf numFmtId="0" fontId="0" fillId="0" borderId="123" xfId="0" applyBorder="1"/>
    <xf numFmtId="0" fontId="0" fillId="0" borderId="64" xfId="0" applyBorder="1" applyAlignment="1">
      <alignment horizontal="center"/>
    </xf>
    <xf numFmtId="0" fontId="0" fillId="0" borderId="64" xfId="0" applyBorder="1"/>
    <xf numFmtId="0" fontId="0" fillId="0" borderId="124" xfId="0" applyBorder="1"/>
    <xf numFmtId="0" fontId="0" fillId="0" borderId="125" xfId="0" applyBorder="1"/>
    <xf numFmtId="0" fontId="0" fillId="0" borderId="126" xfId="0" applyBorder="1"/>
    <xf numFmtId="0" fontId="0" fillId="8" borderId="100" xfId="0" applyFill="1" applyBorder="1"/>
    <xf numFmtId="0" fontId="4" fillId="8" borderId="104" xfId="0" applyFont="1" applyFill="1" applyBorder="1" applyAlignment="1">
      <alignment horizontal="center"/>
    </xf>
    <xf numFmtId="0" fontId="0" fillId="0" borderId="127" xfId="0" applyBorder="1"/>
    <xf numFmtId="0" fontId="0" fillId="0" borderId="123" xfId="0" applyBorder="1" applyAlignment="1">
      <alignment wrapText="1"/>
    </xf>
    <xf numFmtId="0" fontId="0" fillId="0" borderId="124" xfId="0" applyBorder="1" applyAlignment="1">
      <alignment wrapText="1"/>
    </xf>
    <xf numFmtId="0" fontId="0" fillId="0" borderId="104" xfId="0" applyBorder="1"/>
    <xf numFmtId="0" fontId="0" fillId="8" borderId="123" xfId="0" applyFill="1" applyBorder="1"/>
    <xf numFmtId="0" fontId="4" fillId="8" borderId="64" xfId="0" applyFont="1" applyFill="1" applyBorder="1" applyAlignment="1">
      <alignment horizontal="center"/>
    </xf>
    <xf numFmtId="0" fontId="0" fillId="0" borderId="128" xfId="0" applyBorder="1"/>
    <xf numFmtId="0" fontId="0" fillId="0" borderId="129" xfId="0" applyBorder="1"/>
    <xf numFmtId="0" fontId="0" fillId="0" borderId="130" xfId="0" applyBorder="1"/>
    <xf numFmtId="170" fontId="0" fillId="0" borderId="130" xfId="0" applyNumberFormat="1" applyBorder="1"/>
    <xf numFmtId="0" fontId="0" fillId="0" borderId="131" xfId="0" applyBorder="1"/>
    <xf numFmtId="0" fontId="12" fillId="0" borderId="0" xfId="4" applyAlignment="1" applyProtection="1">
      <alignment vertical="center"/>
    </xf>
    <xf numFmtId="3" fontId="0" fillId="0" borderId="0" xfId="0" applyNumberFormat="1" applyAlignment="1">
      <alignment vertical="center"/>
    </xf>
    <xf numFmtId="44" fontId="0" fillId="7" borderId="21" xfId="1" applyNumberFormat="1" applyFont="1" applyFill="1" applyBorder="1" applyAlignment="1" applyProtection="1">
      <alignment vertical="center"/>
    </xf>
    <xf numFmtId="44" fontId="0" fillId="7" borderId="21" xfId="1" applyNumberFormat="1" applyFont="1" applyFill="1" applyBorder="1" applyAlignment="1" applyProtection="1">
      <alignment horizontal="center" vertical="center"/>
    </xf>
    <xf numFmtId="0" fontId="0" fillId="0" borderId="0" xfId="0" applyAlignment="1">
      <alignment horizontal="right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 shrinkToFit="1"/>
    </xf>
    <xf numFmtId="3" fontId="12" fillId="0" borderId="0" xfId="4" applyNumberFormat="1" applyAlignment="1" applyProtection="1">
      <alignment vertical="center"/>
    </xf>
    <xf numFmtId="0" fontId="7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7" fillId="0" borderId="0" xfId="0" applyFont="1" applyAlignment="1">
      <alignment vertical="center" shrinkToFit="1"/>
    </xf>
    <xf numFmtId="0" fontId="0" fillId="0" borderId="40" xfId="0" applyBorder="1" applyAlignment="1">
      <alignment vertical="center"/>
    </xf>
    <xf numFmtId="0" fontId="0" fillId="3" borderId="5" xfId="2" applyNumberFormat="1" applyFont="1" applyFill="1" applyBorder="1" applyAlignment="1" applyProtection="1">
      <alignment vertical="center" wrapText="1"/>
    </xf>
    <xf numFmtId="0" fontId="0" fillId="7" borderId="5" xfId="0" applyFill="1" applyBorder="1" applyAlignment="1">
      <alignment vertical="center"/>
    </xf>
    <xf numFmtId="0" fontId="7" fillId="0" borderId="0" xfId="0" applyFont="1" applyAlignment="1">
      <alignment horizontal="right" vertical="center"/>
    </xf>
    <xf numFmtId="44" fontId="0" fillId="3" borderId="5" xfId="2" applyFont="1" applyFill="1" applyBorder="1" applyAlignment="1" applyProtection="1">
      <alignment vertical="center" wrapText="1"/>
    </xf>
    <xf numFmtId="44" fontId="0" fillId="7" borderId="5" xfId="0" applyNumberFormat="1" applyFill="1" applyBorder="1" applyAlignment="1">
      <alignment vertical="center"/>
    </xf>
    <xf numFmtId="3" fontId="0" fillId="3" borderId="5" xfId="2" applyNumberFormat="1" applyFont="1" applyFill="1" applyBorder="1" applyAlignment="1" applyProtection="1">
      <alignment vertical="center" shrinkToFit="1"/>
    </xf>
    <xf numFmtId="44" fontId="0" fillId="3" borderId="5" xfId="2" applyFont="1" applyFill="1" applyBorder="1" applyAlignment="1" applyProtection="1">
      <alignment vertical="center" shrinkToFit="1"/>
    </xf>
    <xf numFmtId="0" fontId="3" fillId="0" borderId="0" xfId="0" applyFont="1" applyAlignment="1">
      <alignment vertical="center"/>
    </xf>
    <xf numFmtId="0" fontId="4" fillId="0" borderId="19" xfId="0" applyFont="1" applyBorder="1" applyAlignment="1">
      <alignment horizontal="center" vertical="center" shrinkToFit="1"/>
    </xf>
    <xf numFmtId="0" fontId="4" fillId="0" borderId="19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/>
    </xf>
    <xf numFmtId="0" fontId="0" fillId="4" borderId="38" xfId="0" applyFill="1" applyBorder="1" applyAlignment="1" applyProtection="1">
      <alignment vertical="center"/>
      <protection locked="0"/>
    </xf>
    <xf numFmtId="39" fontId="0" fillId="4" borderId="16" xfId="2" applyNumberFormat="1" applyFont="1" applyFill="1" applyBorder="1" applyAlignment="1" applyProtection="1">
      <alignment vertical="center" shrinkToFit="1"/>
      <protection locked="0"/>
    </xf>
    <xf numFmtId="173" fontId="0" fillId="3" borderId="5" xfId="2" applyNumberFormat="1" applyFont="1" applyFill="1" applyBorder="1" applyAlignment="1" applyProtection="1">
      <alignment vertical="center"/>
    </xf>
    <xf numFmtId="44" fontId="0" fillId="3" borderId="16" xfId="2" applyFont="1" applyFill="1" applyBorder="1" applyAlignment="1" applyProtection="1">
      <alignment vertical="center"/>
    </xf>
    <xf numFmtId="10" fontId="0" fillId="7" borderId="16" xfId="3" applyNumberFormat="1" applyFont="1" applyFill="1" applyBorder="1" applyAlignment="1" applyProtection="1">
      <alignment vertical="center" wrapText="1"/>
    </xf>
    <xf numFmtId="10" fontId="0" fillId="3" borderId="16" xfId="2" applyNumberFormat="1" applyFont="1" applyFill="1" applyBorder="1" applyAlignment="1" applyProtection="1">
      <alignment vertical="center"/>
    </xf>
    <xf numFmtId="169" fontId="0" fillId="3" borderId="16" xfId="2" applyNumberFormat="1" applyFont="1" applyFill="1" applyBorder="1" applyAlignment="1" applyProtection="1">
      <alignment vertical="center"/>
    </xf>
    <xf numFmtId="167" fontId="0" fillId="3" borderId="16" xfId="2" applyNumberFormat="1" applyFont="1" applyFill="1" applyBorder="1" applyAlignment="1" applyProtection="1">
      <alignment vertical="center"/>
    </xf>
    <xf numFmtId="44" fontId="0" fillId="3" borderId="37" xfId="2" applyFont="1" applyFill="1" applyBorder="1" applyAlignment="1" applyProtection="1">
      <alignment vertical="center"/>
    </xf>
    <xf numFmtId="0" fontId="0" fillId="4" borderId="27" xfId="0" applyFill="1" applyBorder="1" applyAlignment="1" applyProtection="1">
      <alignment vertical="center"/>
      <protection locked="0"/>
    </xf>
    <xf numFmtId="39" fontId="0" fillId="4" borderId="5" xfId="2" applyNumberFormat="1" applyFont="1" applyFill="1" applyBorder="1" applyAlignment="1" applyProtection="1">
      <alignment vertical="center" shrinkToFit="1"/>
      <protection locked="0"/>
    </xf>
    <xf numFmtId="44" fontId="0" fillId="3" borderId="5" xfId="2" applyFont="1" applyFill="1" applyBorder="1" applyAlignment="1" applyProtection="1">
      <alignment vertical="center"/>
    </xf>
    <xf numFmtId="10" fontId="0" fillId="7" borderId="5" xfId="3" applyNumberFormat="1" applyFont="1" applyFill="1" applyBorder="1" applyAlignment="1" applyProtection="1">
      <alignment vertical="center" wrapText="1"/>
    </xf>
    <xf numFmtId="10" fontId="0" fillId="3" borderId="5" xfId="2" applyNumberFormat="1" applyFont="1" applyFill="1" applyBorder="1" applyAlignment="1" applyProtection="1">
      <alignment vertical="center"/>
    </xf>
    <xf numFmtId="169" fontId="0" fillId="3" borderId="5" xfId="2" applyNumberFormat="1" applyFont="1" applyFill="1" applyBorder="1" applyAlignment="1" applyProtection="1">
      <alignment vertical="center"/>
    </xf>
    <xf numFmtId="167" fontId="0" fillId="3" borderId="5" xfId="2" applyNumberFormat="1" applyFont="1" applyFill="1" applyBorder="1" applyAlignment="1" applyProtection="1">
      <alignment vertical="center"/>
    </xf>
    <xf numFmtId="44" fontId="0" fillId="3" borderId="39" xfId="2" applyFont="1" applyFill="1" applyBorder="1" applyAlignment="1" applyProtection="1">
      <alignment vertical="center"/>
    </xf>
    <xf numFmtId="0" fontId="0" fillId="4" borderId="28" xfId="0" applyFill="1" applyBorder="1" applyAlignment="1" applyProtection="1">
      <alignment vertical="center"/>
      <protection locked="0"/>
    </xf>
    <xf numFmtId="39" fontId="0" fillId="4" borderId="9" xfId="2" applyNumberFormat="1" applyFont="1" applyFill="1" applyBorder="1" applyAlignment="1" applyProtection="1">
      <alignment vertical="center" shrinkToFit="1"/>
      <protection locked="0"/>
    </xf>
    <xf numFmtId="173" fontId="0" fillId="3" borderId="9" xfId="2" applyNumberFormat="1" applyFont="1" applyFill="1" applyBorder="1" applyAlignment="1" applyProtection="1">
      <alignment vertical="center"/>
    </xf>
    <xf numFmtId="44" fontId="0" fillId="3" borderId="9" xfId="2" applyFont="1" applyFill="1" applyBorder="1" applyAlignment="1" applyProtection="1">
      <alignment vertical="center"/>
    </xf>
    <xf numFmtId="10" fontId="0" fillId="7" borderId="9" xfId="3" applyNumberFormat="1" applyFont="1" applyFill="1" applyBorder="1" applyAlignment="1" applyProtection="1">
      <alignment vertical="center" wrapText="1"/>
    </xf>
    <xf numFmtId="10" fontId="0" fillId="3" borderId="9" xfId="2" applyNumberFormat="1" applyFont="1" applyFill="1" applyBorder="1" applyAlignment="1" applyProtection="1">
      <alignment vertical="center"/>
    </xf>
    <xf numFmtId="169" fontId="0" fillId="3" borderId="9" xfId="2" applyNumberFormat="1" applyFont="1" applyFill="1" applyBorder="1" applyAlignment="1" applyProtection="1">
      <alignment vertical="center"/>
    </xf>
    <xf numFmtId="167" fontId="0" fillId="3" borderId="9" xfId="2" applyNumberFormat="1" applyFont="1" applyFill="1" applyBorder="1" applyAlignment="1" applyProtection="1">
      <alignment vertical="center"/>
    </xf>
    <xf numFmtId="44" fontId="0" fillId="3" borderId="32" xfId="2" applyFont="1" applyFill="1" applyBorder="1" applyAlignment="1" applyProtection="1">
      <alignment vertical="center"/>
    </xf>
    <xf numFmtId="39" fontId="0" fillId="4" borderId="8" xfId="2" applyNumberFormat="1" applyFont="1" applyFill="1" applyBorder="1" applyAlignment="1" applyProtection="1">
      <alignment vertical="center" shrinkToFit="1"/>
      <protection locked="0"/>
    </xf>
    <xf numFmtId="173" fontId="0" fillId="3" borderId="8" xfId="2" applyNumberFormat="1" applyFont="1" applyFill="1" applyBorder="1" applyAlignment="1" applyProtection="1">
      <alignment vertical="center"/>
    </xf>
    <xf numFmtId="44" fontId="0" fillId="3" borderId="8" xfId="2" applyFont="1" applyFill="1" applyBorder="1" applyAlignment="1" applyProtection="1">
      <alignment vertical="center"/>
    </xf>
    <xf numFmtId="10" fontId="0" fillId="7" borderId="8" xfId="3" applyNumberFormat="1" applyFont="1" applyFill="1" applyBorder="1" applyAlignment="1" applyProtection="1">
      <alignment vertical="center" wrapText="1"/>
    </xf>
    <xf numFmtId="10" fontId="0" fillId="3" borderId="8" xfId="2" applyNumberFormat="1" applyFont="1" applyFill="1" applyBorder="1" applyAlignment="1" applyProtection="1">
      <alignment vertical="center"/>
    </xf>
    <xf numFmtId="169" fontId="0" fillId="3" borderId="8" xfId="2" applyNumberFormat="1" applyFont="1" applyFill="1" applyBorder="1" applyAlignment="1" applyProtection="1">
      <alignment vertical="center"/>
    </xf>
    <xf numFmtId="167" fontId="0" fillId="3" borderId="8" xfId="2" applyNumberFormat="1" applyFont="1" applyFill="1" applyBorder="1" applyAlignment="1" applyProtection="1">
      <alignment vertical="center"/>
    </xf>
    <xf numFmtId="44" fontId="0" fillId="3" borderId="43" xfId="2" applyFont="1" applyFill="1" applyBorder="1" applyAlignment="1" applyProtection="1">
      <alignment vertical="center"/>
    </xf>
    <xf numFmtId="0" fontId="0" fillId="0" borderId="19" xfId="0" applyBorder="1" applyAlignment="1">
      <alignment horizontal="center" vertical="center"/>
    </xf>
    <xf numFmtId="168" fontId="0" fillId="0" borderId="0" xfId="0" applyNumberFormat="1" applyAlignment="1">
      <alignment vertical="center"/>
    </xf>
    <xf numFmtId="44" fontId="0" fillId="0" borderId="0" xfId="0" applyNumberFormat="1" applyAlignment="1">
      <alignment vertical="center"/>
    </xf>
    <xf numFmtId="0" fontId="4" fillId="0" borderId="0" xfId="0" applyFont="1" applyAlignment="1">
      <alignment vertical="center"/>
    </xf>
    <xf numFmtId="164" fontId="0" fillId="0" borderId="0" xfId="0" applyNumberFormat="1" applyAlignment="1">
      <alignment vertical="center"/>
    </xf>
    <xf numFmtId="0" fontId="3" fillId="0" borderId="0" xfId="0" applyFont="1" applyAlignment="1">
      <alignment vertical="center" wrapText="1"/>
    </xf>
    <xf numFmtId="44" fontId="0" fillId="0" borderId="0" xfId="2" applyFont="1" applyFill="1" applyBorder="1" applyAlignment="1" applyProtection="1">
      <alignment vertical="center"/>
    </xf>
    <xf numFmtId="0" fontId="4" fillId="0" borderId="24" xfId="0" applyFont="1" applyBorder="1" applyAlignment="1">
      <alignment horizontal="center" vertical="center" shrinkToFit="1"/>
    </xf>
    <xf numFmtId="0" fontId="4" fillId="0" borderId="24" xfId="0" applyFont="1" applyBorder="1" applyAlignment="1">
      <alignment horizontal="center" vertical="center"/>
    </xf>
    <xf numFmtId="164" fontId="4" fillId="0" borderId="13" xfId="0" applyNumberFormat="1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 shrinkToFit="1"/>
    </xf>
    <xf numFmtId="0" fontId="4" fillId="0" borderId="25" xfId="0" applyFont="1" applyBorder="1" applyAlignment="1">
      <alignment horizontal="center" vertical="center"/>
    </xf>
    <xf numFmtId="164" fontId="4" fillId="0" borderId="15" xfId="0" applyNumberFormat="1" applyFont="1" applyBorder="1" applyAlignment="1">
      <alignment horizontal="center" vertical="center"/>
    </xf>
    <xf numFmtId="43" fontId="0" fillId="0" borderId="0" xfId="0" applyNumberFormat="1" applyAlignment="1">
      <alignment vertical="center"/>
    </xf>
    <xf numFmtId="0" fontId="0" fillId="4" borderId="38" xfId="0" applyFill="1" applyBorder="1" applyAlignment="1" applyProtection="1">
      <alignment vertical="center" wrapText="1" shrinkToFit="1"/>
      <protection locked="0"/>
    </xf>
    <xf numFmtId="165" fontId="0" fillId="4" borderId="16" xfId="8" applyNumberFormat="1" applyFont="1" applyFill="1" applyBorder="1" applyAlignment="1" applyProtection="1">
      <alignment vertical="center" shrinkToFit="1"/>
      <protection locked="0"/>
    </xf>
    <xf numFmtId="44" fontId="0" fillId="7" borderId="16" xfId="6" applyFont="1" applyFill="1" applyBorder="1" applyAlignment="1" applyProtection="1">
      <alignment vertical="center"/>
    </xf>
    <xf numFmtId="166" fontId="0" fillId="4" borderId="38" xfId="1" applyNumberFormat="1" applyFont="1" applyFill="1" applyBorder="1" applyAlignment="1" applyProtection="1">
      <alignment vertical="center" wrapText="1"/>
      <protection locked="0"/>
    </xf>
    <xf numFmtId="10" fontId="0" fillId="4" borderId="16" xfId="1" applyNumberFormat="1" applyFont="1" applyFill="1" applyBorder="1" applyAlignment="1" applyProtection="1">
      <alignment vertical="center"/>
      <protection locked="0"/>
    </xf>
    <xf numFmtId="166" fontId="0" fillId="4" borderId="16" xfId="1" applyNumberFormat="1" applyFont="1" applyFill="1" applyBorder="1" applyAlignment="1" applyProtection="1">
      <alignment vertical="center"/>
      <protection locked="0"/>
    </xf>
    <xf numFmtId="44" fontId="0" fillId="7" borderId="16" xfId="1" applyNumberFormat="1" applyFont="1" applyFill="1" applyBorder="1" applyAlignment="1" applyProtection="1">
      <alignment vertical="center"/>
    </xf>
    <xf numFmtId="44" fontId="0" fillId="3" borderId="37" xfId="2" applyFont="1" applyFill="1" applyBorder="1" applyAlignment="1" applyProtection="1">
      <alignment vertical="center" wrapText="1"/>
    </xf>
    <xf numFmtId="0" fontId="0" fillId="4" borderId="27" xfId="0" applyFill="1" applyBorder="1" applyAlignment="1" applyProtection="1">
      <alignment vertical="center" wrapText="1" shrinkToFit="1"/>
      <protection locked="0"/>
    </xf>
    <xf numFmtId="165" fontId="0" fillId="4" borderId="5" xfId="8" applyNumberFormat="1" applyFont="1" applyFill="1" applyBorder="1" applyAlignment="1" applyProtection="1">
      <alignment vertical="center" shrinkToFit="1"/>
      <protection locked="0"/>
    </xf>
    <xf numFmtId="44" fontId="0" fillId="7" borderId="5" xfId="6" applyFont="1" applyFill="1" applyBorder="1" applyAlignment="1" applyProtection="1">
      <alignment vertical="center"/>
    </xf>
    <xf numFmtId="166" fontId="0" fillId="4" borderId="27" xfId="1" applyNumberFormat="1" applyFont="1" applyFill="1" applyBorder="1" applyAlignment="1" applyProtection="1">
      <alignment vertical="center" wrapText="1"/>
      <protection locked="0"/>
    </xf>
    <xf numFmtId="10" fontId="0" fillId="4" borderId="5" xfId="1" applyNumberFormat="1" applyFont="1" applyFill="1" applyBorder="1" applyAlignment="1" applyProtection="1">
      <alignment vertical="center"/>
      <protection locked="0"/>
    </xf>
    <xf numFmtId="166" fontId="0" fillId="4" borderId="5" xfId="1" applyNumberFormat="1" applyFont="1" applyFill="1" applyBorder="1" applyAlignment="1" applyProtection="1">
      <alignment vertical="center"/>
      <protection locked="0"/>
    </xf>
    <xf numFmtId="44" fontId="0" fillId="7" borderId="108" xfId="1" applyNumberFormat="1" applyFont="1" applyFill="1" applyBorder="1" applyAlignment="1" applyProtection="1">
      <alignment vertical="center"/>
    </xf>
    <xf numFmtId="44" fontId="0" fillId="3" borderId="43" xfId="2" applyFont="1" applyFill="1" applyBorder="1" applyAlignment="1" applyProtection="1">
      <alignment vertical="center" wrapText="1"/>
    </xf>
    <xf numFmtId="44" fontId="0" fillId="7" borderId="3" xfId="1" applyNumberFormat="1" applyFont="1" applyFill="1" applyBorder="1" applyAlignment="1" applyProtection="1">
      <alignment vertical="center"/>
    </xf>
    <xf numFmtId="0" fontId="0" fillId="4" borderId="28" xfId="0" applyFill="1" applyBorder="1" applyAlignment="1" applyProtection="1">
      <alignment vertical="center" wrapText="1" shrinkToFit="1"/>
      <protection locked="0"/>
    </xf>
    <xf numFmtId="165" fontId="0" fillId="4" borderId="9" xfId="8" applyNumberFormat="1" applyFont="1" applyFill="1" applyBorder="1" applyAlignment="1" applyProtection="1">
      <alignment vertical="center" shrinkToFit="1"/>
      <protection locked="0"/>
    </xf>
    <xf numFmtId="44" fontId="0" fillId="7" borderId="9" xfId="6" applyFont="1" applyFill="1" applyBorder="1" applyAlignment="1" applyProtection="1">
      <alignment vertical="center"/>
    </xf>
    <xf numFmtId="166" fontId="0" fillId="4" borderId="28" xfId="1" applyNumberFormat="1" applyFont="1" applyFill="1" applyBorder="1" applyAlignment="1" applyProtection="1">
      <alignment vertical="center" wrapText="1"/>
      <protection locked="0"/>
    </xf>
    <xf numFmtId="10" fontId="0" fillId="4" borderId="9" xfId="1" applyNumberFormat="1" applyFont="1" applyFill="1" applyBorder="1" applyAlignment="1" applyProtection="1">
      <alignment vertical="center"/>
      <protection locked="0"/>
    </xf>
    <xf numFmtId="166" fontId="0" fillId="4" borderId="9" xfId="1" applyNumberFormat="1" applyFont="1" applyFill="1" applyBorder="1" applyAlignment="1" applyProtection="1">
      <alignment vertical="center"/>
      <protection locked="0"/>
    </xf>
    <xf numFmtId="44" fontId="0" fillId="7" borderId="41" xfId="1" applyNumberFormat="1" applyFont="1" applyFill="1" applyBorder="1" applyAlignment="1" applyProtection="1">
      <alignment vertical="center"/>
    </xf>
    <xf numFmtId="44" fontId="0" fillId="3" borderId="32" xfId="2" applyFont="1" applyFill="1" applyBorder="1" applyAlignment="1" applyProtection="1">
      <alignment vertical="center" wrapText="1"/>
    </xf>
    <xf numFmtId="0" fontId="0" fillId="4" borderId="29" xfId="0" applyFill="1" applyBorder="1" applyAlignment="1" applyProtection="1">
      <alignment vertical="center" wrapText="1" shrinkToFit="1"/>
      <protection locked="0"/>
    </xf>
    <xf numFmtId="165" fontId="0" fillId="4" borderId="8" xfId="8" applyNumberFormat="1" applyFont="1" applyFill="1" applyBorder="1" applyAlignment="1" applyProtection="1">
      <alignment vertical="center" shrinkToFit="1"/>
      <protection locked="0"/>
    </xf>
    <xf numFmtId="44" fontId="0" fillId="7" borderId="8" xfId="6" applyFont="1" applyFill="1" applyBorder="1" applyAlignment="1" applyProtection="1">
      <alignment vertical="center"/>
    </xf>
    <xf numFmtId="0" fontId="0" fillId="4" borderId="29" xfId="0" applyFill="1" applyBorder="1" applyAlignment="1" applyProtection="1">
      <alignment vertical="center" wrapText="1"/>
      <protection locked="0"/>
    </xf>
    <xf numFmtId="10" fontId="0" fillId="4" borderId="8" xfId="1" applyNumberFormat="1" applyFont="1" applyFill="1" applyBorder="1" applyAlignment="1" applyProtection="1">
      <alignment vertical="center"/>
      <protection locked="0"/>
    </xf>
    <xf numFmtId="166" fontId="0" fillId="4" borderId="8" xfId="1" applyNumberFormat="1" applyFont="1" applyFill="1" applyBorder="1" applyAlignment="1" applyProtection="1">
      <alignment vertical="center"/>
      <protection locked="0"/>
    </xf>
    <xf numFmtId="44" fontId="0" fillId="7" borderId="108" xfId="0" applyNumberFormat="1" applyFill="1" applyBorder="1" applyAlignment="1">
      <alignment vertical="center"/>
    </xf>
    <xf numFmtId="0" fontId="0" fillId="4" borderId="27" xfId="0" applyFill="1" applyBorder="1" applyAlignment="1" applyProtection="1">
      <alignment vertical="center" wrapText="1"/>
      <protection locked="0"/>
    </xf>
    <xf numFmtId="44" fontId="0" fillId="7" borderId="3" xfId="0" applyNumberFormat="1" applyFill="1" applyBorder="1" applyAlignment="1">
      <alignment vertical="center"/>
    </xf>
    <xf numFmtId="0" fontId="0" fillId="4" borderId="28" xfId="0" applyFill="1" applyBorder="1" applyAlignment="1" applyProtection="1">
      <alignment vertical="center" wrapText="1"/>
      <protection locked="0"/>
    </xf>
    <xf numFmtId="44" fontId="0" fillId="7" borderId="41" xfId="0" applyNumberFormat="1" applyFill="1" applyBorder="1" applyAlignment="1">
      <alignment vertical="center"/>
    </xf>
    <xf numFmtId="0" fontId="4" fillId="0" borderId="12" xfId="0" applyFont="1" applyBorder="1" applyAlignment="1">
      <alignment horizontal="center" vertical="center" wrapText="1"/>
    </xf>
    <xf numFmtId="165" fontId="0" fillId="4" borderId="9" xfId="1" applyNumberFormat="1" applyFont="1" applyFill="1" applyBorder="1" applyAlignment="1" applyProtection="1">
      <alignment vertical="center" shrinkToFit="1"/>
      <protection locked="0"/>
    </xf>
    <xf numFmtId="44" fontId="0" fillId="7" borderId="11" xfId="2" applyFont="1" applyFill="1" applyBorder="1" applyAlignment="1" applyProtection="1">
      <alignment vertical="center"/>
    </xf>
    <xf numFmtId="0" fontId="0" fillId="4" borderId="5" xfId="0" applyFill="1" applyBorder="1" applyAlignment="1" applyProtection="1">
      <alignment vertical="center"/>
      <protection locked="0"/>
    </xf>
    <xf numFmtId="37" fontId="0" fillId="4" borderId="1" xfId="0" applyNumberFormat="1" applyFill="1" applyBorder="1" applyAlignment="1" applyProtection="1">
      <alignment vertical="center"/>
      <protection locked="0"/>
    </xf>
    <xf numFmtId="44" fontId="0" fillId="3" borderId="16" xfId="6" applyFont="1" applyFill="1" applyBorder="1" applyAlignment="1" applyProtection="1">
      <alignment vertical="center"/>
    </xf>
    <xf numFmtId="44" fontId="0" fillId="3" borderId="20" xfId="6" applyFont="1" applyFill="1" applyBorder="1" applyAlignment="1" applyProtection="1">
      <alignment vertical="center"/>
    </xf>
    <xf numFmtId="44" fontId="0" fillId="3" borderId="37" xfId="6" applyFont="1" applyFill="1" applyBorder="1" applyAlignment="1" applyProtection="1">
      <alignment vertical="center"/>
    </xf>
    <xf numFmtId="165" fontId="0" fillId="4" borderId="8" xfId="1" applyNumberFormat="1" applyFont="1" applyFill="1" applyBorder="1" applyAlignment="1" applyProtection="1">
      <alignment vertical="center" shrinkToFit="1"/>
      <protection locked="0"/>
    </xf>
    <xf numFmtId="44" fontId="0" fillId="7" borderId="10" xfId="2" applyFont="1" applyFill="1" applyBorder="1" applyAlignment="1" applyProtection="1">
      <alignment vertical="center"/>
    </xf>
    <xf numFmtId="0" fontId="0" fillId="4" borderId="9" xfId="0" applyFill="1" applyBorder="1" applyAlignment="1" applyProtection="1">
      <alignment vertical="center"/>
      <protection locked="0"/>
    </xf>
    <xf numFmtId="37" fontId="0" fillId="4" borderId="11" xfId="0" applyNumberFormat="1" applyFill="1" applyBorder="1" applyAlignment="1" applyProtection="1">
      <alignment vertical="center"/>
      <protection locked="0"/>
    </xf>
    <xf numFmtId="44" fontId="0" fillId="3" borderId="9" xfId="6" applyFont="1" applyFill="1" applyBorder="1" applyAlignment="1" applyProtection="1">
      <alignment vertical="center"/>
    </xf>
    <xf numFmtId="44" fontId="0" fillId="3" borderId="11" xfId="6" applyFont="1" applyFill="1" applyBorder="1" applyAlignment="1" applyProtection="1">
      <alignment vertical="center"/>
    </xf>
    <xf numFmtId="44" fontId="0" fillId="3" borderId="32" xfId="6" applyFont="1" applyFill="1" applyBorder="1" applyAlignment="1" applyProtection="1">
      <alignment vertical="center"/>
    </xf>
    <xf numFmtId="165" fontId="0" fillId="4" borderId="5" xfId="1" applyNumberFormat="1" applyFont="1" applyFill="1" applyBorder="1" applyAlignment="1" applyProtection="1">
      <alignment vertical="center" shrinkToFit="1"/>
      <protection locked="0"/>
    </xf>
    <xf numFmtId="44" fontId="0" fillId="7" borderId="1" xfId="2" applyFont="1" applyFill="1" applyBorder="1" applyAlignment="1" applyProtection="1">
      <alignment vertical="center"/>
    </xf>
    <xf numFmtId="0" fontId="0" fillId="0" borderId="19" xfId="0" applyBorder="1" applyAlignment="1" applyProtection="1">
      <alignment vertical="center"/>
      <protection locked="0"/>
    </xf>
    <xf numFmtId="37" fontId="0" fillId="0" borderId="19" xfId="0" applyNumberFormat="1" applyBorder="1" applyAlignment="1" applyProtection="1">
      <alignment vertical="center"/>
      <protection locked="0"/>
    </xf>
    <xf numFmtId="44" fontId="0" fillId="0" borderId="19" xfId="6" applyFont="1" applyFill="1" applyBorder="1" applyAlignment="1" applyProtection="1">
      <alignment vertical="center"/>
    </xf>
    <xf numFmtId="0" fontId="3" fillId="0" borderId="4" xfId="0" applyFont="1" applyBorder="1" applyAlignment="1">
      <alignment horizontal="center" vertical="center" wrapText="1" shrinkToFit="1"/>
    </xf>
    <xf numFmtId="0" fontId="0" fillId="0" borderId="4" xfId="0" applyBorder="1" applyAlignment="1">
      <alignment horizontal="center" vertical="center"/>
    </xf>
    <xf numFmtId="37" fontId="0" fillId="9" borderId="0" xfId="0" applyNumberFormat="1" applyFill="1" applyAlignment="1" applyProtection="1">
      <alignment vertical="center"/>
      <protection locked="0"/>
    </xf>
    <xf numFmtId="44" fontId="0" fillId="9" borderId="0" xfId="6" applyFont="1" applyFill="1" applyBorder="1" applyAlignment="1" applyProtection="1">
      <alignment vertical="center"/>
    </xf>
    <xf numFmtId="0" fontId="3" fillId="0" borderId="38" xfId="0" applyFont="1" applyBorder="1" applyAlignment="1">
      <alignment horizontal="center" vertical="center" wrapText="1" shrinkToFit="1"/>
    </xf>
    <xf numFmtId="165" fontId="3" fillId="0" borderId="37" xfId="1" applyNumberFormat="1" applyFont="1" applyFill="1" applyBorder="1" applyAlignment="1" applyProtection="1">
      <alignment horizontal="center" vertical="center" shrinkToFit="1"/>
    </xf>
    <xf numFmtId="0" fontId="0" fillId="6" borderId="27" xfId="0" applyFill="1" applyBorder="1" applyAlignment="1" applyProtection="1">
      <alignment vertical="center" wrapText="1" shrinkToFit="1"/>
      <protection locked="0"/>
    </xf>
    <xf numFmtId="44" fontId="0" fillId="7" borderId="39" xfId="2" applyFont="1" applyFill="1" applyBorder="1" applyAlignment="1" applyProtection="1">
      <alignment vertical="center"/>
    </xf>
    <xf numFmtId="0" fontId="0" fillId="6" borderId="28" xfId="0" applyFill="1" applyBorder="1" applyAlignment="1" applyProtection="1">
      <alignment vertical="center" wrapText="1"/>
      <protection locked="0"/>
    </xf>
    <xf numFmtId="44" fontId="0" fillId="7" borderId="32" xfId="2" applyFont="1" applyFill="1" applyBorder="1" applyAlignment="1">
      <alignment vertical="center"/>
    </xf>
    <xf numFmtId="0" fontId="0" fillId="0" borderId="0" xfId="0" applyAlignment="1" applyProtection="1">
      <alignment vertical="center" wrapText="1" shrinkToFit="1"/>
      <protection locked="0"/>
    </xf>
    <xf numFmtId="165" fontId="0" fillId="0" borderId="0" xfId="1" applyNumberFormat="1" applyFont="1" applyFill="1" applyBorder="1" applyAlignment="1" applyProtection="1">
      <alignment vertical="center" shrinkToFit="1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4" borderId="38" xfId="0" applyFill="1" applyBorder="1" applyAlignment="1" applyProtection="1">
      <alignment vertical="center" wrapText="1"/>
      <protection locked="0"/>
    </xf>
    <xf numFmtId="0" fontId="3" fillId="0" borderId="0" xfId="0" applyFont="1" applyAlignment="1">
      <alignment horizontal="center" vertical="center" shrinkToFit="1"/>
    </xf>
    <xf numFmtId="0" fontId="3" fillId="0" borderId="17" xfId="0" applyFont="1" applyBorder="1" applyAlignment="1">
      <alignment horizontal="center" vertical="center" shrinkToFit="1"/>
    </xf>
    <xf numFmtId="165" fontId="3" fillId="0" borderId="0" xfId="1" applyNumberFormat="1" applyFont="1" applyFill="1" applyBorder="1" applyAlignment="1" applyProtection="1">
      <alignment horizontal="center" vertical="center" shrinkToFit="1"/>
    </xf>
    <xf numFmtId="0" fontId="0" fillId="0" borderId="17" xfId="0" applyBorder="1" applyAlignment="1" applyProtection="1">
      <alignment vertical="center" shrinkToFit="1"/>
      <protection locked="0"/>
    </xf>
    <xf numFmtId="43" fontId="0" fillId="0" borderId="0" xfId="1" applyFont="1" applyFill="1" applyBorder="1" applyAlignment="1" applyProtection="1">
      <alignment vertical="center"/>
    </xf>
    <xf numFmtId="0" fontId="0" fillId="0" borderId="17" xfId="0" applyBorder="1" applyAlignment="1" applyProtection="1">
      <alignment vertical="center"/>
      <protection locked="0"/>
    </xf>
    <xf numFmtId="0" fontId="4" fillId="0" borderId="17" xfId="0" applyFont="1" applyBorder="1" applyAlignment="1">
      <alignment horizontal="center" vertical="center"/>
    </xf>
    <xf numFmtId="44" fontId="0" fillId="0" borderId="17" xfId="6" applyFont="1" applyFill="1" applyBorder="1" applyAlignment="1" applyProtection="1">
      <alignment vertical="center"/>
    </xf>
    <xf numFmtId="44" fontId="0" fillId="0" borderId="0" xfId="6" applyFont="1" applyFill="1" applyBorder="1" applyAlignment="1" applyProtection="1">
      <alignment vertical="center"/>
    </xf>
    <xf numFmtId="43" fontId="0" fillId="7" borderId="39" xfId="1" applyFont="1" applyFill="1" applyBorder="1" applyAlignment="1" applyProtection="1">
      <alignment vertical="center"/>
    </xf>
    <xf numFmtId="165" fontId="0" fillId="0" borderId="0" xfId="1" applyNumberFormat="1" applyFont="1" applyFill="1" applyBorder="1" applyAlignment="1" applyProtection="1">
      <alignment vertical="center" shrinkToFit="1"/>
    </xf>
    <xf numFmtId="43" fontId="0" fillId="7" borderId="32" xfId="0" applyNumberFormat="1" applyFill="1" applyBorder="1" applyAlignment="1">
      <alignment vertical="center"/>
    </xf>
    <xf numFmtId="44" fontId="0" fillId="0" borderId="42" xfId="6" applyFont="1" applyFill="1" applyBorder="1" applyAlignment="1" applyProtection="1">
      <alignment vertical="center"/>
    </xf>
    <xf numFmtId="3" fontId="0" fillId="0" borderId="0" xfId="2" applyNumberFormat="1" applyFont="1" applyFill="1" applyBorder="1" applyAlignment="1" applyProtection="1">
      <alignment vertical="center" shrinkToFit="1"/>
    </xf>
    <xf numFmtId="44" fontId="0" fillId="0" borderId="0" xfId="2" applyFont="1" applyFill="1" applyBorder="1" applyAlignment="1" applyProtection="1">
      <alignment vertical="center" shrinkToFit="1"/>
    </xf>
    <xf numFmtId="3" fontId="28" fillId="0" borderId="0" xfId="0" applyNumberFormat="1" applyFont="1" applyAlignment="1">
      <alignment vertical="center"/>
    </xf>
    <xf numFmtId="0" fontId="11" fillId="0" borderId="0" xfId="0" applyFont="1" applyAlignment="1">
      <alignment horizontal="justify" vertical="center" wrapText="1"/>
    </xf>
    <xf numFmtId="0" fontId="0" fillId="0" borderId="0" xfId="0" applyAlignment="1">
      <alignment horizontal="left" vertical="center" wrapText="1"/>
    </xf>
    <xf numFmtId="0" fontId="21" fillId="0" borderId="0" xfId="0" applyFont="1" applyAlignment="1">
      <alignment horizontal="left"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wrapText="1" shrinkToFit="1"/>
    </xf>
    <xf numFmtId="0" fontId="0" fillId="0" borderId="87" xfId="0" applyBorder="1" applyAlignment="1">
      <alignment wrapText="1"/>
    </xf>
    <xf numFmtId="0" fontId="0" fillId="0" borderId="88" xfId="0" applyBorder="1" applyAlignment="1">
      <alignment wrapText="1"/>
    </xf>
    <xf numFmtId="0" fontId="0" fillId="0" borderId="36" xfId="0" applyBorder="1" applyAlignment="1">
      <alignment wrapText="1"/>
    </xf>
    <xf numFmtId="0" fontId="32" fillId="0" borderId="89" xfId="0" applyFont="1" applyBorder="1" applyAlignment="1">
      <alignment wrapText="1"/>
    </xf>
    <xf numFmtId="0" fontId="32" fillId="0" borderId="88" xfId="0" applyFont="1" applyBorder="1" applyAlignment="1">
      <alignment wrapText="1"/>
    </xf>
    <xf numFmtId="0" fontId="32" fillId="0" borderId="40" xfId="0" applyFont="1" applyBorder="1" applyAlignment="1">
      <alignment wrapText="1"/>
    </xf>
    <xf numFmtId="0" fontId="5" fillId="0" borderId="89" xfId="0" applyFont="1" applyBorder="1" applyAlignment="1">
      <alignment wrapText="1"/>
    </xf>
    <xf numFmtId="0" fontId="5" fillId="0" borderId="0" xfId="0" applyFont="1" applyAlignment="1">
      <alignment wrapText="1"/>
    </xf>
    <xf numFmtId="0" fontId="32" fillId="0" borderId="90" xfId="0" applyFont="1" applyBorder="1" applyAlignment="1">
      <alignment wrapText="1"/>
    </xf>
    <xf numFmtId="0" fontId="32" fillId="0" borderId="42" xfId="0" applyFont="1" applyBorder="1" applyAlignment="1">
      <alignment wrapText="1"/>
    </xf>
    <xf numFmtId="0" fontId="0" fillId="0" borderId="90" xfId="0" applyBorder="1" applyAlignment="1">
      <alignment wrapText="1"/>
    </xf>
    <xf numFmtId="0" fontId="0" fillId="0" borderId="42" xfId="0" applyBorder="1" applyAlignment="1">
      <alignment wrapText="1"/>
    </xf>
    <xf numFmtId="0" fontId="33" fillId="0" borderId="91" xfId="0" applyFont="1" applyBorder="1" applyAlignment="1">
      <alignment wrapText="1"/>
    </xf>
    <xf numFmtId="0" fontId="0" fillId="0" borderId="86" xfId="0" applyBorder="1" applyAlignment="1">
      <alignment wrapText="1"/>
    </xf>
    <xf numFmtId="2" fontId="0" fillId="4" borderId="5" xfId="2" applyNumberFormat="1" applyFont="1" applyFill="1" applyBorder="1" applyProtection="1">
      <protection locked="0"/>
    </xf>
    <xf numFmtId="2" fontId="0" fillId="4" borderId="9" xfId="2" applyNumberFormat="1" applyFont="1" applyFill="1" applyBorder="1" applyProtection="1">
      <protection locked="0"/>
    </xf>
    <xf numFmtId="2" fontId="0" fillId="4" borderId="8" xfId="2" applyNumberFormat="1" applyFont="1" applyFill="1" applyBorder="1" applyProtection="1">
      <protection locked="0"/>
    </xf>
    <xf numFmtId="2" fontId="0" fillId="4" borderId="16" xfId="2" applyNumberFormat="1" applyFont="1" applyFill="1" applyBorder="1" applyProtection="1">
      <protection locked="0"/>
    </xf>
    <xf numFmtId="2" fontId="0" fillId="4" borderId="56" xfId="2" applyNumberFormat="1" applyFont="1" applyFill="1" applyBorder="1" applyProtection="1">
      <protection locked="0"/>
    </xf>
    <xf numFmtId="167" fontId="0" fillId="3" borderId="47" xfId="2" applyNumberFormat="1" applyFont="1" applyFill="1" applyBorder="1" applyAlignment="1" applyProtection="1">
      <alignment horizontal="right" vertical="center" shrinkToFit="1"/>
    </xf>
    <xf numFmtId="0" fontId="0" fillId="4" borderId="21" xfId="0" applyFill="1" applyBorder="1" applyProtection="1">
      <protection locked="0"/>
    </xf>
    <xf numFmtId="37" fontId="0" fillId="3" borderId="5" xfId="2" applyNumberFormat="1" applyFont="1" applyFill="1" applyBorder="1" applyAlignment="1" applyProtection="1">
      <alignment vertical="center" shrinkToFit="1"/>
    </xf>
    <xf numFmtId="0" fontId="0" fillId="0" borderId="92" xfId="0" applyBorder="1" applyAlignment="1">
      <alignment horizontal="center" wrapText="1"/>
    </xf>
    <xf numFmtId="0" fontId="0" fillId="0" borderId="93" xfId="0" applyBorder="1" applyAlignment="1">
      <alignment horizontal="center" wrapText="1"/>
    </xf>
    <xf numFmtId="0" fontId="0" fillId="0" borderId="94" xfId="0" applyBorder="1" applyAlignment="1">
      <alignment horizontal="center" wrapText="1"/>
    </xf>
    <xf numFmtId="0" fontId="5" fillId="4" borderId="27" xfId="0" applyFont="1" applyFill="1" applyBorder="1" applyAlignment="1" applyProtection="1">
      <alignment horizontal="center" vertical="center" wrapText="1"/>
      <protection locked="0"/>
    </xf>
    <xf numFmtId="44" fontId="5" fillId="0" borderId="0" xfId="2" applyFont="1" applyFill="1" applyBorder="1" applyAlignment="1">
      <alignment horizontal="center"/>
    </xf>
    <xf numFmtId="44" fontId="5" fillId="0" borderId="0" xfId="2" applyFont="1" applyFill="1" applyBorder="1" applyAlignment="1">
      <alignment horizontal="right"/>
    </xf>
    <xf numFmtId="0" fontId="5" fillId="9" borderId="0" xfId="0" applyFont="1" applyFill="1"/>
    <xf numFmtId="0" fontId="0" fillId="9" borderId="0" xfId="0" applyFill="1"/>
    <xf numFmtId="44" fontId="5" fillId="9" borderId="2" xfId="2" applyFont="1" applyFill="1" applyBorder="1" applyAlignment="1">
      <alignment horizontal="right"/>
    </xf>
    <xf numFmtId="0" fontId="41" fillId="0" borderId="0" xfId="4" applyFont="1" applyAlignment="1" applyProtection="1"/>
    <xf numFmtId="39" fontId="5" fillId="0" borderId="0" xfId="2" applyNumberFormat="1" applyFont="1" applyFill="1" applyBorder="1" applyAlignment="1">
      <alignment horizontal="right"/>
    </xf>
    <xf numFmtId="39" fontId="5" fillId="0" borderId="2" xfId="2" applyNumberFormat="1" applyFont="1" applyFill="1" applyBorder="1" applyAlignment="1">
      <alignment horizontal="right"/>
    </xf>
    <xf numFmtId="0" fontId="41" fillId="0" borderId="0" xfId="0" applyFont="1"/>
    <xf numFmtId="44" fontId="5" fillId="6" borderId="5" xfId="2" applyFont="1" applyFill="1" applyBorder="1" applyAlignment="1" applyProtection="1">
      <alignment horizontal="right" shrinkToFit="1"/>
      <protection locked="0"/>
    </xf>
    <xf numFmtId="167" fontId="5" fillId="6" borderId="5" xfId="2" applyNumberFormat="1" applyFont="1" applyFill="1" applyBorder="1" applyAlignment="1" applyProtection="1">
      <alignment horizontal="right" shrinkToFit="1"/>
      <protection locked="0"/>
    </xf>
    <xf numFmtId="169" fontId="5" fillId="3" borderId="5" xfId="3" applyNumberFormat="1" applyFont="1" applyFill="1" applyBorder="1" applyAlignment="1">
      <alignment horizontal="right" shrinkToFit="1"/>
    </xf>
    <xf numFmtId="0" fontId="41" fillId="0" borderId="0" xfId="0" applyFont="1" applyAlignment="1">
      <alignment horizontal="right"/>
    </xf>
    <xf numFmtId="0" fontId="34" fillId="0" borderId="0" xfId="0" applyFont="1" applyAlignment="1">
      <alignment horizontal="center"/>
    </xf>
    <xf numFmtId="44" fontId="41" fillId="0" borderId="0" xfId="0" applyNumberFormat="1" applyFont="1"/>
    <xf numFmtId="0" fontId="41" fillId="0" borderId="0" xfId="0" applyFont="1" applyAlignment="1">
      <alignment horizontal="center" vertical="center"/>
    </xf>
    <xf numFmtId="0" fontId="34" fillId="0" borderId="0" xfId="0" applyFont="1"/>
    <xf numFmtId="0" fontId="34" fillId="0" borderId="12" xfId="0" applyFont="1" applyBorder="1" applyAlignment="1">
      <alignment horizontal="center"/>
    </xf>
    <xf numFmtId="0" fontId="34" fillId="0" borderId="17" xfId="0" applyFont="1" applyBorder="1" applyAlignment="1">
      <alignment horizontal="center"/>
    </xf>
    <xf numFmtId="0" fontId="41" fillId="0" borderId="122" xfId="0" applyFont="1" applyBorder="1" applyAlignment="1">
      <alignment horizontal="center"/>
    </xf>
    <xf numFmtId="0" fontId="41" fillId="0" borderId="0" xfId="0" applyFont="1" applyAlignment="1">
      <alignment vertical="center"/>
    </xf>
    <xf numFmtId="0" fontId="41" fillId="0" borderId="123" xfId="0" applyFont="1" applyBorder="1" applyAlignment="1">
      <alignment horizontal="center"/>
    </xf>
    <xf numFmtId="0" fontId="41" fillId="0" borderId="100" xfId="0" applyFont="1" applyBorder="1" applyAlignment="1">
      <alignment horizontal="center"/>
    </xf>
    <xf numFmtId="0" fontId="5" fillId="7" borderId="119" xfId="0" applyFont="1" applyFill="1" applyBorder="1" applyAlignment="1" applyProtection="1">
      <alignment horizontal="center" vertical="center" wrapText="1"/>
      <protection hidden="1"/>
    </xf>
    <xf numFmtId="169" fontId="5" fillId="7" borderId="136" xfId="0" applyNumberFormat="1" applyFont="1" applyFill="1" applyBorder="1" applyAlignment="1" applyProtection="1">
      <alignment horizontal="center" vertical="center"/>
      <protection hidden="1"/>
    </xf>
    <xf numFmtId="0" fontId="5" fillId="7" borderId="23" xfId="0" applyFont="1" applyFill="1" applyBorder="1" applyAlignment="1" applyProtection="1">
      <alignment horizontal="center" vertical="center" wrapText="1"/>
      <protection hidden="1"/>
    </xf>
    <xf numFmtId="0" fontId="0" fillId="0" borderId="0" xfId="0" applyAlignment="1" applyProtection="1">
      <alignment shrinkToFit="1"/>
      <protection hidden="1"/>
    </xf>
    <xf numFmtId="0" fontId="0" fillId="7" borderId="21" xfId="0" applyFill="1" applyBorder="1" applyAlignment="1" applyProtection="1">
      <alignment horizontal="center" vertical="center"/>
      <protection hidden="1"/>
    </xf>
    <xf numFmtId="44" fontId="0" fillId="7" borderId="16" xfId="0" applyNumberFormat="1" applyFill="1" applyBorder="1" applyProtection="1">
      <protection hidden="1"/>
    </xf>
    <xf numFmtId="169" fontId="0" fillId="7" borderId="37" xfId="0" applyNumberFormat="1" applyFill="1" applyBorder="1" applyProtection="1">
      <protection hidden="1"/>
    </xf>
    <xf numFmtId="0" fontId="0" fillId="7" borderId="3" xfId="0" applyFill="1" applyBorder="1" applyAlignment="1" applyProtection="1">
      <alignment horizontal="center" vertical="center"/>
      <protection hidden="1"/>
    </xf>
    <xf numFmtId="44" fontId="0" fillId="7" borderId="5" xfId="0" applyNumberFormat="1" applyFill="1" applyBorder="1" applyProtection="1">
      <protection hidden="1"/>
    </xf>
    <xf numFmtId="169" fontId="0" fillId="7" borderId="39" xfId="0" applyNumberFormat="1" applyFill="1" applyBorder="1" applyProtection="1">
      <protection hidden="1"/>
    </xf>
    <xf numFmtId="0" fontId="0" fillId="7" borderId="137" xfId="0" applyFill="1" applyBorder="1" applyAlignment="1" applyProtection="1">
      <alignment horizontal="center" vertical="center"/>
      <protection hidden="1"/>
    </xf>
    <xf numFmtId="44" fontId="0" fillId="7" borderId="35" xfId="0" applyNumberFormat="1" applyFill="1" applyBorder="1" applyProtection="1">
      <protection hidden="1"/>
    </xf>
    <xf numFmtId="169" fontId="0" fillId="7" borderId="138" xfId="0" applyNumberFormat="1" applyFill="1" applyBorder="1" applyProtection="1">
      <protection hidden="1"/>
    </xf>
    <xf numFmtId="44" fontId="0" fillId="5" borderId="5" xfId="0" applyNumberFormat="1" applyFill="1" applyBorder="1"/>
    <xf numFmtId="7" fontId="0" fillId="0" borderId="36" xfId="0" applyNumberFormat="1" applyBorder="1"/>
    <xf numFmtId="7" fontId="0" fillId="0" borderId="0" xfId="0" applyNumberFormat="1"/>
    <xf numFmtId="43" fontId="0" fillId="5" borderId="5" xfId="1" applyFont="1" applyFill="1" applyBorder="1" applyProtection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43" fontId="0" fillId="0" borderId="0" xfId="1" applyFont="1" applyFill="1" applyBorder="1" applyProtection="1"/>
    <xf numFmtId="0" fontId="25" fillId="0" borderId="0" xfId="0" applyFont="1" applyAlignment="1">
      <alignment horizontal="right"/>
    </xf>
    <xf numFmtId="44" fontId="0" fillId="5" borderId="5" xfId="2" applyFont="1" applyFill="1" applyBorder="1" applyProtection="1"/>
    <xf numFmtId="1" fontId="0" fillId="5" borderId="5" xfId="1" applyNumberFormat="1" applyFont="1" applyFill="1" applyBorder="1" applyProtection="1"/>
    <xf numFmtId="1" fontId="25" fillId="0" borderId="0" xfId="0" applyNumberFormat="1" applyFont="1"/>
    <xf numFmtId="3" fontId="25" fillId="0" borderId="0" xfId="0" applyNumberFormat="1" applyFont="1"/>
    <xf numFmtId="0" fontId="0" fillId="0" borderId="42" xfId="0" applyBorder="1"/>
    <xf numFmtId="1" fontId="0" fillId="0" borderId="0" xfId="1" applyNumberFormat="1" applyFont="1" applyFill="1" applyBorder="1" applyProtection="1"/>
    <xf numFmtId="172" fontId="0" fillId="7" borderId="5" xfId="0" applyNumberFormat="1" applyFill="1" applyBorder="1" applyAlignment="1">
      <alignment shrinkToFit="1"/>
    </xf>
    <xf numFmtId="172" fontId="0" fillId="7" borderId="79" xfId="0" applyNumberFormat="1" applyFill="1" applyBorder="1" applyAlignment="1">
      <alignment shrinkToFit="1"/>
    </xf>
    <xf numFmtId="172" fontId="0" fillId="7" borderId="56" xfId="0" applyNumberFormat="1" applyFill="1" applyBorder="1" applyAlignment="1">
      <alignment shrinkToFit="1"/>
    </xf>
    <xf numFmtId="172" fontId="0" fillId="7" borderId="80" xfId="0" applyNumberFormat="1" applyFill="1" applyBorder="1" applyAlignment="1">
      <alignment shrinkToFit="1"/>
    </xf>
    <xf numFmtId="0" fontId="21" fillId="0" borderId="97" xfId="0" applyFont="1" applyBorder="1"/>
    <xf numFmtId="49" fontId="4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10" fontId="5" fillId="0" borderId="0" xfId="0" applyNumberFormat="1" applyFont="1" applyAlignment="1">
      <alignment horizontal="center"/>
    </xf>
    <xf numFmtId="10" fontId="0" fillId="0" borderId="0" xfId="0" applyNumberFormat="1" applyAlignment="1">
      <alignment horizontal="center"/>
    </xf>
    <xf numFmtId="0" fontId="5" fillId="0" borderId="0" xfId="0" applyFont="1" applyAlignment="1">
      <alignment horizontal="right"/>
    </xf>
    <xf numFmtId="0" fontId="21" fillId="0" borderId="122" xfId="0" applyFont="1" applyBorder="1"/>
    <xf numFmtId="0" fontId="0" fillId="8" borderId="0" xfId="0" applyFill="1" applyAlignment="1">
      <alignment vertical="center"/>
    </xf>
    <xf numFmtId="0" fontId="0" fillId="8" borderId="0" xfId="0" applyFill="1"/>
    <xf numFmtId="0" fontId="0" fillId="8" borderId="0" xfId="0" applyFill="1" applyAlignment="1">
      <alignment horizontal="center"/>
    </xf>
    <xf numFmtId="10" fontId="0" fillId="8" borderId="0" xfId="0" applyNumberFormat="1" applyFill="1" applyAlignment="1">
      <alignment horizontal="center"/>
    </xf>
    <xf numFmtId="0" fontId="4" fillId="8" borderId="0" xfId="0" applyFont="1" applyFill="1" applyAlignment="1">
      <alignment horizontal="center"/>
    </xf>
    <xf numFmtId="3" fontId="0" fillId="0" borderId="0" xfId="0" applyNumberFormat="1" applyProtection="1">
      <protection hidden="1"/>
    </xf>
    <xf numFmtId="0" fontId="10" fillId="0" borderId="12" xfId="0" applyFont="1" applyBorder="1"/>
    <xf numFmtId="0" fontId="0" fillId="0" borderId="19" xfId="0" applyBorder="1"/>
    <xf numFmtId="0" fontId="0" fillId="0" borderId="13" xfId="0" applyBorder="1"/>
    <xf numFmtId="0" fontId="11" fillId="0" borderId="17" xfId="0" applyFont="1" applyBorder="1"/>
    <xf numFmtId="0" fontId="38" fillId="0" borderId="0" xfId="0" applyFont="1"/>
    <xf numFmtId="0" fontId="38" fillId="0" borderId="18" xfId="0" applyFont="1" applyBorder="1"/>
    <xf numFmtId="0" fontId="20" fillId="0" borderId="14" xfId="0" applyFont="1" applyBorder="1" applyAlignment="1">
      <alignment vertical="top"/>
    </xf>
    <xf numFmtId="0" fontId="38" fillId="0" borderId="4" xfId="0" applyFont="1" applyBorder="1" applyAlignment="1">
      <alignment vertical="top" wrapText="1"/>
    </xf>
    <xf numFmtId="0" fontId="38" fillId="0" borderId="15" xfId="0" applyFont="1" applyBorder="1" applyAlignment="1">
      <alignment vertical="top" wrapText="1"/>
    </xf>
    <xf numFmtId="171" fontId="0" fillId="6" borderId="0" xfId="2" applyNumberFormat="1" applyFont="1" applyFill="1" applyAlignment="1" applyProtection="1">
      <alignment horizontal="center" vertical="center"/>
      <protection locked="0"/>
    </xf>
    <xf numFmtId="0" fontId="5" fillId="4" borderId="3" xfId="7" applyFill="1" applyBorder="1" applyAlignment="1" applyProtection="1">
      <alignment shrinkToFit="1"/>
      <protection locked="0"/>
    </xf>
    <xf numFmtId="8" fontId="5" fillId="4" borderId="3" xfId="7" applyNumberFormat="1" applyFill="1" applyBorder="1" applyAlignment="1" applyProtection="1">
      <alignment shrinkToFit="1"/>
      <protection locked="0"/>
    </xf>
    <xf numFmtId="0" fontId="0" fillId="7" borderId="8" xfId="0" applyFill="1" applyBorder="1" applyAlignment="1">
      <alignment horizontal="center" vertical="center" wrapText="1" shrinkToFit="1"/>
    </xf>
    <xf numFmtId="0" fontId="0" fillId="7" borderId="5" xfId="0" applyFill="1" applyBorder="1" applyAlignment="1">
      <alignment horizontal="center" vertical="center" wrapText="1" shrinkToFit="1"/>
    </xf>
    <xf numFmtId="0" fontId="0" fillId="7" borderId="56" xfId="0" applyFill="1" applyBorder="1" applyAlignment="1">
      <alignment horizontal="center" vertical="center" wrapText="1" shrinkToFit="1"/>
    </xf>
    <xf numFmtId="0" fontId="44" fillId="0" borderId="0" xfId="0" applyFont="1" applyAlignment="1">
      <alignment vertical="center"/>
    </xf>
    <xf numFmtId="0" fontId="39" fillId="0" borderId="0" xfId="0" applyFont="1"/>
    <xf numFmtId="3" fontId="12" fillId="0" borderId="0" xfId="4" applyNumberFormat="1" applyFill="1" applyBorder="1" applyAlignment="1" applyProtection="1"/>
    <xf numFmtId="0" fontId="45" fillId="0" borderId="0" xfId="0" applyFont="1" applyAlignment="1">
      <alignment horizontal="center" wrapText="1"/>
    </xf>
    <xf numFmtId="0" fontId="44" fillId="0" borderId="0" xfId="0" applyFont="1"/>
    <xf numFmtId="0" fontId="44" fillId="0" borderId="0" xfId="0" applyFont="1" applyAlignment="1">
      <alignment shrinkToFit="1"/>
    </xf>
    <xf numFmtId="0" fontId="46" fillId="0" borderId="0" xfId="0" applyFont="1"/>
    <xf numFmtId="0" fontId="1" fillId="0" borderId="110" xfId="0" applyFont="1" applyBorder="1" applyAlignment="1">
      <alignment horizontal="center" vertical="center" wrapText="1"/>
    </xf>
    <xf numFmtId="44" fontId="1" fillId="0" borderId="38" xfId="0" applyNumberFormat="1" applyFont="1" applyBorder="1" applyAlignment="1">
      <alignment horizontal="center" vertical="center" wrapText="1"/>
    </xf>
    <xf numFmtId="44" fontId="1" fillId="0" borderId="37" xfId="0" applyNumberFormat="1" applyFont="1" applyBorder="1" applyAlignment="1">
      <alignment horizontal="center" vertical="center" wrapText="1"/>
    </xf>
    <xf numFmtId="37" fontId="1" fillId="0" borderId="38" xfId="0" applyNumberFormat="1" applyFont="1" applyBorder="1" applyAlignment="1">
      <alignment horizontal="center" vertical="center" wrapText="1"/>
    </xf>
    <xf numFmtId="0" fontId="1" fillId="0" borderId="114" xfId="0" applyFont="1" applyBorder="1" applyAlignment="1">
      <alignment horizontal="center" vertical="center" wrapText="1"/>
    </xf>
    <xf numFmtId="0" fontId="1" fillId="0" borderId="111" xfId="0" applyFont="1" applyBorder="1" applyAlignment="1">
      <alignment horizontal="center" vertical="center" wrapText="1"/>
    </xf>
    <xf numFmtId="44" fontId="1" fillId="0" borderId="27" xfId="0" applyNumberFormat="1" applyFont="1" applyBorder="1" applyAlignment="1">
      <alignment horizontal="center" vertical="center" wrapText="1"/>
    </xf>
    <xf numFmtId="44" fontId="1" fillId="0" borderId="39" xfId="0" applyNumberFormat="1" applyFont="1" applyBorder="1" applyAlignment="1">
      <alignment horizontal="center" vertical="center" wrapText="1"/>
    </xf>
    <xf numFmtId="37" fontId="1" fillId="0" borderId="27" xfId="0" applyNumberFormat="1" applyFont="1" applyBorder="1" applyAlignment="1">
      <alignment horizontal="center" vertical="center" wrapText="1"/>
    </xf>
    <xf numFmtId="0" fontId="1" fillId="0" borderId="115" xfId="0" applyFont="1" applyBorder="1" applyAlignment="1">
      <alignment horizontal="center" vertical="center" wrapText="1"/>
    </xf>
    <xf numFmtId="0" fontId="1" fillId="0" borderId="112" xfId="0" applyFont="1" applyBorder="1" applyAlignment="1">
      <alignment horizontal="center" vertical="center" wrapText="1"/>
    </xf>
    <xf numFmtId="44" fontId="1" fillId="0" borderId="132" xfId="0" applyNumberFormat="1" applyFont="1" applyBorder="1" applyAlignment="1">
      <alignment horizontal="center" vertical="center" wrapText="1"/>
    </xf>
    <xf numFmtId="44" fontId="1" fillId="0" borderId="133" xfId="0" applyNumberFormat="1" applyFont="1" applyBorder="1" applyAlignment="1">
      <alignment horizontal="center" vertical="center" wrapText="1"/>
    </xf>
    <xf numFmtId="37" fontId="1" fillId="0" borderId="132" xfId="0" applyNumberFormat="1" applyFont="1" applyBorder="1" applyAlignment="1">
      <alignment horizontal="center" vertical="center" wrapText="1"/>
    </xf>
    <xf numFmtId="0" fontId="1" fillId="0" borderId="134" xfId="0" applyFont="1" applyBorder="1" applyAlignment="1">
      <alignment horizontal="center" vertical="center" wrapText="1"/>
    </xf>
    <xf numFmtId="0" fontId="1" fillId="0" borderId="135" xfId="0" applyFont="1" applyBorder="1" applyAlignment="1">
      <alignment horizontal="center" vertical="center" wrapText="1"/>
    </xf>
    <xf numFmtId="44" fontId="1" fillId="0" borderId="139" xfId="0" applyNumberFormat="1" applyFont="1" applyBorder="1" applyAlignment="1">
      <alignment horizontal="center" vertical="center" wrapText="1"/>
    </xf>
    <xf numFmtId="44" fontId="1" fillId="0" borderId="140" xfId="0" applyNumberFormat="1" applyFont="1" applyBorder="1" applyAlignment="1">
      <alignment horizontal="center" vertical="center" wrapText="1"/>
    </xf>
    <xf numFmtId="37" fontId="1" fillId="0" borderId="139" xfId="0" applyNumberFormat="1" applyFont="1" applyBorder="1" applyAlignment="1">
      <alignment horizontal="center" vertical="center" wrapText="1"/>
    </xf>
    <xf numFmtId="0" fontId="1" fillId="0" borderId="141" xfId="0" applyFont="1" applyBorder="1" applyAlignment="1">
      <alignment horizontal="center" vertical="center" wrapText="1"/>
    </xf>
    <xf numFmtId="44" fontId="1" fillId="0" borderId="142" xfId="0" applyNumberFormat="1" applyFont="1" applyBorder="1" applyAlignment="1">
      <alignment horizontal="center" vertical="center" wrapText="1"/>
    </xf>
    <xf numFmtId="44" fontId="1" fillId="0" borderId="143" xfId="0" applyNumberFormat="1" applyFont="1" applyBorder="1" applyAlignment="1">
      <alignment horizontal="center" vertical="center" wrapText="1"/>
    </xf>
    <xf numFmtId="37" fontId="1" fillId="0" borderId="142" xfId="0" applyNumberFormat="1" applyFont="1" applyBorder="1" applyAlignment="1">
      <alignment horizontal="center" vertical="center" wrapText="1"/>
    </xf>
    <xf numFmtId="0" fontId="1" fillId="0" borderId="144" xfId="0" applyFont="1" applyBorder="1" applyAlignment="1">
      <alignment horizontal="center" vertical="center" wrapText="1"/>
    </xf>
    <xf numFmtId="44" fontId="1" fillId="0" borderId="145" xfId="0" applyNumberFormat="1" applyFont="1" applyBorder="1" applyAlignment="1">
      <alignment horizontal="center" vertical="center" wrapText="1"/>
    </xf>
    <xf numFmtId="44" fontId="1" fillId="0" borderId="146" xfId="0" applyNumberFormat="1" applyFont="1" applyBorder="1" applyAlignment="1">
      <alignment horizontal="center" vertical="center" wrapText="1"/>
    </xf>
    <xf numFmtId="37" fontId="1" fillId="0" borderId="145" xfId="0" applyNumberFormat="1" applyFont="1" applyBorder="1" applyAlignment="1">
      <alignment horizontal="center" vertical="center" wrapText="1"/>
    </xf>
    <xf numFmtId="0" fontId="1" fillId="0" borderId="147" xfId="0" applyFont="1" applyBorder="1" applyAlignment="1">
      <alignment horizontal="center" vertical="center" wrapText="1"/>
    </xf>
    <xf numFmtId="44" fontId="1" fillId="8" borderId="142" xfId="0" applyNumberFormat="1" applyFont="1" applyFill="1" applyBorder="1" applyAlignment="1">
      <alignment horizontal="center" vertical="center" wrapText="1"/>
    </xf>
    <xf numFmtId="44" fontId="1" fillId="8" borderId="143" xfId="0" applyNumberFormat="1" applyFont="1" applyFill="1" applyBorder="1" applyAlignment="1">
      <alignment horizontal="center" vertical="center" wrapText="1"/>
    </xf>
    <xf numFmtId="37" fontId="1" fillId="8" borderId="142" xfId="0" applyNumberFormat="1" applyFont="1" applyFill="1" applyBorder="1" applyAlignment="1">
      <alignment horizontal="center" vertical="center" wrapText="1"/>
    </xf>
    <xf numFmtId="0" fontId="1" fillId="8" borderId="144" xfId="0" applyFont="1" applyFill="1" applyBorder="1" applyAlignment="1">
      <alignment horizontal="center" vertical="center" wrapText="1"/>
    </xf>
    <xf numFmtId="0" fontId="1" fillId="0" borderId="148" xfId="0" applyFont="1" applyBorder="1" applyAlignment="1">
      <alignment horizontal="center" vertical="center" wrapText="1"/>
    </xf>
    <xf numFmtId="44" fontId="1" fillId="0" borderId="149" xfId="0" applyNumberFormat="1" applyFont="1" applyBorder="1" applyAlignment="1">
      <alignment horizontal="center" vertical="center" wrapText="1"/>
    </xf>
    <xf numFmtId="44" fontId="1" fillId="0" borderId="150" xfId="0" applyNumberFormat="1" applyFont="1" applyBorder="1" applyAlignment="1">
      <alignment horizontal="center" vertical="center" wrapText="1"/>
    </xf>
    <xf numFmtId="44" fontId="1" fillId="8" borderId="149" xfId="0" applyNumberFormat="1" applyFont="1" applyFill="1" applyBorder="1" applyAlignment="1">
      <alignment horizontal="center" vertical="center" wrapText="1"/>
    </xf>
    <xf numFmtId="44" fontId="1" fillId="8" borderId="150" xfId="0" applyNumberFormat="1" applyFont="1" applyFill="1" applyBorder="1" applyAlignment="1">
      <alignment horizontal="center" vertical="center" wrapText="1"/>
    </xf>
    <xf numFmtId="37" fontId="1" fillId="8" borderId="149" xfId="0" applyNumberFormat="1" applyFont="1" applyFill="1" applyBorder="1" applyAlignment="1">
      <alignment horizontal="center" vertical="center" wrapText="1"/>
    </xf>
    <xf numFmtId="0" fontId="1" fillId="8" borderId="151" xfId="0" applyFont="1" applyFill="1" applyBorder="1" applyAlignment="1">
      <alignment horizontal="center" vertical="center" wrapText="1"/>
    </xf>
    <xf numFmtId="0" fontId="32" fillId="6" borderId="105" xfId="0" applyFont="1" applyFill="1" applyBorder="1" applyAlignment="1" applyProtection="1">
      <alignment vertical="center" wrapText="1"/>
      <protection locked="0"/>
    </xf>
    <xf numFmtId="44" fontId="32" fillId="6" borderId="102" xfId="6" applyFont="1" applyFill="1" applyBorder="1" applyAlignment="1" applyProtection="1">
      <alignment vertical="center" wrapText="1"/>
      <protection locked="0"/>
    </xf>
    <xf numFmtId="0" fontId="32" fillId="6" borderId="53" xfId="0" applyFont="1" applyFill="1" applyBorder="1" applyAlignment="1" applyProtection="1">
      <alignment vertical="center" wrapText="1"/>
      <protection locked="0"/>
    </xf>
    <xf numFmtId="44" fontId="32" fillId="6" borderId="52" xfId="6" applyFont="1" applyFill="1" applyBorder="1" applyAlignment="1" applyProtection="1">
      <alignment vertical="center" wrapText="1"/>
      <protection locked="0"/>
    </xf>
    <xf numFmtId="0" fontId="5" fillId="6" borderId="106" xfId="0" applyFont="1" applyFill="1" applyBorder="1" applyAlignment="1" applyProtection="1">
      <alignment vertical="center" wrapText="1"/>
      <protection locked="0"/>
    </xf>
    <xf numFmtId="44" fontId="32" fillId="6" borderId="107" xfId="6" applyFont="1" applyFill="1" applyBorder="1" applyAlignment="1" applyProtection="1">
      <alignment vertical="center" wrapText="1"/>
      <protection locked="0"/>
    </xf>
    <xf numFmtId="0" fontId="5" fillId="6" borderId="105" xfId="0" applyFont="1" applyFill="1" applyBorder="1" applyAlignment="1" applyProtection="1">
      <alignment vertical="center" wrapText="1"/>
      <protection locked="0"/>
    </xf>
    <xf numFmtId="44" fontId="5" fillId="6" borderId="107" xfId="0" applyNumberFormat="1" applyFont="1" applyFill="1" applyBorder="1" applyAlignment="1" applyProtection="1">
      <alignment vertical="center" wrapText="1"/>
      <protection locked="0"/>
    </xf>
    <xf numFmtId="44" fontId="5" fillId="6" borderId="102" xfId="0" applyNumberFormat="1" applyFont="1" applyFill="1" applyBorder="1" applyAlignment="1" applyProtection="1">
      <alignment vertical="center" wrapText="1"/>
      <protection locked="0"/>
    </xf>
    <xf numFmtId="0" fontId="5" fillId="6" borderId="53" xfId="0" applyFont="1" applyFill="1" applyBorder="1" applyAlignment="1" applyProtection="1">
      <alignment vertical="center" wrapText="1"/>
      <protection locked="0"/>
    </xf>
    <xf numFmtId="0" fontId="18" fillId="6" borderId="53" xfId="0" applyFont="1" applyFill="1" applyBorder="1" applyAlignment="1" applyProtection="1">
      <alignment vertical="center" wrapText="1"/>
      <protection locked="0"/>
    </xf>
    <xf numFmtId="0" fontId="32" fillId="6" borderId="106" xfId="0" applyFont="1" applyFill="1" applyBorder="1" applyAlignment="1" applyProtection="1">
      <alignment vertical="center" wrapText="1"/>
      <protection locked="0"/>
    </xf>
    <xf numFmtId="0" fontId="18" fillId="6" borderId="106" xfId="0" applyFont="1" applyFill="1" applyBorder="1" applyAlignment="1" applyProtection="1">
      <alignment vertical="center" wrapText="1"/>
      <protection locked="0"/>
    </xf>
    <xf numFmtId="0" fontId="18" fillId="6" borderId="105" xfId="0" applyFont="1" applyFill="1" applyBorder="1" applyAlignment="1" applyProtection="1">
      <alignment vertical="center" wrapText="1"/>
      <protection locked="0"/>
    </xf>
    <xf numFmtId="44" fontId="32" fillId="6" borderId="52" xfId="2" applyFont="1" applyFill="1" applyBorder="1" applyAlignment="1" applyProtection="1">
      <alignment vertical="center" wrapText="1"/>
      <protection locked="0"/>
    </xf>
    <xf numFmtId="44" fontId="32" fillId="6" borderId="107" xfId="2" applyFont="1" applyFill="1" applyBorder="1" applyAlignment="1" applyProtection="1">
      <alignment vertical="center" wrapText="1"/>
      <protection locked="0"/>
    </xf>
    <xf numFmtId="44" fontId="32" fillId="6" borderId="102" xfId="2" applyFont="1" applyFill="1" applyBorder="1" applyAlignment="1" applyProtection="1">
      <alignment vertical="center" wrapText="1"/>
      <protection locked="0"/>
    </xf>
    <xf numFmtId="0" fontId="5" fillId="4" borderId="59" xfId="0" applyFont="1" applyFill="1" applyBorder="1" applyAlignment="1" applyProtection="1">
      <alignment vertical="center" wrapText="1"/>
      <protection locked="0"/>
    </xf>
    <xf numFmtId="44" fontId="0" fillId="4" borderId="8" xfId="6" applyFont="1" applyFill="1" applyBorder="1" applyAlignment="1" applyProtection="1">
      <alignment horizontal="center" vertical="center" wrapText="1"/>
      <protection locked="0"/>
    </xf>
    <xf numFmtId="14" fontId="0" fillId="4" borderId="8" xfId="6" applyNumberFormat="1" applyFont="1" applyFill="1" applyBorder="1" applyAlignment="1" applyProtection="1">
      <alignment horizontal="center" vertical="center" wrapText="1"/>
      <protection locked="0"/>
    </xf>
    <xf numFmtId="166" fontId="0" fillId="4" borderId="8" xfId="8" applyNumberFormat="1" applyFont="1" applyFill="1" applyBorder="1" applyAlignment="1" applyProtection="1">
      <alignment horizontal="center" vertical="center" wrapText="1"/>
      <protection locked="0"/>
    </xf>
    <xf numFmtId="0" fontId="0" fillId="4" borderId="53" xfId="0" applyFill="1" applyBorder="1" applyAlignment="1" applyProtection="1">
      <alignment vertical="center" wrapText="1"/>
      <protection locked="0"/>
    </xf>
    <xf numFmtId="44" fontId="0" fillId="4" borderId="5" xfId="6" applyFont="1" applyFill="1" applyBorder="1" applyAlignment="1" applyProtection="1">
      <alignment horizontal="center" vertical="center" wrapText="1"/>
      <protection locked="0"/>
    </xf>
    <xf numFmtId="14" fontId="0" fillId="4" borderId="5" xfId="6" applyNumberFormat="1" applyFont="1" applyFill="1" applyBorder="1" applyAlignment="1" applyProtection="1">
      <alignment horizontal="center" vertical="center" wrapText="1"/>
      <protection locked="0"/>
    </xf>
    <xf numFmtId="166" fontId="0" fillId="4" borderId="5" xfId="8" applyNumberFormat="1" applyFont="1" applyFill="1" applyBorder="1" applyAlignment="1" applyProtection="1">
      <alignment horizontal="center" vertical="center" wrapText="1"/>
      <protection locked="0"/>
    </xf>
    <xf numFmtId="0" fontId="5" fillId="4" borderId="53" xfId="0" applyFont="1" applyFill="1" applyBorder="1" applyAlignment="1" applyProtection="1">
      <alignment vertical="center" wrapText="1"/>
      <protection locked="0"/>
    </xf>
    <xf numFmtId="0" fontId="18" fillId="4" borderId="53" xfId="0" applyFont="1" applyFill="1" applyBorder="1" applyAlignment="1" applyProtection="1">
      <alignment vertical="center" wrapText="1"/>
      <protection locked="0"/>
    </xf>
    <xf numFmtId="0" fontId="5" fillId="4" borderId="61" xfId="0" applyFont="1" applyFill="1" applyBorder="1" applyAlignment="1" applyProtection="1">
      <alignment vertical="center" wrapText="1"/>
      <protection locked="0"/>
    </xf>
    <xf numFmtId="44" fontId="0" fillId="4" borderId="62" xfId="6" applyFont="1" applyFill="1" applyBorder="1" applyAlignment="1" applyProtection="1">
      <alignment horizontal="center" vertical="center" wrapText="1"/>
      <protection locked="0"/>
    </xf>
    <xf numFmtId="14" fontId="0" fillId="4" borderId="62" xfId="6" applyNumberFormat="1" applyFont="1" applyFill="1" applyBorder="1" applyAlignment="1" applyProtection="1">
      <alignment horizontal="center" vertical="center" wrapText="1"/>
      <protection locked="0"/>
    </xf>
    <xf numFmtId="166" fontId="0" fillId="4" borderId="62" xfId="8" applyNumberFormat="1" applyFont="1" applyFill="1" applyBorder="1" applyAlignment="1" applyProtection="1">
      <alignment horizontal="center" vertical="center" wrapText="1"/>
      <protection locked="0"/>
    </xf>
    <xf numFmtId="0" fontId="0" fillId="4" borderId="59" xfId="0" applyFill="1" applyBorder="1" applyAlignment="1" applyProtection="1">
      <alignment vertical="center" wrapText="1"/>
      <protection locked="0"/>
    </xf>
    <xf numFmtId="0" fontId="18" fillId="4" borderId="61" xfId="0" applyFont="1" applyFill="1" applyBorder="1" applyAlignment="1" applyProtection="1">
      <alignment vertical="center" wrapText="1"/>
      <protection locked="0"/>
    </xf>
    <xf numFmtId="0" fontId="0" fillId="4" borderId="61" xfId="0" applyFill="1" applyBorder="1" applyAlignment="1" applyProtection="1">
      <alignment vertical="center" wrapText="1"/>
      <protection locked="0"/>
    </xf>
    <xf numFmtId="0" fontId="18" fillId="4" borderId="59" xfId="0" applyFont="1" applyFill="1" applyBorder="1" applyAlignment="1" applyProtection="1">
      <alignment vertical="center" wrapText="1"/>
      <protection locked="0"/>
    </xf>
    <xf numFmtId="44" fontId="0" fillId="4" borderId="5" xfId="2" applyFont="1" applyFill="1" applyBorder="1" applyAlignment="1" applyProtection="1">
      <alignment horizontal="center" vertical="center" wrapText="1"/>
      <protection locked="0"/>
    </xf>
    <xf numFmtId="14" fontId="0" fillId="4" borderId="5" xfId="2" applyNumberFormat="1" applyFont="1" applyFill="1" applyBorder="1" applyAlignment="1" applyProtection="1">
      <alignment horizontal="center" vertical="center" wrapText="1"/>
      <protection locked="0"/>
    </xf>
    <xf numFmtId="166" fontId="0" fillId="4" borderId="5" xfId="1" applyNumberFormat="1" applyFont="1" applyFill="1" applyBorder="1" applyAlignment="1" applyProtection="1">
      <alignment horizontal="center" vertical="center" wrapText="1"/>
      <protection locked="0"/>
    </xf>
    <xf numFmtId="44" fontId="0" fillId="4" borderId="62" xfId="2" applyFont="1" applyFill="1" applyBorder="1" applyAlignment="1" applyProtection="1">
      <alignment horizontal="center" vertical="center" wrapText="1"/>
      <protection locked="0"/>
    </xf>
    <xf numFmtId="14" fontId="0" fillId="4" borderId="62" xfId="2" applyNumberFormat="1" applyFont="1" applyFill="1" applyBorder="1" applyAlignment="1" applyProtection="1">
      <alignment horizontal="center" vertical="center" wrapText="1"/>
      <protection locked="0"/>
    </xf>
    <xf numFmtId="166" fontId="0" fillId="4" borderId="62" xfId="1" applyNumberFormat="1" applyFont="1" applyFill="1" applyBorder="1" applyAlignment="1" applyProtection="1">
      <alignment horizontal="center" vertical="center" wrapText="1"/>
      <protection locked="0"/>
    </xf>
    <xf numFmtId="44" fontId="0" fillId="4" borderId="8" xfId="2" applyFont="1" applyFill="1" applyBorder="1" applyAlignment="1" applyProtection="1">
      <alignment horizontal="center" vertical="center" wrapText="1"/>
      <protection locked="0"/>
    </xf>
    <xf numFmtId="14" fontId="0" fillId="4" borderId="8" xfId="2" applyNumberFormat="1" applyFont="1" applyFill="1" applyBorder="1" applyAlignment="1" applyProtection="1">
      <alignment horizontal="center" vertical="center" wrapText="1"/>
      <protection locked="0"/>
    </xf>
    <xf numFmtId="166" fontId="0" fillId="4" borderId="8" xfId="1" applyNumberFormat="1" applyFont="1" applyFill="1" applyBorder="1" applyAlignment="1" applyProtection="1">
      <alignment horizontal="center" vertical="center" wrapText="1"/>
      <protection locked="0"/>
    </xf>
    <xf numFmtId="0" fontId="0" fillId="4" borderId="81" xfId="0" applyFill="1" applyBorder="1" applyAlignment="1" applyProtection="1">
      <alignment vertical="center" wrapText="1"/>
      <protection locked="0"/>
    </xf>
    <xf numFmtId="0" fontId="0" fillId="4" borderId="54" xfId="0" applyFill="1" applyBorder="1" applyAlignment="1" applyProtection="1">
      <alignment vertical="center" wrapText="1"/>
      <protection locked="0"/>
    </xf>
    <xf numFmtId="44" fontId="0" fillId="4" borderId="56" xfId="2" applyFont="1" applyFill="1" applyBorder="1" applyAlignment="1" applyProtection="1">
      <alignment horizontal="center" vertical="center" wrapText="1"/>
      <protection locked="0"/>
    </xf>
    <xf numFmtId="14" fontId="0" fillId="4" borderId="56" xfId="2" applyNumberFormat="1" applyFont="1" applyFill="1" applyBorder="1" applyAlignment="1" applyProtection="1">
      <alignment horizontal="center" vertical="center" wrapText="1"/>
      <protection locked="0"/>
    </xf>
    <xf numFmtId="166" fontId="0" fillId="4" borderId="56" xfId="1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right"/>
    </xf>
    <xf numFmtId="44" fontId="0" fillId="3" borderId="152" xfId="2" applyFont="1" applyFill="1" applyBorder="1" applyAlignment="1" applyProtection="1">
      <alignment horizontal="left" vertical="center" shrinkToFit="1"/>
    </xf>
    <xf numFmtId="169" fontId="0" fillId="7" borderId="153" xfId="0" applyNumberFormat="1" applyFill="1" applyBorder="1"/>
    <xf numFmtId="44" fontId="0" fillId="11" borderId="26" xfId="2" applyFont="1" applyFill="1" applyBorder="1" applyAlignment="1" applyProtection="1">
      <alignment vertical="center" shrinkToFit="1"/>
    </xf>
    <xf numFmtId="44" fontId="0" fillId="11" borderId="34" xfId="2" applyFont="1" applyFill="1" applyBorder="1" applyAlignment="1" applyProtection="1">
      <alignment vertical="center" shrinkToFit="1"/>
    </xf>
    <xf numFmtId="3" fontId="0" fillId="0" borderId="0" xfId="0" applyNumberFormat="1" applyAlignment="1">
      <alignment horizontal="center"/>
    </xf>
    <xf numFmtId="0" fontId="0" fillId="0" borderId="45" xfId="0" applyBorder="1" applyAlignment="1">
      <alignment horizontal="center"/>
    </xf>
    <xf numFmtId="0" fontId="2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6" borderId="1" xfId="0" applyFill="1" applyBorder="1" applyAlignment="1" applyProtection="1">
      <alignment horizontal="center" vertical="center"/>
      <protection locked="0"/>
    </xf>
    <xf numFmtId="0" fontId="0" fillId="6" borderId="2" xfId="0" applyFill="1" applyBorder="1" applyAlignment="1" applyProtection="1">
      <alignment horizontal="center" vertical="center"/>
      <protection locked="0"/>
    </xf>
    <xf numFmtId="0" fontId="0" fillId="6" borderId="3" xfId="0" applyFill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3" fontId="43" fillId="0" borderId="0" xfId="0" applyNumberFormat="1" applyFont="1" applyAlignment="1">
      <alignment horizontal="center" wrapText="1"/>
    </xf>
    <xf numFmtId="0" fontId="43" fillId="0" borderId="45" xfId="0" applyFont="1" applyBorder="1" applyAlignment="1">
      <alignment horizontal="center" wrapText="1"/>
    </xf>
    <xf numFmtId="49" fontId="3" fillId="5" borderId="5" xfId="0" applyNumberFormat="1" applyFont="1" applyFill="1" applyBorder="1" applyAlignment="1">
      <alignment horizontal="center" vertical="center"/>
    </xf>
    <xf numFmtId="49" fontId="0" fillId="5" borderId="5" xfId="0" applyNumberFormat="1" applyFill="1" applyBorder="1" applyAlignment="1">
      <alignment horizontal="center" vertical="center"/>
    </xf>
    <xf numFmtId="49" fontId="0" fillId="0" borderId="5" xfId="0" applyNumberFormat="1" applyBorder="1" applyAlignment="1">
      <alignment horizontal="center" vertical="center"/>
    </xf>
    <xf numFmtId="0" fontId="0" fillId="0" borderId="12" xfId="0" applyBorder="1" applyAlignment="1" applyProtection="1">
      <alignment vertical="top" wrapText="1"/>
      <protection locked="0"/>
    </xf>
    <xf numFmtId="0" fontId="0" fillId="0" borderId="19" xfId="0" applyBorder="1" applyAlignment="1" applyProtection="1">
      <alignment vertical="top" wrapText="1"/>
      <protection locked="0"/>
    </xf>
    <xf numFmtId="0" fontId="0" fillId="0" borderId="13" xfId="0" applyBorder="1" applyAlignment="1" applyProtection="1">
      <alignment vertical="top" wrapText="1"/>
      <protection locked="0"/>
    </xf>
    <xf numFmtId="0" fontId="0" fillId="0" borderId="17" xfId="0" applyBorder="1" applyAlignment="1" applyProtection="1">
      <alignment vertical="top" wrapText="1"/>
      <protection locked="0"/>
    </xf>
    <xf numFmtId="0" fontId="0" fillId="0" borderId="0" xfId="0" applyAlignment="1" applyProtection="1">
      <alignment vertical="top" wrapText="1"/>
      <protection locked="0"/>
    </xf>
    <xf numFmtId="0" fontId="0" fillId="0" borderId="18" xfId="0" applyBorder="1" applyAlignment="1" applyProtection="1">
      <alignment vertical="top" wrapText="1"/>
      <protection locked="0"/>
    </xf>
    <xf numFmtId="0" fontId="0" fillId="0" borderId="14" xfId="0" applyBorder="1" applyAlignment="1" applyProtection="1">
      <alignment vertical="top" wrapText="1"/>
      <protection locked="0"/>
    </xf>
    <xf numFmtId="0" fontId="0" fillId="0" borderId="4" xfId="0" applyBorder="1" applyAlignment="1" applyProtection="1">
      <alignment vertical="top" wrapText="1"/>
      <protection locked="0"/>
    </xf>
    <xf numFmtId="0" fontId="0" fillId="0" borderId="15" xfId="0" applyBorder="1" applyAlignment="1" applyProtection="1">
      <alignment vertical="top" wrapText="1"/>
      <protection locked="0"/>
    </xf>
    <xf numFmtId="0" fontId="20" fillId="0" borderId="17" xfId="0" applyFont="1" applyBorder="1" applyAlignment="1">
      <alignment vertical="top" wrapText="1"/>
    </xf>
    <xf numFmtId="0" fontId="20" fillId="0" borderId="0" xfId="0" applyFont="1" applyAlignment="1">
      <alignment vertical="top" wrapText="1"/>
    </xf>
    <xf numFmtId="0" fontId="20" fillId="0" borderId="18" xfId="0" applyFont="1" applyBorder="1" applyAlignment="1">
      <alignment vertical="top" wrapText="1"/>
    </xf>
    <xf numFmtId="0" fontId="9" fillId="0" borderId="26" xfId="0" applyFont="1" applyBorder="1" applyAlignment="1">
      <alignment horizontal="center"/>
    </xf>
    <xf numFmtId="0" fontId="9" fillId="0" borderId="33" xfId="0" applyFont="1" applyBorder="1" applyAlignment="1">
      <alignment horizontal="center"/>
    </xf>
    <xf numFmtId="0" fontId="9" fillId="0" borderId="34" xfId="0" applyFont="1" applyBorder="1" applyAlignment="1">
      <alignment horizontal="center"/>
    </xf>
    <xf numFmtId="0" fontId="11" fillId="0" borderId="20" xfId="0" applyFont="1" applyBorder="1" applyAlignment="1">
      <alignment horizontal="center" vertical="top" wrapText="1"/>
    </xf>
    <xf numFmtId="0" fontId="11" fillId="0" borderId="21" xfId="0" applyFont="1" applyBorder="1" applyAlignment="1">
      <alignment horizontal="center" vertical="top" wrapText="1"/>
    </xf>
    <xf numFmtId="0" fontId="3" fillId="5" borderId="5" xfId="0" applyFont="1" applyFill="1" applyBorder="1" applyAlignment="1">
      <alignment horizontal="center" vertical="center"/>
    </xf>
    <xf numFmtId="0" fontId="0" fillId="5" borderId="5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1" fillId="5" borderId="1" xfId="0" applyFont="1" applyFill="1" applyBorder="1" applyAlignment="1">
      <alignment horizontal="center" vertical="center"/>
    </xf>
    <xf numFmtId="0" fontId="41" fillId="5" borderId="3" xfId="0" applyFont="1" applyFill="1" applyBorder="1" applyAlignment="1">
      <alignment horizontal="center" vertical="center"/>
    </xf>
    <xf numFmtId="0" fontId="42" fillId="0" borderId="0" xfId="0" applyFont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16" fillId="0" borderId="82" xfId="7" applyFont="1" applyBorder="1" applyAlignment="1">
      <alignment horizontal="center"/>
    </xf>
    <xf numFmtId="0" fontId="0" fillId="0" borderId="48" xfId="0" applyBorder="1" applyAlignment="1">
      <alignment horizontal="center"/>
    </xf>
    <xf numFmtId="0" fontId="0" fillId="0" borderId="83" xfId="0" applyBorder="1" applyAlignment="1">
      <alignment horizontal="center"/>
    </xf>
    <xf numFmtId="0" fontId="0" fillId="0" borderId="0" xfId="0" applyAlignment="1">
      <alignment horizontal="right"/>
    </xf>
    <xf numFmtId="0" fontId="3" fillId="0" borderId="71" xfId="0" applyFont="1" applyBorder="1" applyAlignment="1">
      <alignment horizontal="center" vertical="center"/>
    </xf>
    <xf numFmtId="0" fontId="0" fillId="0" borderId="73" xfId="0" applyBorder="1"/>
    <xf numFmtId="0" fontId="0" fillId="6" borderId="101" xfId="0" applyFill="1" applyBorder="1" applyAlignment="1" applyProtection="1">
      <alignment vertical="center" shrinkToFit="1"/>
      <protection locked="0"/>
    </xf>
    <xf numFmtId="0" fontId="0" fillId="0" borderId="21" xfId="0" applyBorder="1" applyAlignment="1" applyProtection="1">
      <alignment vertical="center" shrinkToFit="1"/>
      <protection locked="0"/>
    </xf>
    <xf numFmtId="0" fontId="0" fillId="6" borderId="84" xfId="0" applyFill="1" applyBorder="1" applyAlignment="1" applyProtection="1">
      <alignment vertical="center" shrinkToFit="1"/>
      <protection locked="0"/>
    </xf>
    <xf numFmtId="0" fontId="0" fillId="0" borderId="3" xfId="0" applyBorder="1" applyAlignment="1" applyProtection="1">
      <alignment vertical="center" shrinkToFit="1"/>
      <protection locked="0"/>
    </xf>
    <xf numFmtId="0" fontId="0" fillId="6" borderId="95" xfId="0" applyFill="1" applyBorder="1" applyAlignment="1" applyProtection="1">
      <alignment vertical="center" shrinkToFit="1"/>
      <protection locked="0"/>
    </xf>
    <xf numFmtId="0" fontId="0" fillId="0" borderId="85" xfId="0" applyBorder="1" applyAlignment="1" applyProtection="1">
      <alignment vertical="center" shrinkToFit="1"/>
      <protection locked="0"/>
    </xf>
    <xf numFmtId="0" fontId="4" fillId="0" borderId="103" xfId="7" applyFont="1" applyBorder="1" applyAlignment="1">
      <alignment horizontal="center" vertical="center" wrapText="1"/>
    </xf>
    <xf numFmtId="0" fontId="0" fillId="0" borderId="25" xfId="0" applyBorder="1"/>
    <xf numFmtId="0" fontId="34" fillId="0" borderId="103" xfId="0" applyFont="1" applyBorder="1" applyAlignment="1">
      <alignment horizontal="center" vertical="center" wrapText="1"/>
    </xf>
    <xf numFmtId="0" fontId="0" fillId="4" borderId="84" xfId="0" applyFill="1" applyBorder="1" applyAlignment="1" applyProtection="1">
      <alignment wrapText="1"/>
      <protection locked="0"/>
    </xf>
    <xf numFmtId="0" fontId="0" fillId="0" borderId="3" xfId="0" applyBorder="1" applyAlignment="1" applyProtection="1">
      <alignment wrapText="1"/>
      <protection locked="0"/>
    </xf>
    <xf numFmtId="0" fontId="0" fillId="4" borderId="95" xfId="0" applyFill="1" applyBorder="1" applyAlignment="1" applyProtection="1">
      <alignment wrapText="1"/>
      <protection locked="0"/>
    </xf>
    <xf numFmtId="0" fontId="0" fillId="0" borderId="85" xfId="0" applyBorder="1" applyAlignment="1" applyProtection="1">
      <alignment wrapText="1"/>
      <protection locked="0"/>
    </xf>
    <xf numFmtId="0" fontId="4" fillId="0" borderId="97" xfId="7" applyFont="1" applyBorder="1" applyAlignment="1">
      <alignment horizontal="center" vertical="center" shrinkToFit="1"/>
    </xf>
    <xf numFmtId="0" fontId="0" fillId="0" borderId="118" xfId="0" applyBorder="1"/>
    <xf numFmtId="0" fontId="0" fillId="0" borderId="100" xfId="0" applyBorder="1"/>
    <xf numFmtId="0" fontId="0" fillId="0" borderId="119" xfId="0" applyBorder="1"/>
    <xf numFmtId="0" fontId="0" fillId="4" borderId="101" xfId="0" applyFill="1" applyBorder="1" applyAlignment="1" applyProtection="1">
      <alignment horizontal="left" vertical="center"/>
      <protection locked="0"/>
    </xf>
    <xf numFmtId="0" fontId="0" fillId="0" borderId="21" xfId="0" applyBorder="1" applyProtection="1">
      <protection locked="0"/>
    </xf>
    <xf numFmtId="0" fontId="0" fillId="4" borderId="84" xfId="0" applyFill="1" applyBorder="1" applyAlignment="1" applyProtection="1">
      <alignment horizontal="left" vertical="center"/>
      <protection locked="0"/>
    </xf>
    <xf numFmtId="0" fontId="0" fillId="0" borderId="3" xfId="0" applyBorder="1" applyProtection="1">
      <protection locked="0"/>
    </xf>
    <xf numFmtId="0" fontId="0" fillId="4" borderId="95" xfId="0" applyFill="1" applyBorder="1" applyAlignment="1" applyProtection="1">
      <alignment horizontal="left" vertical="center"/>
      <protection locked="0"/>
    </xf>
    <xf numFmtId="0" fontId="0" fillId="0" borderId="85" xfId="0" applyBorder="1" applyProtection="1">
      <protection locked="0"/>
    </xf>
    <xf numFmtId="166" fontId="0" fillId="4" borderId="84" xfId="1" applyNumberFormat="1" applyFont="1" applyFill="1" applyBorder="1" applyAlignment="1" applyProtection="1">
      <alignment wrapText="1"/>
      <protection locked="0"/>
    </xf>
    <xf numFmtId="166" fontId="0" fillId="4" borderId="117" xfId="1" applyNumberFormat="1" applyFont="1" applyFill="1" applyBorder="1" applyAlignment="1" applyProtection="1">
      <alignment wrapText="1"/>
      <protection locked="0"/>
    </xf>
    <xf numFmtId="0" fontId="0" fillId="0" borderId="41" xfId="0" applyBorder="1" applyAlignment="1" applyProtection="1">
      <alignment wrapText="1"/>
      <protection locked="0"/>
    </xf>
    <xf numFmtId="0" fontId="0" fillId="4" borderId="101" xfId="0" applyFill="1" applyBorder="1" applyAlignment="1" applyProtection="1">
      <alignment wrapText="1"/>
      <protection locked="0"/>
    </xf>
    <xf numFmtId="0" fontId="0" fillId="0" borderId="21" xfId="0" applyBorder="1" applyAlignment="1" applyProtection="1">
      <alignment wrapText="1"/>
      <protection locked="0"/>
    </xf>
    <xf numFmtId="0" fontId="0" fillId="4" borderId="117" xfId="0" applyFill="1" applyBorder="1" applyAlignment="1" applyProtection="1">
      <alignment wrapText="1"/>
      <protection locked="0"/>
    </xf>
    <xf numFmtId="166" fontId="0" fillId="4" borderId="101" xfId="1" applyNumberFormat="1" applyFont="1" applyFill="1" applyBorder="1" applyAlignment="1" applyProtection="1">
      <alignment wrapText="1"/>
      <protection locked="0"/>
    </xf>
    <xf numFmtId="0" fontId="3" fillId="0" borderId="0" xfId="0" applyFont="1" applyAlignment="1">
      <alignment horizontal="right"/>
    </xf>
    <xf numFmtId="0" fontId="4" fillId="0" borderId="100" xfId="0" applyFont="1" applyBorder="1" applyAlignment="1">
      <alignment horizontal="center" vertical="center"/>
    </xf>
    <xf numFmtId="0" fontId="0" fillId="0" borderId="15" xfId="0" applyBorder="1" applyAlignment="1">
      <alignment horizontal="center"/>
    </xf>
    <xf numFmtId="10" fontId="0" fillId="7" borderId="1" xfId="3" applyNumberFormat="1" applyFont="1" applyFill="1" applyBorder="1" applyAlignment="1" applyProtection="1"/>
    <xf numFmtId="10" fontId="0" fillId="7" borderId="3" xfId="3" applyNumberFormat="1" applyFont="1" applyFill="1" applyBorder="1" applyAlignment="1" applyProtection="1"/>
    <xf numFmtId="0" fontId="0" fillId="7" borderId="3" xfId="0" applyFill="1" applyBorder="1"/>
    <xf numFmtId="0" fontId="4" fillId="0" borderId="99" xfId="0" applyFont="1" applyBorder="1" applyAlignment="1">
      <alignment horizontal="center"/>
    </xf>
    <xf numFmtId="0" fontId="0" fillId="0" borderId="99" xfId="0" applyBorder="1"/>
    <xf numFmtId="0" fontId="4" fillId="0" borderId="4" xfId="0" applyFont="1" applyBorder="1" applyAlignment="1">
      <alignment horizontal="center"/>
    </xf>
    <xf numFmtId="0" fontId="0" fillId="0" borderId="4" xfId="0" applyBorder="1"/>
    <xf numFmtId="10" fontId="0" fillId="7" borderId="16" xfId="3" applyNumberFormat="1" applyFont="1" applyFill="1" applyBorder="1" applyAlignment="1" applyProtection="1"/>
    <xf numFmtId="0" fontId="0" fillId="7" borderId="16" xfId="0" applyFill="1" applyBorder="1"/>
    <xf numFmtId="0" fontId="4" fillId="0" borderId="97" xfId="0" applyFont="1" applyBorder="1" applyAlignment="1">
      <alignment horizontal="center" vertical="center"/>
    </xf>
    <xf numFmtId="0" fontId="0" fillId="0" borderId="98" xfId="0" applyBorder="1"/>
    <xf numFmtId="0" fontId="0" fillId="0" borderId="15" xfId="0" applyBorder="1"/>
    <xf numFmtId="166" fontId="0" fillId="4" borderId="21" xfId="1" applyNumberFormat="1" applyFont="1" applyFill="1" applyBorder="1" applyAlignment="1" applyProtection="1">
      <alignment wrapText="1"/>
      <protection locked="0"/>
    </xf>
    <xf numFmtId="166" fontId="0" fillId="4" borderId="3" xfId="1" applyNumberFormat="1" applyFont="1" applyFill="1" applyBorder="1" applyAlignment="1" applyProtection="1">
      <alignment wrapText="1"/>
      <protection locked="0"/>
    </xf>
    <xf numFmtId="0" fontId="4" fillId="0" borderId="97" xfId="0" applyFont="1" applyBorder="1" applyAlignment="1">
      <alignment horizontal="center"/>
    </xf>
    <xf numFmtId="0" fontId="0" fillId="0" borderId="98" xfId="0" applyBorder="1" applyAlignment="1">
      <alignment horizontal="center"/>
    </xf>
    <xf numFmtId="10" fontId="0" fillId="7" borderId="11" xfId="3" applyNumberFormat="1" applyFont="1" applyFill="1" applyBorder="1" applyAlignment="1" applyProtection="1"/>
    <xf numFmtId="0" fontId="0" fillId="7" borderId="41" xfId="0" applyFill="1" applyBorder="1"/>
    <xf numFmtId="10" fontId="0" fillId="7" borderId="57" xfId="3" applyNumberFormat="1" applyFont="1" applyFill="1" applyBorder="1" applyAlignment="1" applyProtection="1"/>
    <xf numFmtId="0" fontId="0" fillId="7" borderId="85" xfId="0" applyFill="1" applyBorder="1"/>
    <xf numFmtId="10" fontId="0" fillId="7" borderId="41" xfId="3" applyNumberFormat="1" applyFont="1" applyFill="1" applyBorder="1" applyAlignment="1" applyProtection="1"/>
    <xf numFmtId="10" fontId="0" fillId="7" borderId="20" xfId="3" applyNumberFormat="1" applyFont="1" applyFill="1" applyBorder="1" applyAlignment="1" applyProtection="1"/>
    <xf numFmtId="10" fontId="0" fillId="7" borderId="21" xfId="3" applyNumberFormat="1" applyFont="1" applyFill="1" applyBorder="1" applyAlignment="1" applyProtection="1"/>
    <xf numFmtId="0" fontId="0" fillId="0" borderId="0" xfId="0"/>
    <xf numFmtId="3" fontId="0" fillId="3" borderId="1" xfId="2" applyNumberFormat="1" applyFont="1" applyFill="1" applyBorder="1" applyAlignment="1" applyProtection="1"/>
    <xf numFmtId="0" fontId="0" fillId="0" borderId="3" xfId="0" applyBorder="1"/>
    <xf numFmtId="44" fontId="0" fillId="3" borderId="1" xfId="2" applyFont="1" applyFill="1" applyBorder="1" applyAlignment="1" applyProtection="1"/>
    <xf numFmtId="0" fontId="0" fillId="7" borderId="1" xfId="0" applyFill="1" applyBorder="1"/>
    <xf numFmtId="0" fontId="4" fillId="0" borderId="0" xfId="4" applyFont="1" applyAlignment="1" applyProtection="1">
      <alignment horizontal="center" vertical="center"/>
    </xf>
    <xf numFmtId="0" fontId="3" fillId="0" borderId="0" xfId="0" applyFont="1" applyAlignment="1">
      <alignment horizontal="center" vertical="center"/>
    </xf>
    <xf numFmtId="10" fontId="0" fillId="7" borderId="11" xfId="3" applyNumberFormat="1" applyFont="1" applyFill="1" applyBorder="1" applyAlignment="1" applyProtection="1">
      <alignment vertical="center"/>
    </xf>
    <xf numFmtId="10" fontId="0" fillId="7" borderId="41" xfId="3" applyNumberFormat="1" applyFont="1" applyFill="1" applyBorder="1" applyAlignment="1" applyProtection="1">
      <alignment vertical="center"/>
    </xf>
    <xf numFmtId="0" fontId="3" fillId="0" borderId="4" xfId="0" applyFont="1" applyBorder="1" applyAlignment="1">
      <alignment vertical="center" wrapText="1"/>
    </xf>
    <xf numFmtId="0" fontId="0" fillId="0" borderId="4" xfId="0" applyBorder="1" applyAlignment="1">
      <alignment vertical="center"/>
    </xf>
    <xf numFmtId="0" fontId="4" fillId="0" borderId="4" xfId="0" applyFont="1" applyBorder="1" applyAlignment="1">
      <alignment vertical="center" wrapText="1"/>
    </xf>
    <xf numFmtId="0" fontId="26" fillId="8" borderId="0" xfId="0" applyFont="1" applyFill="1" applyAlignment="1">
      <alignment horizontal="right" vertical="center"/>
    </xf>
    <xf numFmtId="0" fontId="35" fillId="0" borderId="0" xfId="0" applyFont="1" applyAlignment="1">
      <alignment horizontal="right" vertical="center"/>
    </xf>
    <xf numFmtId="10" fontId="0" fillId="7" borderId="20" xfId="3" applyNumberFormat="1" applyFont="1" applyFill="1" applyBorder="1" applyAlignment="1" applyProtection="1">
      <alignment vertical="center"/>
    </xf>
    <xf numFmtId="10" fontId="0" fillId="7" borderId="21" xfId="3" applyNumberFormat="1" applyFont="1" applyFill="1" applyBorder="1" applyAlignment="1" applyProtection="1">
      <alignment vertical="center"/>
    </xf>
    <xf numFmtId="10" fontId="0" fillId="7" borderId="1" xfId="3" applyNumberFormat="1" applyFont="1" applyFill="1" applyBorder="1" applyAlignment="1" applyProtection="1">
      <alignment vertical="center"/>
    </xf>
    <xf numFmtId="10" fontId="0" fillId="7" borderId="3" xfId="3" applyNumberFormat="1" applyFont="1" applyFill="1" applyBorder="1" applyAlignment="1" applyProtection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37" fillId="8" borderId="0" xfId="0" applyFont="1" applyFill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0" fontId="0" fillId="0" borderId="40" xfId="0" applyBorder="1" applyAlignment="1">
      <alignment vertical="center"/>
    </xf>
    <xf numFmtId="0" fontId="6" fillId="0" borderId="0" xfId="0" applyFont="1" applyAlignment="1">
      <alignment horizontal="right" vertical="center"/>
    </xf>
    <xf numFmtId="0" fontId="4" fillId="0" borderId="4" xfId="0" applyFont="1" applyBorder="1" applyAlignment="1">
      <alignment horizontal="left" vertical="center" wrapText="1"/>
    </xf>
    <xf numFmtId="0" fontId="0" fillId="0" borderId="4" xfId="0" applyBorder="1" applyAlignment="1">
      <alignment horizontal="left" vertical="center"/>
    </xf>
    <xf numFmtId="10" fontId="4" fillId="0" borderId="19" xfId="0" applyNumberFormat="1" applyFont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44" fontId="25" fillId="0" borderId="0" xfId="0" applyNumberFormat="1" applyFont="1"/>
    <xf numFmtId="0" fontId="25" fillId="0" borderId="0" xfId="0" applyFont="1"/>
    <xf numFmtId="44" fontId="39" fillId="10" borderId="0" xfId="0" applyNumberFormat="1" applyFont="1" applyFill="1"/>
    <xf numFmtId="0" fontId="32" fillId="0" borderId="1" xfId="0" applyFont="1" applyBorder="1" applyAlignment="1">
      <alignment wrapText="1"/>
    </xf>
    <xf numFmtId="0" fontId="0" fillId="0" borderId="2" xfId="0" applyBorder="1" applyAlignment="1">
      <alignment wrapText="1"/>
    </xf>
    <xf numFmtId="0" fontId="0" fillId="0" borderId="116" xfId="0" applyBorder="1" applyAlignment="1">
      <alignment wrapText="1"/>
    </xf>
    <xf numFmtId="0" fontId="0" fillId="0" borderId="1" xfId="0" applyBorder="1" applyAlignment="1">
      <alignment wrapText="1"/>
    </xf>
    <xf numFmtId="0" fontId="4" fillId="0" borderId="89" xfId="0" applyFont="1" applyBorder="1" applyAlignment="1">
      <alignment wrapText="1"/>
    </xf>
    <xf numFmtId="0" fontId="4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93" xfId="0" applyBorder="1" applyAlignment="1">
      <alignment wrapText="1"/>
    </xf>
    <xf numFmtId="0" fontId="0" fillId="0" borderId="89" xfId="0" applyBorder="1" applyAlignment="1">
      <alignment wrapText="1"/>
    </xf>
    <xf numFmtId="0" fontId="20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31" fillId="0" borderId="0" xfId="0" applyFont="1" applyAlignment="1">
      <alignment horizontal="center" vertical="center" wrapText="1"/>
    </xf>
    <xf numFmtId="0" fontId="32" fillId="0" borderId="0" xfId="0" applyFont="1" applyAlignment="1">
      <alignment wrapText="1"/>
    </xf>
    <xf numFmtId="0" fontId="5" fillId="0" borderId="46" xfId="0" applyFont="1" applyBorder="1" applyAlignment="1">
      <alignment horizontal="left" vertical="center" wrapText="1"/>
    </xf>
    <xf numFmtId="0" fontId="0" fillId="0" borderId="46" xfId="0" applyBorder="1" applyAlignment="1">
      <alignment wrapText="1"/>
    </xf>
    <xf numFmtId="0" fontId="5" fillId="0" borderId="46" xfId="0" applyFont="1" applyBorder="1" applyAlignment="1">
      <alignment horizontal="left" wrapText="1"/>
    </xf>
    <xf numFmtId="0" fontId="11" fillId="0" borderId="113" xfId="0" applyFont="1" applyBorder="1" applyAlignment="1">
      <alignment horizontal="center" vertical="center" wrapText="1"/>
    </xf>
    <xf numFmtId="0" fontId="0" fillId="0" borderId="87" xfId="0" applyBorder="1" applyAlignment="1">
      <alignment horizontal="center" vertical="center" wrapText="1"/>
    </xf>
    <xf numFmtId="0" fontId="0" fillId="0" borderId="87" xfId="0" applyBorder="1" applyAlignment="1">
      <alignment wrapText="1"/>
    </xf>
    <xf numFmtId="0" fontId="0" fillId="0" borderId="92" xfId="0" applyBorder="1" applyAlignment="1">
      <alignment wrapText="1"/>
    </xf>
    <xf numFmtId="0" fontId="30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10">
    <cellStyle name="Comma" xfId="1" builtinId="3"/>
    <cellStyle name="Comma 2" xfId="8" xr:uid="{A70F05BD-D4FE-4D02-87B3-D6B55FF1616B}"/>
    <cellStyle name="Currency" xfId="2" builtinId="4"/>
    <cellStyle name="Currency 2" xfId="9" xr:uid="{64E78C07-05A6-4808-A50A-E476629E8243}"/>
    <cellStyle name="Currency 4" xfId="6" xr:uid="{CC6A6285-A96D-4936-9D97-803354702D43}"/>
    <cellStyle name="Hyperlink" xfId="4" builtinId="8"/>
    <cellStyle name="Normal" xfId="0" builtinId="0"/>
    <cellStyle name="Normal 2" xfId="7" xr:uid="{97C4D6CA-6E25-433E-8296-3C41F2A2FB39}"/>
    <cellStyle name="Percent" xfId="3" builtinId="5"/>
    <cellStyle name="Percent 4" xfId="5" xr:uid="{514CBC47-5E7D-4DDD-BD41-A480A6B25CF5}"/>
  </cellStyles>
  <dxfs count="122">
    <dxf>
      <font>
        <b val="0"/>
        <i/>
        <color theme="2" tint="-0.24994659260841701"/>
      </font>
    </dxf>
    <dxf>
      <font>
        <b val="0"/>
        <i/>
        <color theme="0" tint="-0.34998626667073579"/>
      </font>
    </dxf>
    <dxf>
      <font>
        <b val="0"/>
        <i/>
        <color theme="0" tint="-0.34998626667073579"/>
      </font>
    </dxf>
    <dxf>
      <font>
        <b val="0"/>
        <i/>
        <color theme="0" tint="-0.34998626667073579"/>
      </font>
    </dxf>
    <dxf>
      <font>
        <b val="0"/>
        <i/>
        <color theme="0" tint="-0.34998626667073579"/>
      </font>
    </dxf>
    <dxf>
      <font>
        <b val="0"/>
        <i/>
        <color theme="0" tint="-0.34998626667073579"/>
      </font>
    </dxf>
    <dxf>
      <font>
        <b val="0"/>
        <i/>
        <color theme="0" tint="-0.34998626667073579"/>
      </font>
    </dxf>
    <dxf>
      <font>
        <b val="0"/>
        <i/>
        <color theme="0" tint="-0.34998626667073579"/>
      </font>
    </dxf>
    <dxf>
      <font>
        <b val="0"/>
        <i/>
        <color theme="0" tint="-0.34998626667073579"/>
      </font>
    </dxf>
    <dxf>
      <font>
        <b val="0"/>
        <i/>
        <color theme="0" tint="-0.34998626667073579"/>
      </font>
    </dxf>
    <dxf>
      <font>
        <b val="0"/>
        <i/>
        <color theme="0" tint="-0.34998626667073579"/>
      </font>
    </dxf>
    <dxf>
      <font>
        <b val="0"/>
        <i/>
        <color theme="0" tint="-0.34998626667073579"/>
      </font>
    </dxf>
    <dxf>
      <font>
        <b val="0"/>
        <i/>
        <color theme="0" tint="-0.34998626667073579"/>
      </font>
    </dxf>
    <dxf>
      <font>
        <b val="0"/>
        <i/>
        <color theme="0" tint="-0.34998626667073579"/>
      </font>
    </dxf>
    <dxf>
      <font>
        <b val="0"/>
        <i/>
        <color theme="0" tint="-0.24994659260841701"/>
      </font>
    </dxf>
    <dxf>
      <font>
        <b val="0"/>
        <i/>
        <color theme="0" tint="-0.34998626667073579"/>
      </font>
    </dxf>
    <dxf>
      <font>
        <b val="0"/>
        <i/>
        <color theme="0" tint="-0.34998626667073579"/>
      </font>
    </dxf>
    <dxf>
      <font>
        <b val="0"/>
        <i/>
        <color theme="0" tint="-0.34998626667073579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color rgb="FFFFFF00"/>
      </font>
      <fill>
        <patternFill>
          <bgColor rgb="FF00B050"/>
        </patternFill>
      </fill>
    </dxf>
    <dxf>
      <font>
        <color rgb="FFFFFF00"/>
      </font>
      <fill>
        <patternFill>
          <bgColor rgb="FF00B050"/>
        </patternFill>
      </fill>
    </dxf>
    <dxf>
      <font>
        <color rgb="FFFFFF00"/>
      </font>
      <fill>
        <patternFill>
          <bgColor rgb="FF00B050"/>
        </patternFill>
      </fill>
    </dxf>
    <dxf>
      <font>
        <color rgb="FFFFFF00"/>
      </font>
      <fill>
        <patternFill>
          <bgColor rgb="FF00B050"/>
        </patternFill>
      </fill>
    </dxf>
    <dxf>
      <font>
        <color rgb="FFFFFF00"/>
      </font>
      <fill>
        <patternFill>
          <bgColor rgb="FF00B050"/>
        </patternFill>
      </fill>
    </dxf>
    <dxf>
      <font>
        <color rgb="FFFFFF00"/>
      </font>
      <fill>
        <patternFill>
          <bgColor rgb="FF00B050"/>
        </patternFill>
      </fill>
    </dxf>
    <dxf>
      <font>
        <color rgb="FFFFFF00"/>
      </font>
      <fill>
        <patternFill>
          <bgColor rgb="FF00B050"/>
        </patternFill>
      </fill>
    </dxf>
    <dxf>
      <font>
        <color rgb="FFFFFF00"/>
      </font>
      <fill>
        <patternFill>
          <bgColor rgb="FF00B050"/>
        </patternFill>
      </fill>
    </dxf>
    <dxf>
      <font>
        <color rgb="FFFFFF00"/>
      </font>
      <fill>
        <patternFill>
          <bgColor rgb="FF00B050"/>
        </patternFill>
      </fill>
    </dxf>
    <dxf>
      <font>
        <color rgb="FFFFFF00"/>
      </font>
      <fill>
        <patternFill>
          <bgColor rgb="FF00B050"/>
        </patternFill>
      </fill>
    </dxf>
    <dxf>
      <font>
        <color rgb="FFFFFF00"/>
      </font>
      <fill>
        <patternFill>
          <bgColor rgb="FF00B050"/>
        </patternFill>
      </fill>
    </dxf>
    <dxf>
      <font>
        <color rgb="FFFFFF00"/>
      </font>
      <fill>
        <patternFill>
          <bgColor rgb="FF00B050"/>
        </patternFill>
      </fill>
    </dxf>
    <dxf>
      <font>
        <color rgb="FFFFFF00"/>
      </font>
      <fill>
        <patternFill>
          <bgColor rgb="FF00B050"/>
        </patternFill>
      </fill>
    </dxf>
    <dxf>
      <font>
        <color rgb="FFFFFF00"/>
      </font>
      <fill>
        <patternFill>
          <bgColor rgb="FF00B050"/>
        </patternFill>
      </fill>
    </dxf>
    <dxf>
      <font>
        <color rgb="FFFFFF00"/>
      </font>
      <fill>
        <patternFill>
          <bgColor rgb="FF00B050"/>
        </patternFill>
      </fill>
    </dxf>
    <dxf>
      <font>
        <color rgb="FFFFFF00"/>
      </font>
      <fill>
        <patternFill>
          <bgColor rgb="FF00B050"/>
        </patternFill>
      </fill>
    </dxf>
    <dxf>
      <font>
        <color rgb="FFFFFF00"/>
      </font>
      <fill>
        <patternFill>
          <bgColor rgb="FF00B050"/>
        </patternFill>
      </fill>
    </dxf>
    <dxf>
      <font>
        <color rgb="FFFFFF00"/>
      </font>
      <fill>
        <patternFill>
          <bgColor rgb="FF00B05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8" tint="0.79998168889431442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rgb="FFFFFFCC"/>
        </patternFill>
      </fill>
    </dxf>
    <dxf>
      <fill>
        <patternFill>
          <bgColor theme="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b val="0"/>
        <i val="0"/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9" formatCode="0.0%"/>
      <fill>
        <patternFill patternType="solid">
          <fgColor indexed="64"/>
          <bgColor rgb="FFCCFFCC"/>
        </patternFill>
      </fill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font>
        <b val="0"/>
        <i val="0"/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(&quot;$&quot;* #,##0.00_);_(&quot;$&quot;* \(#,##0.00\);_(&quot;$&quot;* &quot;-&quot;??_);_(@_)"/>
      <fill>
        <patternFill patternType="solid">
          <fgColor indexed="64"/>
          <bgColor rgb="FFCCFFCC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font>
        <b val="0"/>
        <i val="0"/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rgb="FFCCFFCC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font>
        <b val="0"/>
        <i val="0"/>
        <strike val="0"/>
        <outline val="0"/>
        <shadow val="0"/>
        <u val="none"/>
        <vertAlign val="baseline"/>
        <sz val="11"/>
        <color theme="1"/>
        <name val="Calibri Light"/>
        <family val="2"/>
        <scheme val="major"/>
      </font>
      <fill>
        <patternFill patternType="solid">
          <fgColor indexed="64"/>
          <bgColor rgb="FFCCFFCC"/>
        </patternFill>
      </fill>
      <protection locked="1" hidden="1"/>
    </dxf>
    <dxf>
      <border outline="0">
        <left style="medium">
          <color indexed="64"/>
        </left>
        <top style="thin">
          <color indexed="64"/>
        </top>
        <bottom style="thin">
          <color indexed="64"/>
        </bottom>
      </border>
    </dxf>
    <dxf>
      <protection locked="1" hidden="1"/>
    </dxf>
    <dxf>
      <border outline="0">
        <bottom style="medium">
          <color indexed="64"/>
        </bottom>
      </border>
    </dxf>
    <dxf>
      <protection locked="1" hidden="1"/>
    </dxf>
    <dxf>
      <protection locked="1" hidden="1"/>
    </dxf>
    <dxf>
      <protection locked="1" hidden="1"/>
    </dxf>
    <dxf>
      <protection locked="1" hidden="1"/>
    </dxf>
  </dxfs>
  <tableStyles count="0" defaultTableStyle="TableStyleMedium2" defaultPivotStyle="PivotStyleLight16"/>
  <colors>
    <mruColors>
      <color rgb="FFFFCCFF"/>
      <color rgb="FFCCFFCC"/>
      <color rgb="FFCC3300"/>
      <color rgb="FFFFFFCC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onnections" Target="connection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Relationship Id="rId22" Type="http://schemas.openxmlformats.org/officeDocument/2006/relationships/customXml" Target="../customXml/item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5A9FCDE-5A93-462C-9CA3-EEC6C418905B}" name="Table2" displayName="Table2" ref="C63:C65" totalsRowShown="0" headerRowDxfId="121" dataDxfId="120">
  <autoFilter ref="C63:C65" xr:uid="{85A9FCDE-5A93-462C-9CA3-EEC6C418905B}"/>
  <tableColumns count="1">
    <tableColumn id="1" xr3:uid="{F6657FEE-0575-4E83-83A7-89A9CBC76793}" name="Column1" dataDxfId="119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707421AD-E044-4DE4-BAC1-B471088D7FEB}" name="WageBeneTable5" displayName="WageBeneTable5" ref="B63:D78" headerRowDxfId="118" dataDxfId="116" totalsRowDxfId="114" headerRowBorderDxfId="117" tableBorderDxfId="115">
  <tableColumns count="3">
    <tableColumn id="1" xr3:uid="{E35B7EB7-2D75-442B-9110-18B9066C3344}" name="Worker Title" totalsRowFunction="custom" dataDxfId="113">
      <totalsRowFormula>B49</totalsRowFormula>
    </tableColumn>
    <tableColumn id="2" xr3:uid="{9CBAD8B0-45AD-4E50-B3F6-B8EEEF4E650A}" name="wage" totalsRowFunction="custom" dataDxfId="112">
      <calculatedColumnFormula>G16</calculatedColumnFormula>
      <totalsRowFormula>C50</totalsRowFormula>
    </tableColumn>
    <tableColumn id="4" xr3:uid="{8ADF316B-CF1A-47D4-9977-8CA534F3913E}" name="benefits" totalsRowFunction="custom" dataDxfId="111">
      <totalsRowFormula>SUM(C52:C61)</totalsRowFormula>
    </tableColumn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gsa.gov/travel?topnav=travel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6829D8-5458-42A8-B4EF-1930C0D5B5E7}">
  <dimension ref="A1:L65"/>
  <sheetViews>
    <sheetView showGridLines="0" showZeros="0" zoomScaleNormal="100" workbookViewId="0">
      <pane xSplit="2" ySplit="12" topLeftCell="C13" activePane="bottomRight" state="frozen"/>
      <selection activeCell="N19" sqref="N19"/>
      <selection pane="topRight" activeCell="N19" sqref="N19"/>
      <selection pane="bottomLeft" activeCell="N19" sqref="N19"/>
      <selection pane="bottomRight" activeCell="B13" sqref="B13"/>
    </sheetView>
  </sheetViews>
  <sheetFormatPr defaultRowHeight="14.5" x14ac:dyDescent="0.35"/>
  <cols>
    <col min="1" max="1" width="2.54296875" customWidth="1"/>
    <col min="2" max="2" width="28.1796875" customWidth="1"/>
    <col min="3" max="3" width="21.453125" customWidth="1"/>
    <col min="4" max="4" width="25.54296875" customWidth="1"/>
    <col min="5" max="5" width="16.54296875" style="69" customWidth="1"/>
    <col min="6" max="6" width="7.1796875" customWidth="1"/>
    <col min="8" max="8" width="10.1796875" customWidth="1"/>
    <col min="11" max="11" width="15.81640625" customWidth="1"/>
    <col min="12" max="12" width="23.453125" customWidth="1"/>
  </cols>
  <sheetData>
    <row r="1" spans="1:12" ht="30" customHeight="1" x14ac:dyDescent="0.35">
      <c r="B1" s="707" t="s">
        <v>181</v>
      </c>
      <c r="C1" s="708"/>
      <c r="D1" s="708"/>
      <c r="E1" s="708"/>
      <c r="F1" s="708"/>
      <c r="G1" s="708"/>
      <c r="H1" s="708"/>
      <c r="I1" s="708"/>
      <c r="J1" s="708"/>
      <c r="K1" s="20" t="s">
        <v>133</v>
      </c>
      <c r="L1" s="56" t="s">
        <v>134</v>
      </c>
    </row>
    <row r="2" spans="1:12" x14ac:dyDescent="0.35">
      <c r="L2" s="56" t="s">
        <v>259</v>
      </c>
    </row>
    <row r="3" spans="1:12" x14ac:dyDescent="0.35">
      <c r="B3" t="s">
        <v>109</v>
      </c>
      <c r="C3" s="709"/>
      <c r="D3" s="712"/>
      <c r="F3" t="s">
        <v>234</v>
      </c>
      <c r="H3" s="709"/>
      <c r="I3" s="710"/>
      <c r="J3" s="711"/>
      <c r="L3" s="56" t="s">
        <v>260</v>
      </c>
    </row>
    <row r="4" spans="1:12" x14ac:dyDescent="0.35">
      <c r="C4" s="100"/>
      <c r="D4" s="100"/>
      <c r="L4" s="56" t="s">
        <v>80</v>
      </c>
    </row>
    <row r="5" spans="1:12" x14ac:dyDescent="0.35">
      <c r="B5" t="s">
        <v>110</v>
      </c>
      <c r="C5" s="709"/>
      <c r="D5" s="712"/>
      <c r="L5" s="56" t="s">
        <v>15</v>
      </c>
    </row>
    <row r="6" spans="1:12" x14ac:dyDescent="0.35">
      <c r="C6" s="100"/>
      <c r="D6" s="100"/>
      <c r="L6" s="56" t="s">
        <v>201</v>
      </c>
    </row>
    <row r="7" spans="1:12" x14ac:dyDescent="0.35">
      <c r="B7" t="s">
        <v>135</v>
      </c>
      <c r="C7" s="709"/>
      <c r="D7" s="712"/>
      <c r="L7" s="56" t="s">
        <v>89</v>
      </c>
    </row>
    <row r="8" spans="1:12" x14ac:dyDescent="0.35">
      <c r="L8" s="56" t="s">
        <v>2</v>
      </c>
    </row>
    <row r="9" spans="1:12" x14ac:dyDescent="0.35">
      <c r="B9" s="2" t="s">
        <v>120</v>
      </c>
      <c r="L9" s="56" t="s">
        <v>230</v>
      </c>
    </row>
    <row r="10" spans="1:12" x14ac:dyDescent="0.35">
      <c r="B10" s="2"/>
      <c r="L10" s="56" t="s">
        <v>231</v>
      </c>
    </row>
    <row r="11" spans="1:12" s="222" customFormat="1" x14ac:dyDescent="0.35">
      <c r="A11"/>
      <c r="B11" s="2"/>
      <c r="C11" s="7" t="s">
        <v>262</v>
      </c>
      <c r="D11" s="7" t="s">
        <v>264</v>
      </c>
      <c r="E11" s="276" t="s">
        <v>84</v>
      </c>
      <c r="F11"/>
      <c r="G11" s="7" t="s">
        <v>84</v>
      </c>
      <c r="H11"/>
      <c r="I11"/>
      <c r="J11"/>
      <c r="K11"/>
      <c r="L11" s="56" t="s">
        <v>261</v>
      </c>
    </row>
    <row r="12" spans="1:12" x14ac:dyDescent="0.35">
      <c r="A12" s="222"/>
      <c r="B12" s="605" t="s">
        <v>310</v>
      </c>
      <c r="C12" s="223" t="s">
        <v>265</v>
      </c>
      <c r="D12" s="223" t="s">
        <v>263</v>
      </c>
      <c r="E12" s="224" t="s">
        <v>270</v>
      </c>
      <c r="F12" s="222"/>
      <c r="G12" s="222" t="s">
        <v>127</v>
      </c>
      <c r="H12" s="222"/>
      <c r="I12" s="222"/>
      <c r="J12" s="222"/>
      <c r="K12" s="222"/>
      <c r="L12" s="56" t="s">
        <v>232</v>
      </c>
    </row>
    <row r="13" spans="1:12" x14ac:dyDescent="0.35">
      <c r="B13" s="56" t="s">
        <v>2</v>
      </c>
      <c r="C13" s="240"/>
      <c r="D13" s="240"/>
      <c r="E13" s="295"/>
      <c r="F13" s="100" t="s">
        <v>117</v>
      </c>
      <c r="G13" s="240"/>
      <c r="H13" s="100" t="s">
        <v>128</v>
      </c>
      <c r="I13" s="100"/>
      <c r="L13" s="222"/>
    </row>
    <row r="14" spans="1:12" ht="5.15" customHeight="1" x14ac:dyDescent="0.35">
      <c r="B14" s="2"/>
      <c r="C14" s="100"/>
      <c r="D14" s="100"/>
      <c r="E14" s="226"/>
      <c r="F14" s="100"/>
      <c r="G14" s="100"/>
      <c r="H14" s="100"/>
      <c r="I14" s="100"/>
    </row>
    <row r="15" spans="1:12" x14ac:dyDescent="0.35">
      <c r="B15" s="102" t="s">
        <v>3</v>
      </c>
      <c r="C15" s="240"/>
      <c r="D15" s="100"/>
      <c r="E15" s="226"/>
      <c r="F15" s="100"/>
      <c r="G15" s="100"/>
      <c r="H15" s="100"/>
      <c r="I15" s="100"/>
    </row>
    <row r="16" spans="1:12" ht="5.15" customHeight="1" x14ac:dyDescent="0.35">
      <c r="B16" s="56"/>
      <c r="C16" s="100"/>
      <c r="D16" s="100"/>
      <c r="E16" s="226"/>
      <c r="F16" s="100"/>
      <c r="G16" s="100"/>
      <c r="H16" s="100"/>
      <c r="I16" s="100"/>
    </row>
    <row r="17" spans="2:9" x14ac:dyDescent="0.35">
      <c r="B17" s="56" t="s">
        <v>4</v>
      </c>
      <c r="C17" s="240"/>
      <c r="D17" s="100"/>
      <c r="E17" s="226"/>
      <c r="F17" s="100"/>
      <c r="G17" s="100"/>
      <c r="H17" s="100"/>
      <c r="I17" s="100"/>
    </row>
    <row r="18" spans="2:9" ht="5.15" customHeight="1" x14ac:dyDescent="0.35">
      <c r="B18" s="49"/>
      <c r="C18" s="241"/>
      <c r="D18" s="100"/>
      <c r="E18" s="226"/>
      <c r="F18" s="100"/>
      <c r="G18" s="100"/>
      <c r="H18" s="100"/>
      <c r="I18" s="100"/>
    </row>
    <row r="19" spans="2:9" x14ac:dyDescent="0.35">
      <c r="B19" s="56" t="s">
        <v>118</v>
      </c>
      <c r="C19" s="240"/>
      <c r="D19" s="100"/>
      <c r="E19" s="713" t="s">
        <v>303</v>
      </c>
      <c r="F19" s="100"/>
      <c r="G19" s="100"/>
      <c r="H19" s="100"/>
      <c r="I19" s="100"/>
    </row>
    <row r="20" spans="2:9" ht="5.15" customHeight="1" x14ac:dyDescent="0.35">
      <c r="B20" s="2"/>
      <c r="C20" s="100"/>
      <c r="D20" s="100"/>
      <c r="E20" s="714"/>
      <c r="F20" s="100"/>
      <c r="G20" s="100"/>
      <c r="H20" s="100"/>
      <c r="I20" s="100"/>
    </row>
    <row r="21" spans="2:9" x14ac:dyDescent="0.35">
      <c r="B21" s="56" t="s">
        <v>6</v>
      </c>
      <c r="C21" s="240"/>
      <c r="D21" s="240"/>
      <c r="E21" s="240"/>
      <c r="F21" s="100" t="s">
        <v>213</v>
      </c>
      <c r="G21" s="240"/>
      <c r="H21" s="100" t="s">
        <v>128</v>
      </c>
      <c r="I21" s="100"/>
    </row>
    <row r="22" spans="2:9" ht="5.15" customHeight="1" x14ac:dyDescent="0.35">
      <c r="B22" s="282"/>
      <c r="C22" s="100"/>
      <c r="D22" s="100"/>
      <c r="E22" s="100"/>
      <c r="F22" s="100"/>
      <c r="G22" s="100"/>
      <c r="H22" s="100"/>
      <c r="I22" s="100"/>
    </row>
    <row r="23" spans="2:9" ht="18" x14ac:dyDescent="0.4">
      <c r="B23" s="161" t="s">
        <v>206</v>
      </c>
      <c r="C23" s="100"/>
      <c r="D23" s="100"/>
      <c r="E23" s="226"/>
      <c r="F23" s="100"/>
      <c r="G23" s="100"/>
      <c r="H23" s="100"/>
      <c r="I23" s="100"/>
    </row>
    <row r="24" spans="2:9" ht="5.15" customHeight="1" x14ac:dyDescent="0.35">
      <c r="B24" s="2"/>
      <c r="C24" s="100"/>
      <c r="D24" s="100"/>
      <c r="E24" s="226"/>
      <c r="F24" s="100"/>
      <c r="G24" s="100"/>
      <c r="H24" s="100"/>
      <c r="I24" s="100"/>
    </row>
    <row r="25" spans="2:9" x14ac:dyDescent="0.35">
      <c r="B25" s="56" t="s">
        <v>153</v>
      </c>
      <c r="C25" s="240"/>
      <c r="D25" s="240"/>
      <c r="E25" s="295"/>
      <c r="F25" s="100" t="s">
        <v>117</v>
      </c>
      <c r="G25" s="240"/>
      <c r="H25" s="100" t="s">
        <v>128</v>
      </c>
      <c r="I25" s="100"/>
    </row>
    <row r="26" spans="2:9" ht="5.15" customHeight="1" x14ac:dyDescent="0.35">
      <c r="B26" s="2"/>
      <c r="C26" s="100"/>
      <c r="D26" s="100"/>
      <c r="E26" s="226"/>
      <c r="F26" s="100"/>
      <c r="G26" s="100"/>
      <c r="H26" s="100"/>
      <c r="I26" s="100"/>
    </row>
    <row r="27" spans="2:9" x14ac:dyDescent="0.35">
      <c r="B27" s="56" t="s">
        <v>5</v>
      </c>
      <c r="C27" s="240"/>
      <c r="D27" s="240"/>
      <c r="E27" s="295"/>
      <c r="F27" s="100" t="s">
        <v>117</v>
      </c>
      <c r="G27" s="240"/>
      <c r="H27" s="100" t="s">
        <v>128</v>
      </c>
      <c r="I27" s="100"/>
    </row>
    <row r="28" spans="2:9" ht="5.15" customHeight="1" x14ac:dyDescent="0.35">
      <c r="B28" s="2"/>
      <c r="C28" s="100"/>
      <c r="D28" s="100"/>
      <c r="E28" s="226"/>
      <c r="F28" s="100"/>
      <c r="G28" s="100"/>
      <c r="H28" s="100"/>
      <c r="I28" s="100"/>
    </row>
    <row r="29" spans="2:9" x14ac:dyDescent="0.35">
      <c r="B29" s="56" t="s">
        <v>209</v>
      </c>
      <c r="C29" s="240"/>
      <c r="D29" s="240"/>
      <c r="E29" s="295"/>
      <c r="F29" s="100" t="s">
        <v>117</v>
      </c>
      <c r="G29" s="240"/>
      <c r="H29" s="100" t="s">
        <v>128</v>
      </c>
      <c r="I29" s="100"/>
    </row>
    <row r="30" spans="2:9" ht="5.15" customHeight="1" x14ac:dyDescent="0.35">
      <c r="B30" s="2"/>
      <c r="C30" s="241"/>
      <c r="D30" s="241"/>
      <c r="E30" s="226"/>
      <c r="F30" s="100"/>
      <c r="G30" s="100"/>
      <c r="H30" s="100"/>
      <c r="I30" s="100"/>
    </row>
    <row r="31" spans="2:9" x14ac:dyDescent="0.35">
      <c r="B31" s="56" t="s">
        <v>205</v>
      </c>
      <c r="C31" s="240"/>
      <c r="D31" s="240"/>
      <c r="E31" s="295"/>
      <c r="F31" s="100" t="s">
        <v>117</v>
      </c>
      <c r="G31" s="240"/>
      <c r="H31" s="100" t="s">
        <v>128</v>
      </c>
      <c r="I31" s="100"/>
    </row>
    <row r="32" spans="2:9" ht="5.15" customHeight="1" x14ac:dyDescent="0.35">
      <c r="B32" s="2"/>
      <c r="C32" s="100"/>
      <c r="D32" s="100"/>
      <c r="E32" s="226"/>
      <c r="F32" s="100"/>
      <c r="G32" s="100"/>
      <c r="H32" s="100"/>
      <c r="I32" s="100"/>
    </row>
    <row r="33" spans="2:12" x14ac:dyDescent="0.35">
      <c r="B33" s="56" t="s">
        <v>7</v>
      </c>
      <c r="C33" s="240"/>
      <c r="D33" s="240"/>
      <c r="E33" s="705" t="s">
        <v>271</v>
      </c>
      <c r="F33" s="100"/>
      <c r="G33" s="240"/>
      <c r="H33" s="100" t="s">
        <v>128</v>
      </c>
      <c r="I33" s="100"/>
    </row>
    <row r="34" spans="2:12" ht="5.15" customHeight="1" x14ac:dyDescent="0.35">
      <c r="B34" s="2"/>
      <c r="C34" s="100"/>
      <c r="D34" s="100"/>
      <c r="E34" s="706"/>
      <c r="F34" s="100"/>
      <c r="G34" s="100"/>
      <c r="H34" s="100"/>
      <c r="I34" s="100"/>
    </row>
    <row r="35" spans="2:12" x14ac:dyDescent="0.35">
      <c r="B35" s="56" t="s">
        <v>266</v>
      </c>
      <c r="C35" s="240"/>
      <c r="D35" s="240"/>
      <c r="E35" s="240"/>
      <c r="F35" s="100"/>
      <c r="G35" s="240"/>
      <c r="H35" s="100" t="s">
        <v>128</v>
      </c>
      <c r="I35" s="100"/>
    </row>
    <row r="36" spans="2:12" ht="5.15" customHeight="1" x14ac:dyDescent="0.35">
      <c r="B36" s="2"/>
      <c r="C36" s="100"/>
      <c r="D36" s="100"/>
      <c r="E36" s="226"/>
      <c r="F36" s="100"/>
      <c r="G36" s="100"/>
      <c r="H36" s="100"/>
      <c r="I36" s="100"/>
    </row>
    <row r="37" spans="2:12" x14ac:dyDescent="0.35">
      <c r="B37" s="56" t="s">
        <v>208</v>
      </c>
      <c r="C37" s="240"/>
      <c r="D37" s="240"/>
      <c r="E37" s="242"/>
      <c r="F37" s="100"/>
      <c r="G37" s="240"/>
      <c r="H37" s="100" t="s">
        <v>128</v>
      </c>
      <c r="I37" s="100"/>
    </row>
    <row r="38" spans="2:12" ht="5.15" customHeight="1" x14ac:dyDescent="0.35">
      <c r="B38" s="2"/>
      <c r="C38" s="100"/>
      <c r="D38" s="100"/>
      <c r="E38" s="226"/>
      <c r="F38" s="100"/>
      <c r="G38" s="100"/>
      <c r="H38" s="100"/>
      <c r="I38" s="100"/>
    </row>
    <row r="39" spans="2:12" x14ac:dyDescent="0.35">
      <c r="B39" s="2" t="s">
        <v>154</v>
      </c>
      <c r="C39" s="100"/>
      <c r="D39" s="100"/>
      <c r="E39" s="226"/>
      <c r="F39" s="100"/>
      <c r="G39" s="100"/>
      <c r="H39" s="100"/>
      <c r="I39" s="100"/>
    </row>
    <row r="40" spans="2:12" ht="5.15" customHeight="1" x14ac:dyDescent="0.35">
      <c r="B40" s="2"/>
      <c r="C40" s="100"/>
      <c r="D40" s="100"/>
      <c r="E40" s="226"/>
      <c r="F40" s="100"/>
      <c r="G40" s="100"/>
      <c r="H40" s="100"/>
      <c r="I40" s="100"/>
      <c r="L40" t="s">
        <v>99</v>
      </c>
    </row>
    <row r="41" spans="2:12" x14ac:dyDescent="0.35">
      <c r="B41" s="160" t="s">
        <v>282</v>
      </c>
      <c r="C41" s="240"/>
      <c r="D41" s="240"/>
      <c r="E41" s="295"/>
      <c r="F41" s="100" t="s">
        <v>117</v>
      </c>
      <c r="G41" s="240"/>
      <c r="H41" s="100" t="s">
        <v>128</v>
      </c>
      <c r="I41" s="100"/>
    </row>
    <row r="42" spans="2:12" ht="5.15" customHeight="1" x14ac:dyDescent="0.35">
      <c r="B42" s="69"/>
      <c r="C42" s="243"/>
      <c r="D42" s="100"/>
      <c r="E42" s="226"/>
      <c r="F42" s="100"/>
      <c r="G42" s="100"/>
      <c r="H42" s="100"/>
      <c r="I42" s="100"/>
    </row>
    <row r="43" spans="2:12" x14ac:dyDescent="0.35">
      <c r="B43" s="162" t="s">
        <v>283</v>
      </c>
      <c r="C43" s="240"/>
      <c r="D43" s="240"/>
      <c r="E43" s="295"/>
      <c r="F43" s="100" t="s">
        <v>117</v>
      </c>
      <c r="G43" s="240"/>
      <c r="H43" s="100" t="s">
        <v>128</v>
      </c>
      <c r="I43" s="100"/>
    </row>
    <row r="44" spans="2:12" ht="5.15" customHeight="1" x14ac:dyDescent="0.35">
      <c r="B44" s="225"/>
      <c r="C44" s="100"/>
      <c r="D44" s="100"/>
      <c r="E44" s="226"/>
      <c r="F44" s="100"/>
      <c r="G44" s="100"/>
      <c r="H44" s="100"/>
      <c r="I44" s="100"/>
    </row>
    <row r="45" spans="2:12" x14ac:dyDescent="0.35">
      <c r="B45" s="160" t="s">
        <v>284</v>
      </c>
      <c r="C45" s="240"/>
      <c r="D45" s="240"/>
      <c r="E45" s="295"/>
      <c r="F45" s="100" t="s">
        <v>117</v>
      </c>
      <c r="G45" s="240"/>
      <c r="H45" s="100" t="s">
        <v>128</v>
      </c>
      <c r="I45" s="100"/>
    </row>
    <row r="46" spans="2:12" ht="5.15" customHeight="1" x14ac:dyDescent="0.35">
      <c r="B46" s="225"/>
      <c r="C46" s="100"/>
      <c r="D46" s="100"/>
      <c r="E46" s="226"/>
      <c r="F46" s="100"/>
      <c r="G46" s="100"/>
      <c r="H46" s="100"/>
      <c r="I46" s="100"/>
    </row>
    <row r="47" spans="2:12" x14ac:dyDescent="0.35">
      <c r="B47" s="160" t="s">
        <v>207</v>
      </c>
      <c r="C47" s="240"/>
      <c r="D47" s="240"/>
      <c r="E47" s="295"/>
      <c r="F47" s="100" t="s">
        <v>117</v>
      </c>
      <c r="G47" s="240"/>
      <c r="H47" s="100" t="s">
        <v>128</v>
      </c>
      <c r="I47" s="100"/>
    </row>
    <row r="48" spans="2:12" ht="5.15" customHeight="1" x14ac:dyDescent="0.35">
      <c r="B48" s="2"/>
      <c r="C48" s="100"/>
      <c r="D48" s="100"/>
      <c r="E48" s="226"/>
      <c r="F48" s="100"/>
      <c r="G48" s="100"/>
      <c r="H48" s="100"/>
      <c r="I48" s="100"/>
    </row>
    <row r="49" spans="2:11" x14ac:dyDescent="0.35">
      <c r="B49" s="160" t="s">
        <v>281</v>
      </c>
      <c r="C49" s="240"/>
      <c r="D49" s="240"/>
      <c r="E49" s="295"/>
      <c r="F49" s="100" t="s">
        <v>117</v>
      </c>
      <c r="G49" s="240"/>
      <c r="H49" s="100" t="s">
        <v>128</v>
      </c>
    </row>
    <row r="50" spans="2:11" ht="5.15" customHeight="1" x14ac:dyDescent="0.35">
      <c r="B50" s="225"/>
      <c r="C50" s="100"/>
      <c r="D50" s="100"/>
      <c r="E50" s="226"/>
      <c r="F50" s="100"/>
      <c r="G50" s="100"/>
    </row>
    <row r="51" spans="2:11" x14ac:dyDescent="0.35">
      <c r="B51" s="160" t="s">
        <v>279</v>
      </c>
      <c r="C51" s="240"/>
      <c r="D51" s="240"/>
      <c r="E51" s="295"/>
      <c r="F51" s="100" t="s">
        <v>117</v>
      </c>
      <c r="G51" s="240"/>
      <c r="H51" s="100" t="s">
        <v>128</v>
      </c>
    </row>
    <row r="52" spans="2:11" ht="5.15" customHeight="1" x14ac:dyDescent="0.35">
      <c r="B52" s="2"/>
      <c r="C52" s="100"/>
      <c r="D52" s="100"/>
      <c r="E52" s="226"/>
      <c r="F52" s="100"/>
      <c r="G52" s="100"/>
      <c r="H52" s="56"/>
      <c r="K52" s="69"/>
    </row>
    <row r="53" spans="2:11" x14ac:dyDescent="0.35">
      <c r="B53" s="160" t="s">
        <v>296</v>
      </c>
      <c r="C53" s="240"/>
      <c r="D53" s="240"/>
      <c r="E53" s="295"/>
      <c r="F53" s="100" t="s">
        <v>117</v>
      </c>
      <c r="G53" s="240"/>
      <c r="H53" s="100" t="s">
        <v>128</v>
      </c>
      <c r="K53" s="69"/>
    </row>
    <row r="54" spans="2:11" ht="5.15" customHeight="1" x14ac:dyDescent="0.35">
      <c r="B54" s="69"/>
      <c r="C54" s="243"/>
      <c r="D54" s="100"/>
      <c r="E54" s="226"/>
      <c r="F54" s="100"/>
      <c r="G54" s="100"/>
      <c r="H54" s="100"/>
      <c r="K54" s="69"/>
    </row>
    <row r="55" spans="2:11" x14ac:dyDescent="0.35">
      <c r="B55" s="162" t="s">
        <v>297</v>
      </c>
      <c r="C55" s="240"/>
      <c r="D55" s="240"/>
      <c r="E55" s="295"/>
      <c r="F55" s="100" t="s">
        <v>117</v>
      </c>
      <c r="G55" s="240"/>
      <c r="H55" s="100" t="s">
        <v>128</v>
      </c>
      <c r="K55" s="69"/>
    </row>
    <row r="56" spans="2:11" ht="5.15" customHeight="1" x14ac:dyDescent="0.35">
      <c r="B56" s="225"/>
      <c r="C56" s="100"/>
      <c r="D56" s="100"/>
      <c r="E56" s="226"/>
      <c r="F56" s="100"/>
      <c r="G56" s="100"/>
      <c r="H56" s="100"/>
      <c r="K56" s="69"/>
    </row>
    <row r="57" spans="2:11" x14ac:dyDescent="0.35">
      <c r="B57" s="160" t="s">
        <v>298</v>
      </c>
      <c r="C57" s="240"/>
      <c r="D57" s="240"/>
      <c r="E57" s="295"/>
      <c r="F57" s="100" t="s">
        <v>117</v>
      </c>
      <c r="G57" s="240"/>
      <c r="H57" s="100" t="s">
        <v>128</v>
      </c>
      <c r="K57" s="69"/>
    </row>
    <row r="58" spans="2:11" ht="5.15" customHeight="1" x14ac:dyDescent="0.35">
      <c r="B58" s="225"/>
      <c r="C58" s="100"/>
      <c r="D58" s="100"/>
      <c r="E58" s="226"/>
      <c r="F58" s="100"/>
      <c r="G58" s="100"/>
      <c r="H58" s="100"/>
      <c r="K58" s="69"/>
    </row>
    <row r="59" spans="2:11" x14ac:dyDescent="0.35">
      <c r="B59" s="160" t="s">
        <v>299</v>
      </c>
      <c r="C59" s="240"/>
      <c r="D59" s="240"/>
      <c r="E59" s="295"/>
      <c r="F59" s="100" t="s">
        <v>117</v>
      </c>
      <c r="G59" s="240"/>
      <c r="H59" s="100" t="s">
        <v>128</v>
      </c>
      <c r="K59" s="69"/>
    </row>
    <row r="63" spans="2:11" s="68" customFormat="1" hidden="1" x14ac:dyDescent="0.35">
      <c r="C63" s="68" t="s">
        <v>116</v>
      </c>
      <c r="E63" s="589"/>
    </row>
    <row r="64" spans="2:11" s="68" customFormat="1" hidden="1" x14ac:dyDescent="0.35">
      <c r="C64" s="68" t="s">
        <v>121</v>
      </c>
      <c r="E64" s="589"/>
    </row>
    <row r="65" spans="3:5" s="68" customFormat="1" hidden="1" x14ac:dyDescent="0.35">
      <c r="C65" s="68" t="s">
        <v>122</v>
      </c>
      <c r="E65" s="589"/>
    </row>
  </sheetData>
  <mergeCells count="7">
    <mergeCell ref="E33:E34"/>
    <mergeCell ref="B1:J1"/>
    <mergeCell ref="H3:J3"/>
    <mergeCell ref="C3:D3"/>
    <mergeCell ref="C5:D5"/>
    <mergeCell ref="C7:D7"/>
    <mergeCell ref="E19:E20"/>
  </mergeCells>
  <conditionalFormatting sqref="B41">
    <cfRule type="cellIs" dxfId="110" priority="10" operator="notEqual">
      <formula>"Enter Periodical Service 2"</formula>
    </cfRule>
  </conditionalFormatting>
  <conditionalFormatting sqref="B43:B47">
    <cfRule type="cellIs" dxfId="109" priority="26" operator="notEqual">
      <formula>"Enter Periodical Service 2"</formula>
    </cfRule>
  </conditionalFormatting>
  <conditionalFormatting sqref="B49:B51">
    <cfRule type="cellIs" dxfId="108" priority="7" operator="notEqual">
      <formula>"Enter Periodical Service 2"</formula>
    </cfRule>
  </conditionalFormatting>
  <conditionalFormatting sqref="B53">
    <cfRule type="cellIs" dxfId="107" priority="4" operator="notEqual">
      <formula>"Enter Periodical Service 2"</formula>
    </cfRule>
  </conditionalFormatting>
  <conditionalFormatting sqref="B55:B59">
    <cfRule type="cellIs" dxfId="106" priority="5" operator="notEqual">
      <formula>"Enter Periodical Service 2"</formula>
    </cfRule>
  </conditionalFormatting>
  <conditionalFormatting sqref="C3">
    <cfRule type="cellIs" dxfId="105" priority="35" operator="greaterThan">
      <formula>0</formula>
    </cfRule>
  </conditionalFormatting>
  <conditionalFormatting sqref="C5">
    <cfRule type="cellIs" dxfId="104" priority="30" operator="greaterThan">
      <formula>0</formula>
    </cfRule>
  </conditionalFormatting>
  <conditionalFormatting sqref="C7">
    <cfRule type="cellIs" dxfId="103" priority="32" operator="greaterThan">
      <formula>0</formula>
    </cfRule>
  </conditionalFormatting>
  <conditionalFormatting sqref="C15 C17 C19 C21:E22 G21:G22">
    <cfRule type="cellIs" dxfId="102" priority="11" operator="greaterThan">
      <formula>0</formula>
    </cfRule>
  </conditionalFormatting>
  <conditionalFormatting sqref="C13:E13 G13:G15 C25:E25 G25 C27:E27 G27 C29:E29 G29 C31:E31 G31 C33:D33 G33 C35:E35 G35 C37:D37 G37 C41:E41 G41 C43:E43 G43 C45:E45 G45 C47:E47 G47">
    <cfRule type="cellIs" dxfId="101" priority="8" operator="greaterThan">
      <formula>0</formula>
    </cfRule>
  </conditionalFormatting>
  <conditionalFormatting sqref="C49:E49 G49 C51:E51 G51">
    <cfRule type="cellIs" dxfId="100" priority="6" operator="greaterThan">
      <formula>0</formula>
    </cfRule>
  </conditionalFormatting>
  <conditionalFormatting sqref="C53:E53 G53 C55:E55 G55 C57:E57 G57 C59:E59 G59">
    <cfRule type="cellIs" dxfId="99" priority="3" operator="greaterThan">
      <formula>0</formula>
    </cfRule>
  </conditionalFormatting>
  <conditionalFormatting sqref="H3:J3">
    <cfRule type="cellIs" dxfId="98" priority="15" operator="greaterThan">
      <formula>0</formula>
    </cfRule>
  </conditionalFormatting>
  <conditionalFormatting sqref="I13:I15 E14:E15">
    <cfRule type="cellIs" dxfId="97" priority="14" operator="greaterThan">
      <formula>0</formula>
    </cfRule>
  </conditionalFormatting>
  <conditionalFormatting sqref="I21:I22">
    <cfRule type="cellIs" dxfId="96" priority="16" operator="greaterThan">
      <formula>0</formula>
    </cfRule>
  </conditionalFormatting>
  <dataValidations xWindow="1467" yWindow="834" count="3">
    <dataValidation type="list" allowBlank="1" showInputMessage="1" showErrorMessage="1" sqref="C49:D49 C59:D59 C53 C55 D53:D55 C57:D57 C47:D47 C37:D37 C51:D51 C17 C15 C41 C31:D31 C35:D35 C33:D33 C21 C27:D27 C25:D25 C13:D13 C29:D29 C19 D21:D22 C43 D41:D43 C45:D45" xr:uid="{581C98CA-665D-42A1-8299-0A4E6EC15403}">
      <formula1>$C$64:$C$65</formula1>
    </dataValidation>
    <dataValidation type="list" allowBlank="1" showInputMessage="1" showErrorMessage="1" promptTitle="Hard Floor Care" prompt="Does the contract include this as part of the monthly charge?" sqref="D31" xr:uid="{FF0FCDF6-6199-4062-B206-33DF44BDF21E}">
      <formula1>$C$64:$C$65</formula1>
    </dataValidation>
    <dataValidation type="list" allowBlank="1" showInputMessage="1" showErrorMessage="1" promptTitle="Hard Floor Care" prompt="Does the Contract require Hard Floor Care?" sqref="C31" xr:uid="{96EA3F8E-57D6-4BE4-B2DF-85634E4688F9}">
      <formula1>$C$64:$C$65</formula1>
    </dataValidation>
  </dataValidations>
  <hyperlinks>
    <hyperlink ref="B13" location="'Monthly Janitorial'!B20" display="Monthly Janitorial" xr:uid="{B6C8508A-183C-4BB5-9886-CEF126A71BDF}"/>
    <hyperlink ref="B15" location="'Except,Emer&amp;Day Porter'!B9" display="Exeptional-Additional Services" xr:uid="{9D36F35B-7897-42F5-B81C-6795D220B4B1}"/>
    <hyperlink ref="B17" location="'Except,Emer&amp;Day Porter'!B21" display="Emergency Services" xr:uid="{1E785450-E38B-4215-9D89-053E0E81341A}"/>
    <hyperlink ref="B25" location="Periodics!B10" display="All Carpets" xr:uid="{9A5246AA-2A56-41A9-BE0B-C3715AADD685}"/>
    <hyperlink ref="B27" location="Periodics!B67" display="High Traffic Carpet" xr:uid="{F1909996-4805-46BD-98A1-3A2AF6517E2E}"/>
    <hyperlink ref="B29" location="Periodics!B125" display="Hard Floor Strip and Wax" xr:uid="{F7E34B50-F820-4FC6-B593-0878E9F3689A}"/>
    <hyperlink ref="B21" location="'Except,Emer&amp;Day Porter'!B33" display="Day Porter" xr:uid="{1B20294F-0DD9-4C7B-9E84-3243808C53C0}"/>
    <hyperlink ref="B33" location="Periodics!B241" display="Window Washing" xr:uid="{0C2691F2-B311-459D-BD4B-4BFA79F181AD}"/>
    <hyperlink ref="B19" location="Subcontractors!B15" display="Subcontractors will be utilized" xr:uid="{64D18BA6-F6D0-43F1-A6F5-6872BC83E207}"/>
    <hyperlink ref="B31" location="Periodics!B183" display="Hard Floor Scrub and Seal" xr:uid="{9CDEE6B6-5CC4-4FA8-96D5-707024BD3708}"/>
    <hyperlink ref="B35" location="Periodics!B299" display="Clean Chairs" xr:uid="{83C65453-28B3-4B4A-B77A-F0365E3AEF10}"/>
    <hyperlink ref="B45" location="Periodics!B531" display="Enter Periodical Service 3" xr:uid="{4878562E-2E1D-4389-B807-8131F159EB60}"/>
    <hyperlink ref="B37" location="Periodics!B357" display="High Dusting" xr:uid="{ED34013B-D3FD-4AC5-B404-4B51FBC1F29C}"/>
    <hyperlink ref="L1" location="'kt info'!C3" display="Contract Information" xr:uid="{4EEBB77D-7DE8-4944-9DEE-FD3877D8D0F8}"/>
    <hyperlink ref="L2" location="'Overhead &amp; Margin'!D10" display="Overhead &amp; Margin" xr:uid="{0E8C996F-BDB1-46C8-A1B5-42EF511C1C9E}"/>
    <hyperlink ref="L8" location="'Monthly Janitorial'!B21" display="Monthly Janitorial" xr:uid="{EA2A2C55-9569-4648-84A4-BDA6FE0B0B23}"/>
    <hyperlink ref="L9" location="Periodics!B22" display="Periodical Services(Carpets, Hard Floors, Windows, Blinds, other periodical services" xr:uid="{3E17F28D-B0EF-4668-9248-BDBD4FB8B5D3}"/>
    <hyperlink ref="L10" location="'Except,Emer&amp;Day Porter'!H4" display="Exceptional, Emergency and Day Porter Services" xr:uid="{F03228F2-39C6-4FB8-B569-8DA797113F9A}"/>
    <hyperlink ref="L4" location="Supplies!B13" display="Supplies" xr:uid="{DB75C712-AF72-4B07-B3F1-698871C5FB92}"/>
    <hyperlink ref="L5" location="'Equipment List'!B12" display="Equipment" xr:uid="{A40943DD-60D5-4FEC-9176-BECC4F254003}"/>
    <hyperlink ref="L12" location="'Price Approval'!A1" display="Price Approval" xr:uid="{FE83C0D7-076C-475B-BF5F-278F6EF257DB}"/>
    <hyperlink ref="L6" location="Subcontractors!B15" display="Subcontractors" xr:uid="{8711E450-862A-4DD3-9441-CB2D53D7755A}"/>
    <hyperlink ref="L3" location="'Pay &amp; Benefits'!C10" display="Wages and Benefits (includes Unemployment and Worker's Compensation" xr:uid="{2382F2DD-8676-474A-9D0B-D5D9873A5DE9}"/>
    <hyperlink ref="L7" location="Transportation!B6" display="Transportation" xr:uid="{1F9F9E33-F594-435A-9081-BDE386738106}"/>
    <hyperlink ref="L11" location="'Summary-pricing'!A1" display="Summary-Pricing" xr:uid="{94F90B6C-33C4-4D8C-BEEC-C6268B901D80}"/>
    <hyperlink ref="B41" location="Periodics!B415" display="Enter Periodical Service 1" xr:uid="{0167461C-ABAC-48DA-A94A-37B470A80AEB}"/>
    <hyperlink ref="B47" location="Periodics!B589" display="Enter Periodical Service 4" xr:uid="{2BAE2684-7CD9-4653-9AF7-5442046CF98E}"/>
    <hyperlink ref="B49" location="Periodics!B647" display="Enter Periodical Service 5" xr:uid="{40A033AE-1849-4038-B7F9-029635940611}"/>
    <hyperlink ref="B51" location="Periodics!B705" display="Enter Periodical Service 6" xr:uid="{78CDF45B-EAB5-4E8F-ACBC-D5E30559E288}"/>
    <hyperlink ref="B57" location="Periodics!B879" display="Enter Periodical Service 9" xr:uid="{E12CBFE4-9594-4E7D-BBAB-028E1F4B30A8}"/>
    <hyperlink ref="B53" location="Periodics!B763" display="Enter Periodical Service 7" xr:uid="{2DD0B8A9-5F53-4C35-9B3F-A263057F734D}"/>
    <hyperlink ref="B59" location="Periodics!B937" display="Enter Periodical Service 10" xr:uid="{76BEA6ED-0EE4-47C0-84AB-2AAA9FBB1D3F}"/>
    <hyperlink ref="B55" location="Periodics!B821" display="Enter Periodical Service 8" xr:uid="{AF0176C7-16F7-48F4-80A9-7AEE732A105F}"/>
    <hyperlink ref="B43" location="Periodics!B473" display="Enter Periodical Service 2" xr:uid="{8CED473C-3333-4C03-AC1D-CA19556CA49F}"/>
  </hyperlinks>
  <pageMargins left="0.7" right="0.7" top="0.75" bottom="0.75" header="0.3" footer="0.3"/>
  <pageSetup orientation="portrait" r:id="rId1"/>
  <headerFooter>
    <oddHeader>&amp;C&amp;14Services required by Contract</oddHeader>
  </headerFooter>
  <tableParts count="1"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4DF74F-28B3-421F-8FE9-6609BB1DFF18}">
  <dimension ref="A1:M48"/>
  <sheetViews>
    <sheetView showGridLines="0" showZeros="0" zoomScaleNormal="100" workbookViewId="0">
      <pane ySplit="1" topLeftCell="A2" activePane="bottomLeft" state="frozen"/>
      <selection activeCell="B8" sqref="B8"/>
      <selection pane="bottomLeft" activeCell="C18" sqref="C18"/>
    </sheetView>
  </sheetViews>
  <sheetFormatPr defaultRowHeight="14.5" x14ac:dyDescent="0.35"/>
  <cols>
    <col min="1" max="1" width="5.453125" customWidth="1"/>
    <col min="2" max="2" width="27" customWidth="1"/>
    <col min="3" max="3" width="20" customWidth="1"/>
    <col min="4" max="4" width="12.54296875" customWidth="1"/>
    <col min="5" max="5" width="17.453125" customWidth="1"/>
    <col min="6" max="6" width="18.1796875" customWidth="1"/>
    <col min="7" max="7" width="14.54296875" customWidth="1"/>
    <col min="8" max="9" width="15.54296875" customWidth="1"/>
    <col min="10" max="10" width="12.81640625" customWidth="1"/>
  </cols>
  <sheetData>
    <row r="1" spans="1:13" ht="30.75" customHeight="1" x14ac:dyDescent="0.35">
      <c r="A1" s="610"/>
      <c r="B1" s="707" t="s">
        <v>174</v>
      </c>
      <c r="C1" s="707"/>
      <c r="D1" s="707"/>
      <c r="E1" s="707"/>
      <c r="F1" s="707"/>
      <c r="G1" s="707"/>
      <c r="H1" s="707"/>
      <c r="I1" s="707"/>
      <c r="J1" s="707"/>
    </row>
    <row r="3" spans="1:13" x14ac:dyDescent="0.35">
      <c r="B3" t="s">
        <v>109</v>
      </c>
      <c r="C3" s="735">
        <f>'kt info'!$C$3</f>
        <v>0</v>
      </c>
      <c r="D3" s="735"/>
      <c r="E3" s="736"/>
      <c r="F3" s="737"/>
      <c r="G3" s="20"/>
      <c r="H3" s="97" t="s">
        <v>175</v>
      </c>
      <c r="I3" s="20"/>
      <c r="J3" s="56"/>
      <c r="L3" s="20" t="s">
        <v>133</v>
      </c>
      <c r="M3" s="56" t="s">
        <v>134</v>
      </c>
    </row>
    <row r="4" spans="1:13" x14ac:dyDescent="0.35">
      <c r="C4" s="100"/>
      <c r="D4" s="100"/>
      <c r="E4" s="100"/>
      <c r="F4" s="100"/>
      <c r="H4" s="56"/>
      <c r="I4" s="56" t="s">
        <v>176</v>
      </c>
      <c r="J4" s="56"/>
      <c r="M4" s="56" t="s">
        <v>259</v>
      </c>
    </row>
    <row r="5" spans="1:13" x14ac:dyDescent="0.35">
      <c r="B5" t="s">
        <v>110</v>
      </c>
      <c r="C5" s="735">
        <f>'kt info'!$C$5</f>
        <v>0</v>
      </c>
      <c r="D5" s="735"/>
      <c r="E5" s="737"/>
      <c r="F5" s="737"/>
      <c r="I5" s="56" t="s">
        <v>4</v>
      </c>
      <c r="J5" s="56"/>
      <c r="M5" s="56" t="s">
        <v>260</v>
      </c>
    </row>
    <row r="6" spans="1:13" x14ac:dyDescent="0.35">
      <c r="C6" s="100"/>
      <c r="D6" s="100"/>
      <c r="E6" s="100"/>
      <c r="F6" s="100"/>
      <c r="I6" s="56" t="s">
        <v>76</v>
      </c>
      <c r="J6" s="56"/>
      <c r="M6" s="56" t="s">
        <v>80</v>
      </c>
    </row>
    <row r="7" spans="1:13" x14ac:dyDescent="0.35">
      <c r="B7" t="s">
        <v>135</v>
      </c>
      <c r="C7" s="735">
        <f>'kt info'!$C$7</f>
        <v>0</v>
      </c>
      <c r="D7" s="735"/>
      <c r="E7" s="737"/>
      <c r="F7" s="737"/>
      <c r="I7" s="56"/>
      <c r="J7" s="56"/>
      <c r="M7" s="56" t="s">
        <v>15</v>
      </c>
    </row>
    <row r="8" spans="1:13" ht="15" thickBot="1" x14ac:dyDescent="0.4">
      <c r="H8" s="56"/>
      <c r="I8" s="605" t="str">
        <f>'kt info'!$B$12</f>
        <v>Form date: 10/24/25</v>
      </c>
      <c r="J8" s="56"/>
      <c r="M8" s="56" t="s">
        <v>201</v>
      </c>
    </row>
    <row r="9" spans="1:13" ht="15" thickTop="1" x14ac:dyDescent="0.35">
      <c r="B9" s="577" t="s">
        <v>142</v>
      </c>
      <c r="C9" s="293"/>
      <c r="D9" s="293"/>
      <c r="E9" s="293"/>
      <c r="F9" s="293"/>
      <c r="G9" s="293"/>
      <c r="H9" s="308"/>
      <c r="I9" s="308"/>
      <c r="J9" s="293"/>
      <c r="K9" s="309"/>
      <c r="M9" s="56" t="s">
        <v>89</v>
      </c>
    </row>
    <row r="10" spans="1:13" x14ac:dyDescent="0.35">
      <c r="B10" s="310"/>
      <c r="C10" s="578" t="s">
        <v>143</v>
      </c>
      <c r="D10" s="7"/>
      <c r="E10" s="579"/>
      <c r="F10" s="580" t="s">
        <v>144</v>
      </c>
      <c r="G10" s="581"/>
      <c r="H10" s="7"/>
      <c r="I10" s="7"/>
      <c r="K10" s="311"/>
      <c r="M10" s="56" t="s">
        <v>2</v>
      </c>
    </row>
    <row r="11" spans="1:13" x14ac:dyDescent="0.35">
      <c r="B11" s="310"/>
      <c r="C11" s="582" t="s">
        <v>145</v>
      </c>
      <c r="D11" s="82">
        <f>IF(J18=0,0,J18)</f>
        <v>0</v>
      </c>
      <c r="F11" s="82">
        <f>IF(J18=" ",0,D11+D12+D13+D14)</f>
        <v>0</v>
      </c>
      <c r="G11" s="580" t="str">
        <f>IF(F11=0," ","per hour")</f>
        <v xml:space="preserve"> </v>
      </c>
      <c r="H11" s="7"/>
      <c r="I11" s="7"/>
      <c r="K11" s="311"/>
      <c r="M11" s="56" t="s">
        <v>230</v>
      </c>
    </row>
    <row r="12" spans="1:13" x14ac:dyDescent="0.35">
      <c r="B12" s="310"/>
      <c r="C12" s="582" t="s">
        <v>146</v>
      </c>
      <c r="D12" s="82">
        <f>IF(D11=0,0,D11*0.1)</f>
        <v>0</v>
      </c>
      <c r="F12" s="581"/>
      <c r="G12" s="581"/>
      <c r="H12" s="7"/>
      <c r="I12" s="7"/>
      <c r="K12" s="311"/>
      <c r="M12" s="56" t="s">
        <v>231</v>
      </c>
    </row>
    <row r="13" spans="1:13" ht="15.65" customHeight="1" x14ac:dyDescent="0.35">
      <c r="A13" s="17"/>
      <c r="B13" s="310"/>
      <c r="C13" s="582" t="s">
        <v>87</v>
      </c>
      <c r="D13" s="82">
        <f>IF($D11=0,0,('Overhead &amp; Margin'!$D$10*$D11)/(1-('Overhead &amp; Margin'!$D$10+'Overhead &amp; Margin'!$G$10)))</f>
        <v>0</v>
      </c>
      <c r="F13" s="581"/>
      <c r="G13" s="581"/>
      <c r="H13" s="7"/>
      <c r="I13" s="7"/>
      <c r="K13" s="311"/>
      <c r="M13" s="56" t="s">
        <v>261</v>
      </c>
    </row>
    <row r="14" spans="1:13" ht="15.5" x14ac:dyDescent="0.35">
      <c r="A14" s="17"/>
      <c r="B14" s="310"/>
      <c r="C14" s="582" t="s">
        <v>88</v>
      </c>
      <c r="D14" s="82">
        <f>IF(D11=0,0,('Overhead &amp; Margin'!$G$10*D11)/(1-('Overhead &amp; Margin'!$D$10+'Overhead &amp; Margin'!$G$10)))</f>
        <v>0</v>
      </c>
      <c r="F14" s="581"/>
      <c r="G14" s="581"/>
      <c r="H14" s="7"/>
      <c r="I14" s="7"/>
      <c r="K14" s="311"/>
      <c r="L14" s="222"/>
      <c r="M14" s="56" t="s">
        <v>232</v>
      </c>
    </row>
    <row r="15" spans="1:13" ht="16" thickBot="1" x14ac:dyDescent="0.4">
      <c r="A15" s="18"/>
      <c r="B15" s="310"/>
      <c r="C15" s="23" t="s">
        <v>147</v>
      </c>
      <c r="E15" s="83"/>
      <c r="F15" s="581"/>
      <c r="G15" s="581"/>
      <c r="H15" s="7"/>
      <c r="I15" s="7"/>
      <c r="J15" s="7"/>
      <c r="K15" s="311"/>
    </row>
    <row r="16" spans="1:13" ht="15.5" x14ac:dyDescent="0.35">
      <c r="A16" s="18"/>
      <c r="B16" s="310"/>
      <c r="C16" s="84" t="s">
        <v>148</v>
      </c>
      <c r="D16" s="21" t="s">
        <v>20</v>
      </c>
      <c r="E16" s="21" t="s">
        <v>149</v>
      </c>
      <c r="F16" s="21" t="s">
        <v>19</v>
      </c>
      <c r="G16" s="21" t="s">
        <v>22</v>
      </c>
      <c r="H16" s="21" t="s">
        <v>23</v>
      </c>
      <c r="I16" s="836" t="s">
        <v>21</v>
      </c>
      <c r="J16" s="50" t="s">
        <v>150</v>
      </c>
      <c r="K16" s="312"/>
    </row>
    <row r="17" spans="1:11" ht="16" thickBot="1" x14ac:dyDescent="0.4">
      <c r="A17" s="18"/>
      <c r="B17" s="310"/>
      <c r="C17" s="85"/>
      <c r="D17" s="36" t="s">
        <v>29</v>
      </c>
      <c r="E17" s="36" t="s">
        <v>32</v>
      </c>
      <c r="F17" s="36" t="s">
        <v>28</v>
      </c>
      <c r="G17" s="36" t="s">
        <v>30</v>
      </c>
      <c r="H17" s="36" t="s">
        <v>31</v>
      </c>
      <c r="I17" s="708"/>
      <c r="J17" s="135" t="s">
        <v>37</v>
      </c>
      <c r="K17" s="312"/>
    </row>
    <row r="18" spans="1:11" ht="16" thickBot="1" x14ac:dyDescent="0.4">
      <c r="A18" s="18"/>
      <c r="B18" s="310"/>
      <c r="C18" s="146"/>
      <c r="D18" s="235">
        <f>IF(C18=0,0,VLOOKUP($C18,WageBeneTable5[#All],2,FALSE))</f>
        <v>0</v>
      </c>
      <c r="E18" s="137">
        <f>IF(D18=0,0,VLOOKUP($C18,WageBeneTable5[#All],3,FALSE))</f>
        <v>0</v>
      </c>
      <c r="F18" s="136">
        <f>IF(D18=0,0,1)</f>
        <v>0</v>
      </c>
      <c r="G18" s="137" t="str">
        <f>IF($D18=0," ",'Pay &amp; Benefits'!$C$10)</f>
        <v xml:space="preserve"> </v>
      </c>
      <c r="H18" s="137" t="str">
        <f>IF($D18=0," ",'Pay &amp; Benefits'!$C$11)</f>
        <v xml:space="preserve"> </v>
      </c>
      <c r="I18" s="138">
        <f>IF(D18=0,0,0.0765)</f>
        <v>0</v>
      </c>
      <c r="J18" s="139">
        <f>IF($E18=0,0,$D18*F18*(1+$E18+$G18+$H18+$I18))</f>
        <v>0</v>
      </c>
      <c r="K18" s="313"/>
    </row>
    <row r="19" spans="1:11" ht="5.15" customHeight="1" x14ac:dyDescent="0.35">
      <c r="B19" s="314"/>
      <c r="D19" s="86"/>
      <c r="E19" s="87"/>
      <c r="F19" s="88"/>
      <c r="G19" s="88"/>
      <c r="H19" s="89"/>
      <c r="I19" s="88"/>
      <c r="J19" s="90"/>
      <c r="K19" s="315"/>
    </row>
    <row r="20" spans="1:11" ht="15" thickBot="1" x14ac:dyDescent="0.4">
      <c r="B20" s="316"/>
      <c r="C20" s="91"/>
      <c r="D20" s="92"/>
      <c r="E20" s="93"/>
      <c r="F20" s="94"/>
      <c r="G20" s="94"/>
      <c r="H20" s="93"/>
      <c r="I20" s="95"/>
      <c r="J20" s="95"/>
      <c r="K20" s="317"/>
    </row>
    <row r="21" spans="1:11" x14ac:dyDescent="0.35">
      <c r="B21" s="583" t="s">
        <v>4</v>
      </c>
      <c r="D21" s="28"/>
      <c r="E21" s="28"/>
      <c r="F21" s="96"/>
      <c r="G21" s="96"/>
      <c r="H21" s="21"/>
      <c r="I21" s="28"/>
      <c r="J21" s="28"/>
      <c r="K21" s="318"/>
    </row>
    <row r="22" spans="1:11" x14ac:dyDescent="0.35">
      <c r="B22" s="310"/>
      <c r="C22" s="578" t="s">
        <v>143</v>
      </c>
      <c r="D22" s="7"/>
      <c r="E22" s="579"/>
      <c r="F22" s="580" t="s">
        <v>151</v>
      </c>
      <c r="G22" s="581"/>
      <c r="H22" s="7"/>
      <c r="I22" s="7"/>
      <c r="K22" s="312"/>
    </row>
    <row r="23" spans="1:11" ht="15.5" x14ac:dyDescent="0.35">
      <c r="A23" s="17"/>
      <c r="B23" s="310"/>
      <c r="C23" s="582" t="s">
        <v>145</v>
      </c>
      <c r="D23" s="82">
        <f>IF(J30=0,0,J30)</f>
        <v>0</v>
      </c>
      <c r="F23" s="82">
        <f>IF(J30=" ",0,D23+D24+D25+D26)</f>
        <v>0</v>
      </c>
      <c r="G23" s="580" t="str">
        <f>IF(F23=0," ","per hour")</f>
        <v xml:space="preserve"> </v>
      </c>
      <c r="H23" s="7"/>
      <c r="I23" s="7"/>
      <c r="K23" s="312"/>
    </row>
    <row r="24" spans="1:11" ht="15.5" x14ac:dyDescent="0.35">
      <c r="A24" s="17"/>
      <c r="B24" s="310"/>
      <c r="C24" s="582" t="s">
        <v>146</v>
      </c>
      <c r="D24" s="82">
        <f>IF(D23=0,0,D23*0.1)</f>
        <v>0</v>
      </c>
      <c r="F24" s="581"/>
      <c r="G24" s="581"/>
      <c r="H24" s="7"/>
      <c r="I24" s="7"/>
      <c r="K24" s="312"/>
    </row>
    <row r="25" spans="1:11" ht="15.5" x14ac:dyDescent="0.35">
      <c r="A25" s="18"/>
      <c r="B25" s="310"/>
      <c r="C25" s="582" t="s">
        <v>87</v>
      </c>
      <c r="D25" s="82">
        <f>IF($D23=0,0,('Overhead &amp; Margin'!$D$10*$D23)/(1-('Overhead &amp; Margin'!$D$10+'Overhead &amp; Margin'!$G$10)))</f>
        <v>0</v>
      </c>
      <c r="F25" s="581"/>
      <c r="G25" s="581"/>
      <c r="H25" s="7"/>
      <c r="I25" s="7"/>
      <c r="K25" s="312"/>
    </row>
    <row r="26" spans="1:11" ht="15.5" x14ac:dyDescent="0.35">
      <c r="A26" s="18"/>
      <c r="B26" s="310"/>
      <c r="C26" s="582" t="s">
        <v>88</v>
      </c>
      <c r="D26" s="82">
        <f>IF(D23=0,0,('Overhead &amp; Margin'!$G$10*D23)/(1-('Overhead &amp; Margin'!$D$10+'Overhead &amp; Margin'!$G$10)))</f>
        <v>0</v>
      </c>
      <c r="F26" s="581"/>
      <c r="G26" s="581"/>
      <c r="H26" s="7"/>
      <c r="I26" s="7"/>
      <c r="K26" s="312"/>
    </row>
    <row r="27" spans="1:11" ht="16" thickBot="1" x14ac:dyDescent="0.4">
      <c r="A27" s="18"/>
      <c r="B27" s="310"/>
      <c r="C27" s="23" t="s">
        <v>147</v>
      </c>
      <c r="E27" s="83"/>
      <c r="F27" s="581"/>
      <c r="G27" s="581"/>
      <c r="H27" s="7"/>
      <c r="I27" s="7"/>
      <c r="J27" s="7"/>
      <c r="K27" s="312"/>
    </row>
    <row r="28" spans="1:11" ht="15.5" x14ac:dyDescent="0.35">
      <c r="A28" s="18"/>
      <c r="B28" s="319"/>
      <c r="C28" s="84" t="s">
        <v>148</v>
      </c>
      <c r="D28" s="21" t="s">
        <v>20</v>
      </c>
      <c r="E28" s="21" t="s">
        <v>149</v>
      </c>
      <c r="F28" s="21" t="s">
        <v>19</v>
      </c>
      <c r="G28" s="21" t="s">
        <v>22</v>
      </c>
      <c r="H28" s="21" t="s">
        <v>23</v>
      </c>
      <c r="I28" s="836" t="s">
        <v>21</v>
      </c>
      <c r="J28" s="50" t="s">
        <v>150</v>
      </c>
      <c r="K28" s="320"/>
    </row>
    <row r="29" spans="1:11" ht="16" thickBot="1" x14ac:dyDescent="0.4">
      <c r="A29" s="18"/>
      <c r="B29" s="319"/>
      <c r="C29" s="85"/>
      <c r="D29" s="36" t="s">
        <v>29</v>
      </c>
      <c r="E29" s="36" t="s">
        <v>32</v>
      </c>
      <c r="F29" s="36" t="s">
        <v>28</v>
      </c>
      <c r="G29" s="36" t="s">
        <v>30</v>
      </c>
      <c r="H29" s="36" t="s">
        <v>31</v>
      </c>
      <c r="I29" s="708"/>
      <c r="J29" s="135" t="s">
        <v>37</v>
      </c>
      <c r="K29" s="320"/>
    </row>
    <row r="30" spans="1:11" ht="15" thickBot="1" x14ac:dyDescent="0.4">
      <c r="B30" s="310"/>
      <c r="C30" s="146"/>
      <c r="D30" s="235">
        <f>IF(C30=0,0,VLOOKUP($C30,WageBeneTable5[#All],2,FALSE))</f>
        <v>0</v>
      </c>
      <c r="E30" s="137">
        <f>IF(D30=0,0,VLOOKUP($C30,WageBeneTable5[#All],3,FALSE))</f>
        <v>0</v>
      </c>
      <c r="F30" s="136">
        <f>IF(D30=0,0,1)</f>
        <v>0</v>
      </c>
      <c r="G30" s="137" t="str">
        <f>IF($D30=0," ",'Pay &amp; Benefits'!$C$10)</f>
        <v xml:space="preserve"> </v>
      </c>
      <c r="H30" s="137" t="str">
        <f>IF($D30=0," ",'Pay &amp; Benefits'!$C$11)</f>
        <v xml:space="preserve"> </v>
      </c>
      <c r="I30" s="138">
        <f>IF(D30=0,0,0.0765)</f>
        <v>0</v>
      </c>
      <c r="J30" s="139">
        <f>IF($E30=0,0,$D30*F30*(1+$E30+$G30+$H30+$I30))</f>
        <v>0</v>
      </c>
      <c r="K30" s="313"/>
    </row>
    <row r="31" spans="1:11" ht="5.15" customHeight="1" thickBot="1" x14ac:dyDescent="0.4">
      <c r="B31" s="294"/>
      <c r="C31" s="77"/>
      <c r="D31" s="77"/>
      <c r="E31" s="77"/>
      <c r="F31" s="77"/>
      <c r="G31" s="77"/>
      <c r="H31" s="77"/>
      <c r="I31" s="77"/>
      <c r="J31" s="77"/>
      <c r="K31" s="321"/>
    </row>
    <row r="32" spans="1:11" ht="15" thickBot="1" x14ac:dyDescent="0.4">
      <c r="B32" s="322"/>
      <c r="C32" s="584"/>
      <c r="D32" s="585"/>
      <c r="E32" s="586"/>
      <c r="F32" s="587"/>
      <c r="G32" s="587"/>
      <c r="H32" s="586"/>
      <c r="I32" s="588"/>
      <c r="J32" s="588"/>
      <c r="K32" s="323"/>
    </row>
    <row r="33" spans="2:11" ht="15" customHeight="1" x14ac:dyDescent="0.35">
      <c r="B33" s="583" t="s">
        <v>6</v>
      </c>
      <c r="D33" s="28"/>
      <c r="E33" s="28"/>
      <c r="F33" s="96"/>
      <c r="G33" s="96"/>
      <c r="H33" s="21"/>
      <c r="I33" s="28"/>
      <c r="J33" s="28"/>
      <c r="K33" s="318"/>
    </row>
    <row r="34" spans="2:11" x14ac:dyDescent="0.35">
      <c r="B34" s="310"/>
      <c r="C34" s="578" t="s">
        <v>143</v>
      </c>
      <c r="D34" s="7"/>
      <c r="E34" s="579"/>
      <c r="F34" s="580" t="s">
        <v>152</v>
      </c>
      <c r="G34" s="581"/>
      <c r="H34" s="7"/>
      <c r="I34" s="7"/>
      <c r="K34" s="312"/>
    </row>
    <row r="35" spans="2:11" x14ac:dyDescent="0.35">
      <c r="B35" s="310"/>
      <c r="C35" s="582" t="s">
        <v>145</v>
      </c>
      <c r="D35" s="82">
        <f>IF(J41=0,0,J41)</f>
        <v>0</v>
      </c>
      <c r="F35" s="82">
        <f>IF(J41=" ",0,D35+D36+D37)</f>
        <v>0</v>
      </c>
      <c r="G35" s="580" t="str">
        <f>IF(F35=0," ","per hour")</f>
        <v xml:space="preserve"> </v>
      </c>
      <c r="H35" s="7"/>
      <c r="I35" s="7"/>
      <c r="K35" s="312"/>
    </row>
    <row r="36" spans="2:11" x14ac:dyDescent="0.35">
      <c r="B36" s="310"/>
      <c r="C36" s="582" t="s">
        <v>87</v>
      </c>
      <c r="D36" s="82">
        <f>IF($D35=0,0,('Overhead &amp; Margin'!$D$10*$D35)/(1-('Overhead &amp; Margin'!$D$10+'Overhead &amp; Margin'!$G$10)))</f>
        <v>0</v>
      </c>
      <c r="F36" s="581"/>
      <c r="G36" s="581"/>
      <c r="H36" s="7"/>
      <c r="I36" s="7"/>
      <c r="K36" s="312"/>
    </row>
    <row r="37" spans="2:11" x14ac:dyDescent="0.35">
      <c r="B37" s="310"/>
      <c r="C37" s="582" t="s">
        <v>88</v>
      </c>
      <c r="D37" s="82">
        <f>IF(D35=0,0,('Overhead &amp; Margin'!$G$10*D35)/(1-('Overhead &amp; Margin'!$D$10+'Overhead &amp; Margin'!$G$10)))</f>
        <v>0</v>
      </c>
      <c r="F37" s="581"/>
      <c r="G37" s="581"/>
      <c r="H37" s="7"/>
      <c r="I37" s="7"/>
      <c r="K37" s="312"/>
    </row>
    <row r="38" spans="2:11" ht="15" thickBot="1" x14ac:dyDescent="0.4">
      <c r="B38" s="310"/>
      <c r="C38" s="23" t="s">
        <v>147</v>
      </c>
      <c r="E38" s="83"/>
      <c r="F38" s="581"/>
      <c r="G38" s="581"/>
      <c r="H38" s="7"/>
      <c r="I38" s="7"/>
      <c r="J38" s="83"/>
      <c r="K38" s="312"/>
    </row>
    <row r="39" spans="2:11" x14ac:dyDescent="0.35">
      <c r="B39" s="310"/>
      <c r="C39" s="84" t="s">
        <v>148</v>
      </c>
      <c r="D39" s="21" t="s">
        <v>20</v>
      </c>
      <c r="E39" s="21" t="s">
        <v>149</v>
      </c>
      <c r="F39" s="21" t="s">
        <v>19</v>
      </c>
      <c r="G39" s="21" t="s">
        <v>22</v>
      </c>
      <c r="H39" s="21" t="s">
        <v>23</v>
      </c>
      <c r="I39" s="836" t="s">
        <v>21</v>
      </c>
      <c r="J39" s="50" t="s">
        <v>150</v>
      </c>
      <c r="K39" s="313"/>
    </row>
    <row r="40" spans="2:11" ht="15" thickBot="1" x14ac:dyDescent="0.4">
      <c r="B40" s="310"/>
      <c r="C40" s="85"/>
      <c r="D40" s="36" t="s">
        <v>29</v>
      </c>
      <c r="E40" s="36" t="s">
        <v>32</v>
      </c>
      <c r="F40" s="36" t="s">
        <v>28</v>
      </c>
      <c r="G40" s="36" t="s">
        <v>30</v>
      </c>
      <c r="H40" s="36" t="s">
        <v>31</v>
      </c>
      <c r="I40" s="708"/>
      <c r="J40" s="135" t="s">
        <v>37</v>
      </c>
      <c r="K40" s="313"/>
    </row>
    <row r="41" spans="2:11" ht="15" thickBot="1" x14ac:dyDescent="0.4">
      <c r="B41" s="324"/>
      <c r="C41" s="146"/>
      <c r="D41" s="235">
        <f>IF(C41=0,0,VLOOKUP($C41,WageBeneTable5[#All],2,FALSE))</f>
        <v>0</v>
      </c>
      <c r="E41" s="137">
        <f>IF(D41=0,0,VLOOKUP($C41,WageBeneTable5[#All],3,FALSE))</f>
        <v>0</v>
      </c>
      <c r="F41" s="136">
        <f>IF(D41=0,0,1)</f>
        <v>0</v>
      </c>
      <c r="G41" s="137" t="str">
        <f>IF($D41=0," ",'Pay &amp; Benefits'!$C$10)</f>
        <v xml:space="preserve"> </v>
      </c>
      <c r="H41" s="137" t="str">
        <f>IF($D41=0," ",'Pay &amp; Benefits'!$C$11)</f>
        <v xml:space="preserve"> </v>
      </c>
      <c r="I41" s="138">
        <f>IF(D41=0,0,0.0765)</f>
        <v>0</v>
      </c>
      <c r="J41" s="139">
        <f>IF($E41=0,0,$D41*F41*(1+$E41+$G41+$H41+$I41))</f>
        <v>0</v>
      </c>
      <c r="K41" s="313"/>
    </row>
    <row r="42" spans="2:11" ht="5.15" customHeight="1" thickBot="1" x14ac:dyDescent="0.4">
      <c r="B42" s="325"/>
      <c r="C42" s="326"/>
      <c r="D42" s="326"/>
      <c r="E42" s="326"/>
      <c r="F42" s="326"/>
      <c r="G42" s="326"/>
      <c r="H42" s="326"/>
      <c r="I42" s="327"/>
      <c r="J42" s="326"/>
      <c r="K42" s="328"/>
    </row>
    <row r="43" spans="2:11" ht="15" customHeight="1" thickTop="1" x14ac:dyDescent="0.35">
      <c r="I43" s="70"/>
    </row>
    <row r="44" spans="2:11" x14ac:dyDescent="0.35">
      <c r="I44" s="70"/>
    </row>
    <row r="45" spans="2:11" x14ac:dyDescent="0.35">
      <c r="I45" s="70"/>
    </row>
    <row r="46" spans="2:11" x14ac:dyDescent="0.35">
      <c r="I46" s="70"/>
    </row>
    <row r="47" spans="2:11" x14ac:dyDescent="0.35">
      <c r="I47" s="70"/>
    </row>
    <row r="48" spans="2:11" x14ac:dyDescent="0.35">
      <c r="I48" s="70"/>
    </row>
  </sheetData>
  <sheetProtection algorithmName="SHA-512" hashValue="kYLZfUklQp/Bp/x4Bb1fiWg3rLOysFbWCSvcJeof2RPV6zSqGoaKDS/4gpdQcvXbLGr2K2m90sluyWRelCnEiA==" saltValue="397qnGgEdexzSSbsUbCvtg==" spinCount="100000" sheet="1" objects="1" scenarios="1"/>
  <mergeCells count="7">
    <mergeCell ref="B1:J1"/>
    <mergeCell ref="I39:I40"/>
    <mergeCell ref="C3:F3"/>
    <mergeCell ref="C5:F5"/>
    <mergeCell ref="C7:F7"/>
    <mergeCell ref="I16:I17"/>
    <mergeCell ref="I28:I29"/>
  </mergeCells>
  <conditionalFormatting sqref="C18">
    <cfRule type="cellIs" dxfId="44" priority="1" operator="greaterThan">
      <formula>0</formula>
    </cfRule>
  </conditionalFormatting>
  <conditionalFormatting sqref="C30 C531">
    <cfRule type="cellIs" dxfId="43" priority="3" operator="greaterThan">
      <formula>0</formula>
    </cfRule>
  </conditionalFormatting>
  <conditionalFormatting sqref="C41">
    <cfRule type="cellIs" dxfId="42" priority="2" operator="greaterThan">
      <formula>0</formula>
    </cfRule>
  </conditionalFormatting>
  <hyperlinks>
    <hyperlink ref="I4" location="'Except,Emer&amp;Day Porter'!C25" display="Exceptional/Additional Services" xr:uid="{8232261F-95E6-4794-B564-EE231B0876BA}"/>
    <hyperlink ref="I5" location="'Except,Emer&amp;Day Porter'!C40" display="Emergency Services" xr:uid="{9B0764AF-FCC2-4471-953A-4633B71A2A02}"/>
    <hyperlink ref="I6" location="'Except,Emer&amp;Day Porter'!C54" display="Day Porter Services" xr:uid="{C3EF8D81-17E3-466A-BD79-DC03B355175E}"/>
    <hyperlink ref="M3" location="'kt info'!C3" display="Contract Information" xr:uid="{E7D5D479-96E9-4534-AAE5-DB888FA00504}"/>
    <hyperlink ref="M4" location="'Overhead &amp; Margin'!D10" display="Overhead &amp; Margin" xr:uid="{931DB092-9FA8-4A11-8A42-9F457C33003B}"/>
    <hyperlink ref="M10" location="'Monthly Janitorial'!B21" display="Monthly Janitorial" xr:uid="{FD07FB77-6A8E-449B-8086-783F3C7DACC2}"/>
    <hyperlink ref="M11" location="Periodics!B22" display="Periodical Services(Carpets, Hard Floors, Windows, Blinds, other periodical services" xr:uid="{8C76988F-14D4-44F8-A861-FAF978908B24}"/>
    <hyperlink ref="M12" location="'Except,Emer&amp;Day Porter'!H4" display="Exceptional, Emergency and Day Porter Services" xr:uid="{6DF24505-1264-4FFB-9352-32BEE490B10A}"/>
    <hyperlink ref="M6" location="Supplies!B13" display="Supplies" xr:uid="{DB04673A-0378-44EE-88D5-286B8C2774CF}"/>
    <hyperlink ref="M7" location="'Equipment List'!B12" display="Equipment" xr:uid="{1F711914-2FBC-4711-BF00-78AA3B886D55}"/>
    <hyperlink ref="M14" location="'Price Approval'!A1" display="Price Approval" xr:uid="{00B8E77D-81F2-4B44-AC09-F502DB2436FD}"/>
    <hyperlink ref="M8" location="Subcontractors!B15" display="Subcontractors" xr:uid="{F595FFF9-BCDA-4B0D-95C8-AAA07552B203}"/>
    <hyperlink ref="M5" location="'Pay &amp; Benefits'!C10" display="Wages and Benefits (includes Unemployment and Worker's Compensation" xr:uid="{351DEA61-6C7D-416C-A8EB-0F65CB9BC6F7}"/>
    <hyperlink ref="M9" location="Transportation!B6" display="Transportation" xr:uid="{5532D7BB-67C1-4E40-995C-C92EDB5159D6}"/>
    <hyperlink ref="M13" location="'Summary-pricing'!A1" display="Summary-Pricing" xr:uid="{BE38D7F8-4351-4A25-A7E2-F67E5229CE66}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5554E1B-377A-4440-80E2-F4DF9908FB5C}">
          <x14:formula1>
            <xm:f>'Pay &amp; Benefits'!$B$64:$B$78</xm:f>
          </x14:formula1>
          <xm:sqref>C41 C18 C30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27E65E-BCA8-4D15-AE9F-FE005DA406F5}">
  <dimension ref="A1:M58"/>
  <sheetViews>
    <sheetView showGridLines="0" showZeros="0" topLeftCell="A7" zoomScaleNormal="100" workbookViewId="0">
      <selection activeCell="C13" sqref="C13"/>
    </sheetView>
  </sheetViews>
  <sheetFormatPr defaultRowHeight="14.5" x14ac:dyDescent="0.35"/>
  <cols>
    <col min="2" max="2" width="41.81640625" customWidth="1"/>
    <col min="3" max="3" width="18.81640625" customWidth="1"/>
    <col min="4" max="4" width="17.453125" customWidth="1"/>
    <col min="5" max="5" width="15.54296875" customWidth="1"/>
    <col min="6" max="6" width="11.453125" customWidth="1"/>
    <col min="7" max="7" width="14.81640625" customWidth="1"/>
    <col min="8" max="8" width="17.81640625" customWidth="1"/>
    <col min="9" max="9" width="6.453125" customWidth="1"/>
  </cols>
  <sheetData>
    <row r="1" spans="1:13" ht="30.75" customHeight="1" x14ac:dyDescent="0.35">
      <c r="B1" s="707" t="s">
        <v>179</v>
      </c>
      <c r="C1" s="708"/>
      <c r="D1" s="708"/>
      <c r="E1" s="708"/>
      <c r="F1" s="708"/>
      <c r="G1" s="708"/>
      <c r="H1" s="20" t="s">
        <v>133</v>
      </c>
      <c r="I1" s="56" t="s">
        <v>134</v>
      </c>
    </row>
    <row r="2" spans="1:13" x14ac:dyDescent="0.35">
      <c r="F2" s="20"/>
      <c r="G2" s="605" t="str">
        <f>'kt info'!$B$12</f>
        <v>Form date: 10/24/25</v>
      </c>
      <c r="I2" s="56" t="s">
        <v>259</v>
      </c>
    </row>
    <row r="3" spans="1:13" x14ac:dyDescent="0.35">
      <c r="B3" t="s">
        <v>109</v>
      </c>
      <c r="C3" s="837">
        <f>IF('kt info'!C3="Fill in Name of OFC"," ",'kt info'!C3)</f>
        <v>0</v>
      </c>
      <c r="D3" s="743"/>
      <c r="G3" s="56"/>
      <c r="I3" s="56" t="s">
        <v>260</v>
      </c>
    </row>
    <row r="4" spans="1:13" x14ac:dyDescent="0.35">
      <c r="C4" s="100"/>
      <c r="D4" s="100"/>
      <c r="G4" s="56"/>
      <c r="I4" s="56" t="s">
        <v>80</v>
      </c>
    </row>
    <row r="5" spans="1:13" x14ac:dyDescent="0.35">
      <c r="B5" t="s">
        <v>110</v>
      </c>
      <c r="C5" s="837">
        <f>IF('kt info'!C5="Contract Name or Number"," ",'kt info'!C5)</f>
        <v>0</v>
      </c>
      <c r="D5" s="743"/>
      <c r="G5" s="56"/>
      <c r="I5" s="56" t="s">
        <v>15</v>
      </c>
    </row>
    <row r="6" spans="1:13" x14ac:dyDescent="0.35">
      <c r="C6" s="100"/>
      <c r="D6" s="100"/>
      <c r="G6" s="56"/>
      <c r="I6" s="56" t="s">
        <v>201</v>
      </c>
    </row>
    <row r="7" spans="1:13" x14ac:dyDescent="0.35">
      <c r="B7" t="s">
        <v>135</v>
      </c>
      <c r="C7" s="837">
        <f>IF('kt info'!C7="Fill in Public Agency Name"," ",'kt info'!C7)</f>
        <v>0</v>
      </c>
      <c r="D7" s="743"/>
      <c r="G7" s="56"/>
      <c r="I7" s="56" t="s">
        <v>89</v>
      </c>
    </row>
    <row r="8" spans="1:13" x14ac:dyDescent="0.35">
      <c r="G8" s="56"/>
      <c r="I8" s="56" t="s">
        <v>2</v>
      </c>
    </row>
    <row r="9" spans="1:13" ht="18.5" x14ac:dyDescent="0.45">
      <c r="A9" s="3" t="s">
        <v>8</v>
      </c>
      <c r="G9" s="56"/>
      <c r="I9" s="56" t="s">
        <v>230</v>
      </c>
    </row>
    <row r="10" spans="1:13" x14ac:dyDescent="0.35">
      <c r="G10" s="56"/>
      <c r="I10" s="56" t="s">
        <v>231</v>
      </c>
    </row>
    <row r="11" spans="1:13" x14ac:dyDescent="0.35">
      <c r="B11" s="56" t="s">
        <v>2</v>
      </c>
      <c r="C11" s="558">
        <f>IF('Monthly Janitorial'!C14=0,0,'Monthly Janitorial'!C14)</f>
        <v>0</v>
      </c>
      <c r="D11" s="559" t="s">
        <v>272</v>
      </c>
      <c r="E11" s="558">
        <f>'Monthly Janitorial'!C16</f>
        <v>0</v>
      </c>
      <c r="F11" s="560" t="s">
        <v>129</v>
      </c>
      <c r="G11" s="561">
        <f>IF('Monthly Janitorial'!$H$10=0,0,('Monthly Janitorial'!$C$12/('Monthly Janitorial'!$H$10/(('kt info'!$G$13)))))</f>
        <v>0</v>
      </c>
      <c r="H11" t="s">
        <v>273</v>
      </c>
      <c r="I11" s="56" t="s">
        <v>261</v>
      </c>
    </row>
    <row r="12" spans="1:13" s="562" customFormat="1" ht="5.15" customHeight="1" x14ac:dyDescent="0.35">
      <c r="D12" s="563"/>
      <c r="E12" s="564"/>
      <c r="H12" s="222"/>
    </row>
    <row r="13" spans="1:13" x14ac:dyDescent="0.35">
      <c r="B13" t="s">
        <v>308</v>
      </c>
      <c r="C13" s="558">
        <f>'Monthly Janitorial'!C14
+IF('kt info'!D25="Yes",('Summary-pricing'!C20*'kt info'!G25)/12,0)
+IF('kt info'!D27="Yes",('Summary-pricing'!C22*'kt info'!G27)/12,0)
+IF('kt info'!D29="Yes",('Summary-pricing'!C24*'kt info'!G29)/12,0)
+IF('kt info'!D31="Yes",('Summary-pricing'!C26*'kt info'!G31)/12,0)
+IF('kt info'!D33="Yes",('Summary-pricing'!C28*'kt info'!G33)/12,0)
+IF('kt info'!D35="Yes",('Summary-pricing'!C30*'kt info'!G35)/12,0)
+IF('kt info'!D37="Yes",('Summary-pricing'!C32*'kt info'!G37)/12,0)
+IF('kt info'!D21="Yes",'Summary-pricing'!E16,0)
+IF('kt info'!D41="Yes",('Summary-pricing'!C36*'kt info'!G41)/12,0)
+IF('kt info'!D43="Yes",('Summary-pricing'!C38*'kt info'!G43)/12,0)
+IF('kt info'!D45="Yes",('Summary-pricing'!C40*'kt info'!G45)/12,0)
+IF('kt info'!D47="Yes",('Summary-pricing'!C40*'kt info'!G47)/12,0)
+IF('kt info'!D49="Yes",('Summary-pricing'!C42*'kt info'!G49)/12,0)
+IF('kt info'!D51="Yes",('Summary-pricing'!C44*'kt info'!G51)/12,0)
+IF('kt info'!D53="Yes",('Summary-pricing'!C46*'kt info'!G53)/12,0)
+IF('kt info'!D55="Yes",('Summary-pricing'!C48*'kt info'!G55)/12,0)
+IF('kt info'!D57="Yes",('Summary-pricing'!C50*'kt info'!G57)/12,0)
+IF('kt info'!D59="Yes",('Summary-pricing'!C52*'kt info'!G59)/12,0)
+IF('kt info'!D61="Yes",('Summary-pricing'!C54*'kt info'!G61)/12,0)</f>
        <v>0</v>
      </c>
      <c r="D13" s="559" t="s">
        <v>247</v>
      </c>
      <c r="E13" s="558">
        <f>IF(C13=0,0,C13/'Monthly Janitorial'!C12)</f>
        <v>0</v>
      </c>
      <c r="F13" s="560" t="s">
        <v>129</v>
      </c>
      <c r="G13" s="565"/>
      <c r="I13" s="56" t="s">
        <v>232</v>
      </c>
    </row>
    <row r="14" spans="1:13" ht="15" customHeight="1" x14ac:dyDescent="0.35">
      <c r="B14" s="840" t="s">
        <v>307</v>
      </c>
      <c r="C14" s="806"/>
      <c r="D14" s="606"/>
      <c r="E14" s="606"/>
      <c r="F14" s="606"/>
    </row>
    <row r="15" spans="1:13" ht="5.15" customHeight="1" x14ac:dyDescent="0.35">
      <c r="B15" s="56"/>
      <c r="C15" s="1"/>
      <c r="D15" s="560"/>
      <c r="E15" s="1"/>
      <c r="F15" s="560"/>
    </row>
    <row r="16" spans="1:13" x14ac:dyDescent="0.35">
      <c r="B16" s="56" t="s">
        <v>6</v>
      </c>
      <c r="C16" s="558">
        <f>'Except,Emer&amp;Day Porter'!F35</f>
        <v>0</v>
      </c>
      <c r="D16" s="560" t="s">
        <v>130</v>
      </c>
      <c r="E16" s="558">
        <f>IF(C16=0,0,C16*'kt info'!E21*'kt info'!G21)/12</f>
        <v>0</v>
      </c>
      <c r="F16" s="560" t="s">
        <v>272</v>
      </c>
      <c r="G16" s="113"/>
      <c r="H16" s="566"/>
      <c r="I16" s="566"/>
      <c r="J16" s="113"/>
      <c r="K16" s="113"/>
      <c r="L16" s="113"/>
      <c r="M16" s="113"/>
    </row>
    <row r="17" spans="2:13" ht="5.15" customHeight="1" x14ac:dyDescent="0.35">
      <c r="B17" s="56"/>
      <c r="C17" s="1"/>
      <c r="D17" s="560"/>
      <c r="E17" s="1"/>
      <c r="F17" s="560"/>
      <c r="G17" s="113"/>
      <c r="H17" s="113"/>
      <c r="I17" s="113"/>
      <c r="J17" s="113"/>
      <c r="K17" s="113"/>
      <c r="L17" s="113"/>
      <c r="M17" s="113"/>
    </row>
    <row r="18" spans="2:13" ht="18" x14ac:dyDescent="0.4">
      <c r="B18" s="161" t="s">
        <v>206</v>
      </c>
      <c r="C18" s="838"/>
      <c r="D18" s="839"/>
      <c r="E18" s="839"/>
      <c r="F18" s="839"/>
      <c r="G18" s="839"/>
      <c r="H18" s="113"/>
      <c r="I18" s="113"/>
      <c r="J18" s="113"/>
      <c r="K18" s="113"/>
      <c r="L18" s="113"/>
      <c r="M18" s="113"/>
    </row>
    <row r="19" spans="2:13" ht="5.15" customHeight="1" x14ac:dyDescent="0.35">
      <c r="B19" s="2"/>
      <c r="G19" s="113"/>
      <c r="H19" s="113"/>
      <c r="I19" s="113"/>
      <c r="J19" s="113"/>
      <c r="K19" s="113"/>
      <c r="L19" s="113"/>
      <c r="M19" s="113"/>
    </row>
    <row r="20" spans="2:13" x14ac:dyDescent="0.35">
      <c r="B20" s="56" t="s">
        <v>210</v>
      </c>
      <c r="C20" s="567">
        <f>IF('kt info'!C25="Yes",Periodics!C15,0)</f>
        <v>0</v>
      </c>
      <c r="D20" t="s">
        <v>131</v>
      </c>
      <c r="E20" s="558">
        <f>Periodics!C17</f>
        <v>0</v>
      </c>
      <c r="F20" t="s">
        <v>129</v>
      </c>
      <c r="G20" s="568">
        <f>IF(Periodics!C15=0,0,((Periodics!C13)/(Periodics!I11/'kt info'!G25)))</f>
        <v>0</v>
      </c>
      <c r="H20" t="s">
        <v>273</v>
      </c>
      <c r="I20" s="113"/>
      <c r="J20" s="113"/>
      <c r="K20" s="113"/>
      <c r="L20" s="113"/>
      <c r="M20" s="113"/>
    </row>
    <row r="21" spans="2:13" ht="5.15" customHeight="1" x14ac:dyDescent="0.35">
      <c r="B21" s="2"/>
      <c r="G21" s="569"/>
      <c r="H21" s="113"/>
      <c r="I21" s="113"/>
      <c r="J21" s="113"/>
      <c r="K21" s="113"/>
      <c r="L21" s="113"/>
      <c r="M21" s="113"/>
    </row>
    <row r="22" spans="2:13" x14ac:dyDescent="0.35">
      <c r="B22" s="56" t="s">
        <v>211</v>
      </c>
      <c r="C22" s="558">
        <f>IF('kt info'!C27="Yes",Periodics!C72,0)</f>
        <v>0</v>
      </c>
      <c r="D22" t="s">
        <v>131</v>
      </c>
      <c r="E22" s="558">
        <f>Periodics!C74</f>
        <v>0</v>
      </c>
      <c r="F22" t="s">
        <v>129</v>
      </c>
      <c r="G22" s="568">
        <f>IF(Periodics!C72=0,0,((Periodics!C70)/(Periodics!I68/'kt info'!G27)))</f>
        <v>0</v>
      </c>
      <c r="H22" t="s">
        <v>273</v>
      </c>
      <c r="I22" s="113"/>
      <c r="J22" s="113"/>
      <c r="K22" s="113"/>
      <c r="L22" s="113"/>
      <c r="M22" s="113"/>
    </row>
    <row r="23" spans="2:13" ht="5.15" customHeight="1" x14ac:dyDescent="0.35">
      <c r="B23" s="2"/>
      <c r="G23" s="569"/>
      <c r="H23" s="113"/>
      <c r="I23" s="113"/>
      <c r="J23" s="113"/>
      <c r="K23" s="113"/>
      <c r="L23" s="570"/>
      <c r="M23" s="113"/>
    </row>
    <row r="24" spans="2:13" x14ac:dyDescent="0.35">
      <c r="B24" s="56" t="s">
        <v>209</v>
      </c>
      <c r="C24" s="558">
        <f>IF('kt info'!C29="Yes",Periodics!C130,0)</f>
        <v>0</v>
      </c>
      <c r="D24" t="s">
        <v>131</v>
      </c>
      <c r="E24" s="558">
        <f>Periodics!C132</f>
        <v>0</v>
      </c>
      <c r="F24" t="s">
        <v>129</v>
      </c>
      <c r="G24" s="568">
        <f>IF(Periodics!C130=0,0,((Periodics!C128)/Periodics!I126/'kt info'!G29))</f>
        <v>0</v>
      </c>
      <c r="H24" t="s">
        <v>273</v>
      </c>
      <c r="I24" s="113"/>
      <c r="J24" s="113"/>
      <c r="K24" s="113"/>
      <c r="L24" s="113"/>
      <c r="M24" s="113"/>
    </row>
    <row r="25" spans="2:13" ht="5.15" customHeight="1" x14ac:dyDescent="0.35">
      <c r="B25" s="2"/>
      <c r="G25" s="569"/>
      <c r="H25" s="113"/>
      <c r="I25" s="113"/>
      <c r="J25" s="113"/>
      <c r="K25" s="113"/>
      <c r="L25" s="113"/>
      <c r="M25" s="113"/>
    </row>
    <row r="26" spans="2:13" x14ac:dyDescent="0.35">
      <c r="B26" s="56" t="s">
        <v>205</v>
      </c>
      <c r="C26" s="558">
        <f>Periodics!$C$188</f>
        <v>0</v>
      </c>
      <c r="D26" s="571" t="s">
        <v>131</v>
      </c>
      <c r="E26" s="558">
        <f>Periodics!C190</f>
        <v>0</v>
      </c>
      <c r="F26" t="s">
        <v>129</v>
      </c>
      <c r="G26" s="568">
        <f>IF(Periodics!C188=0,0,((Periodics!C186)/(Periodics!I184/'kt info'!G31)))</f>
        <v>0</v>
      </c>
      <c r="H26" t="s">
        <v>273</v>
      </c>
      <c r="I26" s="113"/>
      <c r="J26" s="113"/>
      <c r="K26" s="113"/>
      <c r="L26" s="113"/>
      <c r="M26" s="113"/>
    </row>
    <row r="27" spans="2:13" ht="5.15" customHeight="1" x14ac:dyDescent="0.35">
      <c r="B27" s="2"/>
      <c r="G27" s="113"/>
      <c r="H27" s="113"/>
      <c r="I27" s="113"/>
      <c r="J27" s="113"/>
      <c r="K27" s="113"/>
      <c r="L27" s="113"/>
      <c r="M27" s="113"/>
    </row>
    <row r="28" spans="2:13" x14ac:dyDescent="0.35">
      <c r="B28" s="56" t="s">
        <v>7</v>
      </c>
      <c r="C28" s="558">
        <f>IF('kt info'!C33="Yes",Periodics!C246,0)</f>
        <v>0</v>
      </c>
      <c r="D28" s="571" t="s">
        <v>131</v>
      </c>
      <c r="G28" s="113"/>
      <c r="H28" s="113"/>
      <c r="I28" s="113"/>
      <c r="J28" s="113"/>
      <c r="K28" s="113"/>
      <c r="L28" s="113"/>
      <c r="M28" s="113"/>
    </row>
    <row r="29" spans="2:13" ht="5.15" customHeight="1" x14ac:dyDescent="0.35">
      <c r="B29" s="2"/>
    </row>
    <row r="30" spans="2:13" x14ac:dyDescent="0.35">
      <c r="B30" s="56" t="s">
        <v>304</v>
      </c>
      <c r="C30" s="558">
        <f>Periodics!C304</f>
        <v>0</v>
      </c>
      <c r="D30" t="s">
        <v>131</v>
      </c>
      <c r="E30" s="558" t="str">
        <f>Periodics!C306</f>
        <v xml:space="preserve"> </v>
      </c>
      <c r="F30" t="s">
        <v>269</v>
      </c>
    </row>
    <row r="31" spans="2:13" ht="5.15" customHeight="1" x14ac:dyDescent="0.35">
      <c r="B31" s="2"/>
    </row>
    <row r="32" spans="2:13" x14ac:dyDescent="0.35">
      <c r="B32" s="56" t="s">
        <v>208</v>
      </c>
      <c r="C32" s="558">
        <f>Periodics!C362</f>
        <v>0</v>
      </c>
      <c r="D32" t="s">
        <v>131</v>
      </c>
    </row>
    <row r="33" spans="2:8" ht="5.15" customHeight="1" x14ac:dyDescent="0.35">
      <c r="B33" s="2"/>
    </row>
    <row r="34" spans="2:8" x14ac:dyDescent="0.35">
      <c r="B34" s="2" t="s">
        <v>212</v>
      </c>
    </row>
    <row r="35" spans="2:8" ht="5.15" customHeight="1" x14ac:dyDescent="0.35">
      <c r="B35" s="2"/>
    </row>
    <row r="36" spans="2:8" x14ac:dyDescent="0.35">
      <c r="B36" s="239" t="str">
        <f>'kt info'!B41</f>
        <v>Enter Periodical Service 1</v>
      </c>
      <c r="C36" s="558">
        <f>Periodics!C420</f>
        <v>0</v>
      </c>
      <c r="D36" t="s">
        <v>131</v>
      </c>
      <c r="E36" s="558">
        <f>Periodics!C422</f>
        <v>0</v>
      </c>
      <c r="F36" t="s">
        <v>129</v>
      </c>
      <c r="G36" s="568">
        <f>IF(C36=0,0,(Periodics!C418/Periodics!I416/'kt info'!G41))</f>
        <v>0</v>
      </c>
      <c r="H36" t="s">
        <v>273</v>
      </c>
    </row>
    <row r="37" spans="2:8" ht="5.15" customHeight="1" x14ac:dyDescent="0.35">
      <c r="B37" s="69"/>
      <c r="G37" s="569"/>
      <c r="H37" s="113"/>
    </row>
    <row r="38" spans="2:8" x14ac:dyDescent="0.35">
      <c r="B38" s="239" t="str">
        <f>'kt info'!B43</f>
        <v>Enter Periodical Service 2</v>
      </c>
      <c r="C38" s="558">
        <f>Periodics!C478</f>
        <v>0</v>
      </c>
      <c r="D38" t="s">
        <v>131</v>
      </c>
      <c r="E38" s="558">
        <f>Periodics!C480</f>
        <v>0</v>
      </c>
      <c r="F38" t="s">
        <v>129</v>
      </c>
      <c r="G38" s="568">
        <f>IF(C38=0,0,(Periodics!C476/Periodics!I474/'kt info'!G43))</f>
        <v>0</v>
      </c>
      <c r="H38" t="s">
        <v>273</v>
      </c>
    </row>
    <row r="39" spans="2:8" ht="5.15" customHeight="1" x14ac:dyDescent="0.35">
      <c r="B39" s="607"/>
      <c r="G39" s="569"/>
      <c r="H39" s="113"/>
    </row>
    <row r="40" spans="2:8" x14ac:dyDescent="0.35">
      <c r="B40" s="239" t="str">
        <f>'kt info'!B45</f>
        <v>Enter Periodical Service 3</v>
      </c>
      <c r="C40" s="558">
        <f>Periodics!C536</f>
        <v>0</v>
      </c>
      <c r="D40" t="s">
        <v>131</v>
      </c>
      <c r="E40" s="558">
        <f>Periodics!C538</f>
        <v>0</v>
      </c>
      <c r="F40" t="s">
        <v>129</v>
      </c>
      <c r="G40" s="568">
        <f>IF(C40=0,0,(Periodics!C534/Periodics!I532/'kt info'!G45))</f>
        <v>0</v>
      </c>
      <c r="H40" t="s">
        <v>273</v>
      </c>
    </row>
    <row r="41" spans="2:8" ht="5.15" customHeight="1" x14ac:dyDescent="0.35">
      <c r="B41" s="607"/>
      <c r="G41" s="569"/>
      <c r="H41" s="113"/>
    </row>
    <row r="42" spans="2:8" x14ac:dyDescent="0.35">
      <c r="B42" s="239" t="str">
        <f>'kt info'!B47</f>
        <v>Enter Periodical Service 4</v>
      </c>
      <c r="C42" s="558">
        <f>Periodics!C594</f>
        <v>0</v>
      </c>
      <c r="D42" t="s">
        <v>131</v>
      </c>
      <c r="E42" s="558">
        <f>Periodics!C596</f>
        <v>0</v>
      </c>
      <c r="F42" t="s">
        <v>129</v>
      </c>
      <c r="G42" s="568">
        <f>IF(C42=0,0,(Periodics!C592/Periodics!I590/'kt info'!G47))</f>
        <v>0</v>
      </c>
      <c r="H42" t="s">
        <v>273</v>
      </c>
    </row>
    <row r="43" spans="2:8" ht="5.15" customHeight="1" x14ac:dyDescent="0.35">
      <c r="B43" s="2"/>
      <c r="H43" s="69"/>
    </row>
    <row r="44" spans="2:8" x14ac:dyDescent="0.35">
      <c r="B44" s="98" t="str">
        <f>'kt info'!B49</f>
        <v>Enter Periodical Service 5</v>
      </c>
      <c r="C44" s="558">
        <f>Periodics!C652</f>
        <v>0</v>
      </c>
      <c r="D44" t="s">
        <v>131</v>
      </c>
      <c r="E44" s="558">
        <f>Periodics!C654</f>
        <v>0</v>
      </c>
      <c r="F44" t="s">
        <v>129</v>
      </c>
      <c r="G44" s="568">
        <f>IF(C44=0,0,(Periodics!C650/Periodics!I648/'kt info'!G49))</f>
        <v>0</v>
      </c>
      <c r="H44" t="s">
        <v>273</v>
      </c>
    </row>
    <row r="45" spans="2:8" ht="5.15" customHeight="1" x14ac:dyDescent="0.35">
      <c r="B45" s="2"/>
      <c r="G45" s="569"/>
      <c r="H45" s="113"/>
    </row>
    <row r="46" spans="2:8" x14ac:dyDescent="0.35">
      <c r="B46" s="98" t="str">
        <f>'kt info'!B51</f>
        <v>Enter Periodical Service 6</v>
      </c>
      <c r="C46" s="558">
        <f>Periodics!C710</f>
        <v>0</v>
      </c>
      <c r="D46" t="s">
        <v>131</v>
      </c>
      <c r="E46" s="558">
        <f>Periodics!C712</f>
        <v>0</v>
      </c>
      <c r="F46" t="s">
        <v>129</v>
      </c>
      <c r="G46" s="568">
        <f>IF(C46=0,0,(Periodics!C708/Periodics!I706/'kt info'!G51))</f>
        <v>0</v>
      </c>
      <c r="H46" t="s">
        <v>273</v>
      </c>
    </row>
    <row r="47" spans="2:8" ht="5.15" customHeight="1" x14ac:dyDescent="0.35">
      <c r="B47" s="607"/>
      <c r="G47" s="569"/>
      <c r="H47" s="113"/>
    </row>
    <row r="48" spans="2:8" x14ac:dyDescent="0.35">
      <c r="B48" s="239" t="str">
        <f>'kt info'!B53</f>
        <v>Enter Periodical Service 7</v>
      </c>
      <c r="C48" s="558">
        <f>Periodics!C768</f>
        <v>0</v>
      </c>
      <c r="D48" t="s">
        <v>131</v>
      </c>
      <c r="E48" s="558">
        <f>Periodics!C770</f>
        <v>0</v>
      </c>
      <c r="F48" t="s">
        <v>129</v>
      </c>
      <c r="G48" s="568">
        <f>IF(C48=0,0,(Periodics!C766/Periodics!I764/'kt info'!G53))</f>
        <v>0</v>
      </c>
      <c r="H48" t="s">
        <v>273</v>
      </c>
    </row>
    <row r="49" spans="2:8" ht="5.15" customHeight="1" x14ac:dyDescent="0.35">
      <c r="B49" s="607"/>
      <c r="G49" s="569"/>
      <c r="H49" s="113"/>
    </row>
    <row r="50" spans="2:8" x14ac:dyDescent="0.35">
      <c r="B50" s="239" t="str">
        <f>'kt info'!B55</f>
        <v>Enter Periodical Service 8</v>
      </c>
      <c r="C50" s="558">
        <f>Periodics!C826</f>
        <v>0</v>
      </c>
      <c r="D50" t="s">
        <v>131</v>
      </c>
      <c r="E50" s="558">
        <f>Periodics!C828</f>
        <v>0</v>
      </c>
      <c r="F50" t="s">
        <v>129</v>
      </c>
      <c r="G50" s="568">
        <f>IF(C50=0,0,(Periodics!C824/Periodics!I822/'kt info'!G55))</f>
        <v>0</v>
      </c>
      <c r="H50" t="s">
        <v>273</v>
      </c>
    </row>
    <row r="51" spans="2:8" ht="5.15" customHeight="1" x14ac:dyDescent="0.35">
      <c r="B51" s="2"/>
    </row>
    <row r="52" spans="2:8" x14ac:dyDescent="0.35">
      <c r="B52" s="98" t="str">
        <f>'kt info'!B57</f>
        <v>Enter Periodical Service 9</v>
      </c>
      <c r="C52" s="558">
        <f>Periodics!C884</f>
        <v>0</v>
      </c>
      <c r="D52" t="s">
        <v>131</v>
      </c>
      <c r="E52" s="558">
        <f>Periodics!C886</f>
        <v>0</v>
      </c>
      <c r="F52" t="s">
        <v>129</v>
      </c>
      <c r="G52" s="568">
        <f>IF(C52=0,0,(Periodics!C882/Periodics!I880/'kt info'!G57))</f>
        <v>0</v>
      </c>
      <c r="H52" t="s">
        <v>273</v>
      </c>
    </row>
    <row r="53" spans="2:8" ht="5.15" customHeight="1" x14ac:dyDescent="0.35">
      <c r="B53" s="2"/>
      <c r="G53" s="569"/>
      <c r="H53" s="113"/>
    </row>
    <row r="54" spans="2:8" x14ac:dyDescent="0.35">
      <c r="B54" s="98" t="str">
        <f>'kt info'!B59</f>
        <v>Enter Periodical Service 10</v>
      </c>
      <c r="C54" s="558">
        <f>Periodics!C942</f>
        <v>0</v>
      </c>
      <c r="D54" t="s">
        <v>131</v>
      </c>
      <c r="E54" s="558">
        <f>Periodics!C944</f>
        <v>0</v>
      </c>
      <c r="F54" t="s">
        <v>129</v>
      </c>
      <c r="G54" s="568">
        <f>IF(C54=0,0,(Periodics!C940/Periodics!I938/'kt info'!G59))</f>
        <v>0</v>
      </c>
      <c r="H54" t="s">
        <v>273</v>
      </c>
    </row>
    <row r="55" spans="2:8" ht="5.15" customHeight="1" x14ac:dyDescent="0.35">
      <c r="B55" s="2"/>
      <c r="G55" s="569"/>
      <c r="H55" s="113"/>
    </row>
    <row r="56" spans="2:8" x14ac:dyDescent="0.35">
      <c r="B56" s="102" t="s">
        <v>3</v>
      </c>
      <c r="C56" s="558">
        <f>'Except,Emer&amp;Day Porter'!F11</f>
        <v>0</v>
      </c>
      <c r="D56" t="s">
        <v>130</v>
      </c>
      <c r="E56" s="1"/>
      <c r="G56" s="572"/>
    </row>
    <row r="57" spans="2:8" ht="5.15" customHeight="1" x14ac:dyDescent="0.35">
      <c r="B57" s="2"/>
      <c r="G57" s="569"/>
      <c r="H57" s="113"/>
    </row>
    <row r="58" spans="2:8" x14ac:dyDescent="0.35">
      <c r="B58" s="56" t="s">
        <v>4</v>
      </c>
      <c r="C58" s="558">
        <f>'Except,Emer&amp;Day Porter'!F23</f>
        <v>0</v>
      </c>
      <c r="D58" t="s">
        <v>130</v>
      </c>
      <c r="E58" s="1"/>
      <c r="G58" s="572"/>
    </row>
  </sheetData>
  <sheetProtection algorithmName="SHA-512" hashValue="Ix1AEQAl1Ici0AeR/y4FlFyggpBCQw9r+LA/cP6bpSm39R18A7IQj0QwTkh448R7hNgXm2586R/I+QUJqjgdAw==" saltValue="frmuYbOdFcYJQAasuyf+rg==" spinCount="100000" sheet="1" objects="1" scenarios="1"/>
  <mergeCells count="6">
    <mergeCell ref="C3:D3"/>
    <mergeCell ref="C5:D5"/>
    <mergeCell ref="C7:D7"/>
    <mergeCell ref="B1:G1"/>
    <mergeCell ref="C18:G18"/>
    <mergeCell ref="B14:C14"/>
  </mergeCells>
  <conditionalFormatting sqref="G43">
    <cfRule type="cellIs" dxfId="23" priority="30" operator="equal">
      <formula>"B35"</formula>
    </cfRule>
  </conditionalFormatting>
  <conditionalFormatting sqref="J16:J17">
    <cfRule type="cellIs" dxfId="22" priority="35" operator="equal">
      <formula>"Carpet Cleaning, All Floors included"</formula>
    </cfRule>
  </conditionalFormatting>
  <conditionalFormatting sqref="J18">
    <cfRule type="cellIs" dxfId="21" priority="34" operator="equal">
      <formula>"High Traffic Carpet"</formula>
    </cfRule>
  </conditionalFormatting>
  <conditionalFormatting sqref="J21">
    <cfRule type="cellIs" dxfId="20" priority="25" operator="equal">
      <formula>"Window Washing"</formula>
    </cfRule>
  </conditionalFormatting>
  <conditionalFormatting sqref="J23:J27">
    <cfRule type="cellIs" dxfId="19" priority="23" operator="notEqual">
      <formula>"""Does not include"""</formula>
    </cfRule>
  </conditionalFormatting>
  <conditionalFormatting sqref="J28">
    <cfRule type="cellIs" dxfId="18" priority="32" operator="equal">
      <formula>"Day Porter"</formula>
    </cfRule>
  </conditionalFormatting>
  <hyperlinks>
    <hyperlink ref="B56" location="'Except,Emer&amp;Day Porter'!C25" display="Exeptional-Additional Services" xr:uid="{11733C38-EB9D-4636-9D70-699A45057E13}"/>
    <hyperlink ref="B58" location="'Except,Emer&amp;Day Porter'!C40" display="Emergency Services" xr:uid="{6013EE96-F161-4B90-A3E2-FDB8AFB2A6BC}"/>
    <hyperlink ref="B20" location="Periodics!B10" display="Carpet Cleaning, All Carpets" xr:uid="{AE6C0795-7D7E-4983-916F-D5DBFB08A1A7}"/>
    <hyperlink ref="B22" location="Periodics!B67" display="Carpet Cleaning, High Traffic " xr:uid="{BAE2C27E-8542-430D-B9B5-F04FF33CE88F}"/>
    <hyperlink ref="B24" location="Periodics!B125" display="Hard Floor Strip and Wax" xr:uid="{BC669BC9-C02B-4FD3-8267-11895E4AAD2B}"/>
    <hyperlink ref="B28" location="Periodics!B241" display="Window Washing" xr:uid="{CC277082-AD37-4719-8E5F-0354AC64DF52}"/>
    <hyperlink ref="B26" location="Periodics!B183" display="Hard Floor Scrub and Seal" xr:uid="{B89C81F6-7E9A-4FA0-AF97-493C903DF15A}"/>
    <hyperlink ref="B36" location="Periodics!B415" display="Periodics!B415" xr:uid="{987DBFA3-D8E7-4203-B0CC-3CA122A558B6}"/>
    <hyperlink ref="B30" location="Periodics!B299" display="Clean Upholstered Chairs" xr:uid="{9C1797B5-51BD-43E4-86F0-E76365F9AA05}"/>
    <hyperlink ref="B40" location="Periodics!B531" display="Periodics!B531" xr:uid="{705B6565-720A-4186-8D07-05C13844287C}"/>
    <hyperlink ref="B32" location="Periodics!B357" display="High Dusting" xr:uid="{52695FB4-EB3B-426B-AB18-7E246028092A}"/>
    <hyperlink ref="B11" location="'Monthly Janitorial'!B21" display="Monthly Janitorial" xr:uid="{5F0C7E2B-B43E-470A-AD36-1E93B5FF3945}"/>
    <hyperlink ref="I1" location="'kt info'!C3" display="Contract Information" xr:uid="{BF6C5B40-D569-40C8-8D09-6360972E34E7}"/>
    <hyperlink ref="I2" location="'Overhead &amp; Margin'!D10" display="Overhead &amp; Margin" xr:uid="{B5983762-CD6F-4C4B-B236-438E55EB2481}"/>
    <hyperlink ref="I8" location="'Monthly Janitorial'!B21" display="Monthly Janitorial" xr:uid="{08CFD5C8-9051-431B-8BFB-76A3432108C0}"/>
    <hyperlink ref="I9" location="Periodics!B22" display="Periodical Services(Carpets, Hard Floors, Windows, Blinds, other periodical services" xr:uid="{F3FC9A10-AC87-4790-A390-AED1EF21D91D}"/>
    <hyperlink ref="I10" location="'Except,Emer&amp;Day Porter'!H4" display="Exceptional, Emergency and Day Porter Services" xr:uid="{BDAFDEB8-DED9-469F-AFF7-EDEF531AF773}"/>
    <hyperlink ref="I4" location="Supplies!B13" display="Supplies" xr:uid="{DA7981B3-4785-4021-AA3F-F8874B60D75B}"/>
    <hyperlink ref="I5" location="'Equipment List'!B12" display="Equipment" xr:uid="{62A90531-5A81-463A-A0C1-C6A962AFC971}"/>
    <hyperlink ref="I13" location="'Price Approval'!A1" display="Price Approval" xr:uid="{954031F4-1702-47ED-BE61-EC46EA82DA9F}"/>
    <hyperlink ref="I6" location="Subcontractors!B15" display="Subcontractors" xr:uid="{6C970501-361F-4A0E-8063-9C7E0AD8F1E8}"/>
    <hyperlink ref="I3" location="'Pay &amp; Benefits'!C10" display="Wages and Benefits (includes Unemployment and Worker's Compensation" xr:uid="{0784FC1C-657B-405F-9CD5-75288DCB54FE}"/>
    <hyperlink ref="I7" location="Transportation!B6" display="Transportation" xr:uid="{B33ED1B0-CCE5-4030-ADBB-FA74D86B3BA4}"/>
    <hyperlink ref="I11" location="'Summary-pricing'!A1" display="Summary-Pricing" xr:uid="{64891ED9-B038-44B9-860C-D1B03760CC9B}"/>
    <hyperlink ref="B42" location="Periodics!B589" display="Periodics!B589" xr:uid="{32904D17-2CEE-4C43-815D-9C53338AFB29}"/>
    <hyperlink ref="B44" location="Periodics!B647" display="Periodics!B647" xr:uid="{FA3D3EE5-3E6E-42E0-95D4-482F5A1DD660}"/>
    <hyperlink ref="B46" location="Periodics!B705" display="Periodics!B705" xr:uid="{896339E8-B7BC-4EFB-BEB2-AA878B8A018C}"/>
    <hyperlink ref="B48" location="Periodics!B763" display="Periodics!B763" xr:uid="{8C4C80BD-872A-4519-BF5D-EF2AC744A06F}"/>
    <hyperlink ref="B50" location="Periodics!B821" display="Periodics!B821" xr:uid="{FEE805E1-A9E7-442D-9D75-6A84F59A7488}"/>
    <hyperlink ref="B52" location="Periodics!B879" display="Periodics!B879" xr:uid="{C05629FF-6498-49B7-B713-5B98A36F335F}"/>
    <hyperlink ref="B54" location="Periodics!B937" display="Periodics!B937" xr:uid="{7F289428-0769-4242-B39D-4EA6DD10E84F}"/>
    <hyperlink ref="B38" location="Periodics!B473" display="Periodics!B473" xr:uid="{52E9C9D9-DFCC-461E-BA06-D474EA24C1BB}"/>
  </hyperlink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5BFE61D8-E73A-424D-B770-72E0742759E8}">
            <xm:f>'kt info'!$D$21="Yes"</xm:f>
            <x14:dxf>
              <font>
                <color rgb="FFFFFF00"/>
              </font>
              <fill>
                <patternFill>
                  <bgColor rgb="FF00B050"/>
                </patternFill>
              </fill>
            </x14:dxf>
          </x14:cfRule>
          <xm:sqref>B16</xm:sqref>
        </x14:conditionalFormatting>
        <x14:conditionalFormatting xmlns:xm="http://schemas.microsoft.com/office/excel/2006/main">
          <x14:cfRule type="expression" priority="21" id="{27EC14A2-3E8F-4836-BF58-2104E9773C9B}">
            <xm:f>'kt info'!$D$25="Yes"</xm:f>
            <x14:dxf>
              <font>
                <color rgb="FFFFFF00"/>
              </font>
              <fill>
                <patternFill>
                  <bgColor rgb="FF00B050"/>
                </patternFill>
              </fill>
            </x14:dxf>
          </x14:cfRule>
          <xm:sqref>B20</xm:sqref>
        </x14:conditionalFormatting>
        <x14:conditionalFormatting xmlns:xm="http://schemas.microsoft.com/office/excel/2006/main">
          <x14:cfRule type="expression" priority="20" id="{E1D4C7D1-B8F6-46CC-8E68-52A6CFC7EBD1}">
            <xm:f>'kt info'!$D$27="Yes"</xm:f>
            <x14:dxf>
              <font>
                <color rgb="FFFFFF00"/>
              </font>
              <fill>
                <patternFill>
                  <bgColor rgb="FF00B050"/>
                </patternFill>
              </fill>
            </x14:dxf>
          </x14:cfRule>
          <xm:sqref>B22</xm:sqref>
        </x14:conditionalFormatting>
        <x14:conditionalFormatting xmlns:xm="http://schemas.microsoft.com/office/excel/2006/main">
          <x14:cfRule type="expression" priority="19" id="{F12034D9-7104-4194-B1B0-FCE0CCC10A42}">
            <xm:f>'kt info'!$D$29="Yes"</xm:f>
            <x14:dxf>
              <font>
                <color rgb="FFFFFF00"/>
              </font>
              <fill>
                <patternFill>
                  <bgColor rgb="FF00B050"/>
                </patternFill>
              </fill>
            </x14:dxf>
          </x14:cfRule>
          <xm:sqref>B24</xm:sqref>
        </x14:conditionalFormatting>
        <x14:conditionalFormatting xmlns:xm="http://schemas.microsoft.com/office/excel/2006/main">
          <x14:cfRule type="expression" priority="18" id="{22FC9B38-D28E-429B-8B1B-FD78311B4413}">
            <xm:f>'kt info'!$D$31="Yes"</xm:f>
            <x14:dxf>
              <font>
                <color rgb="FFFFFF00"/>
              </font>
              <fill>
                <patternFill>
                  <bgColor rgb="FF00B050"/>
                </patternFill>
              </fill>
            </x14:dxf>
          </x14:cfRule>
          <xm:sqref>B26</xm:sqref>
        </x14:conditionalFormatting>
        <x14:conditionalFormatting xmlns:xm="http://schemas.microsoft.com/office/excel/2006/main">
          <x14:cfRule type="expression" priority="17" id="{FDCC15AC-076E-4F78-93C4-98A8901A1B81}">
            <xm:f>'kt info'!$D$33="Yes"</xm:f>
            <x14:dxf>
              <font>
                <color rgb="FFFFFF00"/>
              </font>
              <fill>
                <patternFill>
                  <bgColor rgb="FF00B050"/>
                </patternFill>
              </fill>
            </x14:dxf>
          </x14:cfRule>
          <xm:sqref>B28</xm:sqref>
        </x14:conditionalFormatting>
        <x14:conditionalFormatting xmlns:xm="http://schemas.microsoft.com/office/excel/2006/main">
          <x14:cfRule type="expression" priority="16" id="{2332BEED-404C-45DA-A2A9-8C3B46E1BA85}">
            <xm:f>'kt info'!$D$35="Yes"</xm:f>
            <x14:dxf>
              <font>
                <color rgb="FFFFFF00"/>
              </font>
              <fill>
                <patternFill>
                  <bgColor rgb="FF00B050"/>
                </patternFill>
              </fill>
            </x14:dxf>
          </x14:cfRule>
          <xm:sqref>B30</xm:sqref>
        </x14:conditionalFormatting>
        <x14:conditionalFormatting xmlns:xm="http://schemas.microsoft.com/office/excel/2006/main">
          <x14:cfRule type="expression" priority="15" id="{56D20897-EE25-43CE-A17F-6C6D72591BB6}">
            <xm:f>'kt info'!$D$37="Yes"</xm:f>
            <x14:dxf>
              <font>
                <color rgb="FFFFFF00"/>
              </font>
              <fill>
                <patternFill>
                  <bgColor rgb="FF00B050"/>
                </patternFill>
              </fill>
            </x14:dxf>
          </x14:cfRule>
          <xm:sqref>B32</xm:sqref>
        </x14:conditionalFormatting>
        <x14:conditionalFormatting xmlns:xm="http://schemas.microsoft.com/office/excel/2006/main">
          <x14:cfRule type="expression" priority="14" id="{A5F57EEF-9177-4B04-BD1C-0D02D607337F}">
            <xm:f>'kt info'!$D$41="Yes"</xm:f>
            <x14:dxf>
              <font>
                <color rgb="FFFFFF00"/>
              </font>
              <fill>
                <patternFill>
                  <bgColor rgb="FF00B050"/>
                </patternFill>
              </fill>
            </x14:dxf>
          </x14:cfRule>
          <xm:sqref>B36</xm:sqref>
        </x14:conditionalFormatting>
        <x14:conditionalFormatting xmlns:xm="http://schemas.microsoft.com/office/excel/2006/main">
          <x14:cfRule type="expression" priority="13" id="{43FCB710-A2CD-48C9-87CC-C5AC26E151BB}">
            <xm:f>'kt info'!$D$43="Yes"</xm:f>
            <x14:dxf>
              <font>
                <color rgb="FFFFFF00"/>
              </font>
              <fill>
                <patternFill>
                  <bgColor rgb="FF00B050"/>
                </patternFill>
              </fill>
            </x14:dxf>
          </x14:cfRule>
          <xm:sqref>B38</xm:sqref>
        </x14:conditionalFormatting>
        <x14:conditionalFormatting xmlns:xm="http://schemas.microsoft.com/office/excel/2006/main">
          <x14:cfRule type="expression" priority="12" id="{3541CB3B-8415-4900-BD20-3FC123D455F2}">
            <xm:f>'kt info'!$D$45="Yes"</xm:f>
            <x14:dxf>
              <font>
                <color rgb="FFFFFF00"/>
              </font>
              <fill>
                <patternFill>
                  <bgColor rgb="FF00B050"/>
                </patternFill>
              </fill>
            </x14:dxf>
          </x14:cfRule>
          <xm:sqref>B40</xm:sqref>
        </x14:conditionalFormatting>
        <x14:conditionalFormatting xmlns:xm="http://schemas.microsoft.com/office/excel/2006/main">
          <x14:cfRule type="expression" priority="5" id="{4F1BE6CF-F178-469D-8F01-309C0EC3364D}">
            <xm:f>'kt info'!$D$47="Yes"</xm:f>
            <x14:dxf>
              <font>
                <color rgb="FFFFFF00"/>
              </font>
              <fill>
                <patternFill>
                  <bgColor rgb="FF00B050"/>
                </patternFill>
              </fill>
            </x14:dxf>
          </x14:cfRule>
          <xm:sqref>B42</xm:sqref>
        </x14:conditionalFormatting>
        <x14:conditionalFormatting xmlns:xm="http://schemas.microsoft.com/office/excel/2006/main">
          <x14:cfRule type="expression" priority="6" id="{1ECFB169-E7A5-4DBB-AB8B-E1E2FF191DCE}">
            <xm:f>'kt info'!$D$49="Yes"</xm:f>
            <x14:dxf>
              <font>
                <color rgb="FFFFFF00"/>
              </font>
              <fill>
                <patternFill>
                  <bgColor rgb="FF00B050"/>
                </patternFill>
              </fill>
            </x14:dxf>
          </x14:cfRule>
          <xm:sqref>B44</xm:sqref>
        </x14:conditionalFormatting>
        <x14:conditionalFormatting xmlns:xm="http://schemas.microsoft.com/office/excel/2006/main">
          <x14:cfRule type="expression" priority="7" id="{43503293-5E5D-4923-AE76-49A2E44C5F51}">
            <xm:f>'kt info'!$D$51="Yes"</xm:f>
            <x14:dxf>
              <font>
                <color rgb="FFFFFF00"/>
              </font>
              <fill>
                <patternFill>
                  <bgColor rgb="FF00B050"/>
                </patternFill>
              </fill>
            </x14:dxf>
          </x14:cfRule>
          <xm:sqref>B46</xm:sqref>
        </x14:conditionalFormatting>
        <x14:conditionalFormatting xmlns:xm="http://schemas.microsoft.com/office/excel/2006/main">
          <x14:cfRule type="expression" priority="9" id="{2A77ABE1-24EB-4383-B00D-9DF8CF2592FC}">
            <xm:f>'kt info'!$D$53="Yes"</xm:f>
            <x14:dxf>
              <font>
                <color rgb="FFFFFF00"/>
              </font>
              <fill>
                <patternFill>
                  <bgColor rgb="FF00B050"/>
                </patternFill>
              </fill>
            </x14:dxf>
          </x14:cfRule>
          <xm:sqref>B48</xm:sqref>
        </x14:conditionalFormatting>
        <x14:conditionalFormatting xmlns:xm="http://schemas.microsoft.com/office/excel/2006/main">
          <x14:cfRule type="expression" priority="8" id="{6463348A-E5FA-499D-9924-D3A8FBA0E174}">
            <xm:f>'kt info'!$D$55="Yes"</xm:f>
            <x14:dxf>
              <font>
                <color rgb="FFFFFF00"/>
              </font>
              <fill>
                <patternFill>
                  <bgColor rgb="FF00B050"/>
                </patternFill>
              </fill>
            </x14:dxf>
          </x14:cfRule>
          <xm:sqref>B50</xm:sqref>
        </x14:conditionalFormatting>
        <x14:conditionalFormatting xmlns:xm="http://schemas.microsoft.com/office/excel/2006/main">
          <x14:cfRule type="expression" priority="4" id="{DFD6D892-55E5-4EC9-9DDE-823AF82CCDC4}">
            <xm:f>'kt info'!$D$57="Yes"</xm:f>
            <x14:dxf>
              <font>
                <color rgb="FFFFFF00"/>
              </font>
              <fill>
                <patternFill>
                  <bgColor rgb="FF00B050"/>
                </patternFill>
              </fill>
            </x14:dxf>
          </x14:cfRule>
          <xm:sqref>B52</xm:sqref>
        </x14:conditionalFormatting>
        <x14:conditionalFormatting xmlns:xm="http://schemas.microsoft.com/office/excel/2006/main">
          <x14:cfRule type="expression" priority="3" id="{001F5B0E-480E-4A75-88FE-6BCCC05B5750}">
            <xm:f>'kt info'!$D$59="Yes"</xm:f>
            <x14:dxf>
              <font>
                <color rgb="FFFFFF00"/>
              </font>
              <fill>
                <patternFill>
                  <bgColor rgb="FF00B050"/>
                </patternFill>
              </fill>
            </x14:dxf>
          </x14:cfRule>
          <xm:sqref>B54</xm:sqref>
        </x14:conditionalFormatting>
      </x14:conditionalFormatting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6AAC53-6A43-4165-809B-47452DBD3E25}">
  <sheetPr>
    <pageSetUpPr fitToPage="1"/>
  </sheetPr>
  <dimension ref="A1:J53"/>
  <sheetViews>
    <sheetView showGridLines="0" workbookViewId="0">
      <selection activeCell="J28" sqref="J28"/>
    </sheetView>
  </sheetViews>
  <sheetFormatPr defaultRowHeight="14.5" x14ac:dyDescent="0.35"/>
  <cols>
    <col min="1" max="1" width="28.81640625" customWidth="1"/>
    <col min="2" max="2" width="41.54296875" style="44" customWidth="1"/>
    <col min="3" max="3" width="19.54296875" style="44" customWidth="1"/>
    <col min="4" max="4" width="12.1796875" style="44" customWidth="1"/>
    <col min="5" max="5" width="19.81640625" style="44" customWidth="1"/>
    <col min="6" max="6" width="10.54296875" style="44" customWidth="1"/>
    <col min="7" max="7" width="10.453125" style="44" customWidth="1"/>
    <col min="8" max="8" width="14" style="494" customWidth="1"/>
    <col min="9" max="9" width="13.453125" customWidth="1"/>
    <col min="10" max="10" width="74" customWidth="1"/>
    <col min="257" max="257" width="44.54296875" customWidth="1"/>
    <col min="258" max="258" width="21.81640625" customWidth="1"/>
    <col min="259" max="259" width="22.1796875" customWidth="1"/>
    <col min="260" max="260" width="14.54296875" customWidth="1"/>
    <col min="261" max="261" width="28.453125" customWidth="1"/>
    <col min="513" max="513" width="44.54296875" customWidth="1"/>
    <col min="514" max="514" width="21.81640625" customWidth="1"/>
    <col min="515" max="515" width="22.1796875" customWidth="1"/>
    <col min="516" max="516" width="14.54296875" customWidth="1"/>
    <col min="517" max="517" width="28.453125" customWidth="1"/>
    <col min="769" max="769" width="44.54296875" customWidth="1"/>
    <col min="770" max="770" width="21.81640625" customWidth="1"/>
    <col min="771" max="771" width="22.1796875" customWidth="1"/>
    <col min="772" max="772" width="14.54296875" customWidth="1"/>
    <col min="773" max="773" width="28.453125" customWidth="1"/>
    <col min="1025" max="1025" width="44.54296875" customWidth="1"/>
    <col min="1026" max="1026" width="21.81640625" customWidth="1"/>
    <col min="1027" max="1027" width="22.1796875" customWidth="1"/>
    <col min="1028" max="1028" width="14.54296875" customWidth="1"/>
    <col min="1029" max="1029" width="28.453125" customWidth="1"/>
    <col min="1281" max="1281" width="44.54296875" customWidth="1"/>
    <col min="1282" max="1282" width="21.81640625" customWidth="1"/>
    <col min="1283" max="1283" width="22.1796875" customWidth="1"/>
    <col min="1284" max="1284" width="14.54296875" customWidth="1"/>
    <col min="1285" max="1285" width="28.453125" customWidth="1"/>
    <col min="1537" max="1537" width="44.54296875" customWidth="1"/>
    <col min="1538" max="1538" width="21.81640625" customWidth="1"/>
    <col min="1539" max="1539" width="22.1796875" customWidth="1"/>
    <col min="1540" max="1540" width="14.54296875" customWidth="1"/>
    <col min="1541" max="1541" width="28.453125" customWidth="1"/>
    <col min="1793" max="1793" width="44.54296875" customWidth="1"/>
    <col min="1794" max="1794" width="21.81640625" customWidth="1"/>
    <col min="1795" max="1795" width="22.1796875" customWidth="1"/>
    <col min="1796" max="1796" width="14.54296875" customWidth="1"/>
    <col min="1797" max="1797" width="28.453125" customWidth="1"/>
    <col min="2049" max="2049" width="44.54296875" customWidth="1"/>
    <col min="2050" max="2050" width="21.81640625" customWidth="1"/>
    <col min="2051" max="2051" width="22.1796875" customWidth="1"/>
    <col min="2052" max="2052" width="14.54296875" customWidth="1"/>
    <col min="2053" max="2053" width="28.453125" customWidth="1"/>
    <col min="2305" max="2305" width="44.54296875" customWidth="1"/>
    <col min="2306" max="2306" width="21.81640625" customWidth="1"/>
    <col min="2307" max="2307" width="22.1796875" customWidth="1"/>
    <col min="2308" max="2308" width="14.54296875" customWidth="1"/>
    <col min="2309" max="2309" width="28.453125" customWidth="1"/>
    <col min="2561" max="2561" width="44.54296875" customWidth="1"/>
    <col min="2562" max="2562" width="21.81640625" customWidth="1"/>
    <col min="2563" max="2563" width="22.1796875" customWidth="1"/>
    <col min="2564" max="2564" width="14.54296875" customWidth="1"/>
    <col min="2565" max="2565" width="28.453125" customWidth="1"/>
    <col min="2817" max="2817" width="44.54296875" customWidth="1"/>
    <col min="2818" max="2818" width="21.81640625" customWidth="1"/>
    <col min="2819" max="2819" width="22.1796875" customWidth="1"/>
    <col min="2820" max="2820" width="14.54296875" customWidth="1"/>
    <col min="2821" max="2821" width="28.453125" customWidth="1"/>
    <col min="3073" max="3073" width="44.54296875" customWidth="1"/>
    <col min="3074" max="3074" width="21.81640625" customWidth="1"/>
    <col min="3075" max="3075" width="22.1796875" customWidth="1"/>
    <col min="3076" max="3076" width="14.54296875" customWidth="1"/>
    <col min="3077" max="3077" width="28.453125" customWidth="1"/>
    <col min="3329" max="3329" width="44.54296875" customWidth="1"/>
    <col min="3330" max="3330" width="21.81640625" customWidth="1"/>
    <col min="3331" max="3331" width="22.1796875" customWidth="1"/>
    <col min="3332" max="3332" width="14.54296875" customWidth="1"/>
    <col min="3333" max="3333" width="28.453125" customWidth="1"/>
    <col min="3585" max="3585" width="44.54296875" customWidth="1"/>
    <col min="3586" max="3586" width="21.81640625" customWidth="1"/>
    <col min="3587" max="3587" width="22.1796875" customWidth="1"/>
    <col min="3588" max="3588" width="14.54296875" customWidth="1"/>
    <col min="3589" max="3589" width="28.453125" customWidth="1"/>
    <col min="3841" max="3841" width="44.54296875" customWidth="1"/>
    <col min="3842" max="3842" width="21.81640625" customWidth="1"/>
    <col min="3843" max="3843" width="22.1796875" customWidth="1"/>
    <col min="3844" max="3844" width="14.54296875" customWidth="1"/>
    <col min="3845" max="3845" width="28.453125" customWidth="1"/>
    <col min="4097" max="4097" width="44.54296875" customWidth="1"/>
    <col min="4098" max="4098" width="21.81640625" customWidth="1"/>
    <col min="4099" max="4099" width="22.1796875" customWidth="1"/>
    <col min="4100" max="4100" width="14.54296875" customWidth="1"/>
    <col min="4101" max="4101" width="28.453125" customWidth="1"/>
    <col min="4353" max="4353" width="44.54296875" customWidth="1"/>
    <col min="4354" max="4354" width="21.81640625" customWidth="1"/>
    <col min="4355" max="4355" width="22.1796875" customWidth="1"/>
    <col min="4356" max="4356" width="14.54296875" customWidth="1"/>
    <col min="4357" max="4357" width="28.453125" customWidth="1"/>
    <col min="4609" max="4609" width="44.54296875" customWidth="1"/>
    <col min="4610" max="4610" width="21.81640625" customWidth="1"/>
    <col min="4611" max="4611" width="22.1796875" customWidth="1"/>
    <col min="4612" max="4612" width="14.54296875" customWidth="1"/>
    <col min="4613" max="4613" width="28.453125" customWidth="1"/>
    <col min="4865" max="4865" width="44.54296875" customWidth="1"/>
    <col min="4866" max="4866" width="21.81640625" customWidth="1"/>
    <col min="4867" max="4867" width="22.1796875" customWidth="1"/>
    <col min="4868" max="4868" width="14.54296875" customWidth="1"/>
    <col min="4869" max="4869" width="28.453125" customWidth="1"/>
    <col min="5121" max="5121" width="44.54296875" customWidth="1"/>
    <col min="5122" max="5122" width="21.81640625" customWidth="1"/>
    <col min="5123" max="5123" width="22.1796875" customWidth="1"/>
    <col min="5124" max="5124" width="14.54296875" customWidth="1"/>
    <col min="5125" max="5125" width="28.453125" customWidth="1"/>
    <col min="5377" max="5377" width="44.54296875" customWidth="1"/>
    <col min="5378" max="5378" width="21.81640625" customWidth="1"/>
    <col min="5379" max="5379" width="22.1796875" customWidth="1"/>
    <col min="5380" max="5380" width="14.54296875" customWidth="1"/>
    <col min="5381" max="5381" width="28.453125" customWidth="1"/>
    <col min="5633" max="5633" width="44.54296875" customWidth="1"/>
    <col min="5634" max="5634" width="21.81640625" customWidth="1"/>
    <col min="5635" max="5635" width="22.1796875" customWidth="1"/>
    <col min="5636" max="5636" width="14.54296875" customWidth="1"/>
    <col min="5637" max="5637" width="28.453125" customWidth="1"/>
    <col min="5889" max="5889" width="44.54296875" customWidth="1"/>
    <col min="5890" max="5890" width="21.81640625" customWidth="1"/>
    <col min="5891" max="5891" width="22.1796875" customWidth="1"/>
    <col min="5892" max="5892" width="14.54296875" customWidth="1"/>
    <col min="5893" max="5893" width="28.453125" customWidth="1"/>
    <col min="6145" max="6145" width="44.54296875" customWidth="1"/>
    <col min="6146" max="6146" width="21.81640625" customWidth="1"/>
    <col min="6147" max="6147" width="22.1796875" customWidth="1"/>
    <col min="6148" max="6148" width="14.54296875" customWidth="1"/>
    <col min="6149" max="6149" width="28.453125" customWidth="1"/>
    <col min="6401" max="6401" width="44.54296875" customWidth="1"/>
    <col min="6402" max="6402" width="21.81640625" customWidth="1"/>
    <col min="6403" max="6403" width="22.1796875" customWidth="1"/>
    <col min="6404" max="6404" width="14.54296875" customWidth="1"/>
    <col min="6405" max="6405" width="28.453125" customWidth="1"/>
    <col min="6657" max="6657" width="44.54296875" customWidth="1"/>
    <col min="6658" max="6658" width="21.81640625" customWidth="1"/>
    <col min="6659" max="6659" width="22.1796875" customWidth="1"/>
    <col min="6660" max="6660" width="14.54296875" customWidth="1"/>
    <col min="6661" max="6661" width="28.453125" customWidth="1"/>
    <col min="6913" max="6913" width="44.54296875" customWidth="1"/>
    <col min="6914" max="6914" width="21.81640625" customWidth="1"/>
    <col min="6915" max="6915" width="22.1796875" customWidth="1"/>
    <col min="6916" max="6916" width="14.54296875" customWidth="1"/>
    <col min="6917" max="6917" width="28.453125" customWidth="1"/>
    <col min="7169" max="7169" width="44.54296875" customWidth="1"/>
    <col min="7170" max="7170" width="21.81640625" customWidth="1"/>
    <col min="7171" max="7171" width="22.1796875" customWidth="1"/>
    <col min="7172" max="7172" width="14.54296875" customWidth="1"/>
    <col min="7173" max="7173" width="28.453125" customWidth="1"/>
    <col min="7425" max="7425" width="44.54296875" customWidth="1"/>
    <col min="7426" max="7426" width="21.81640625" customWidth="1"/>
    <col min="7427" max="7427" width="22.1796875" customWidth="1"/>
    <col min="7428" max="7428" width="14.54296875" customWidth="1"/>
    <col min="7429" max="7429" width="28.453125" customWidth="1"/>
    <col min="7681" max="7681" width="44.54296875" customWidth="1"/>
    <col min="7682" max="7682" width="21.81640625" customWidth="1"/>
    <col min="7683" max="7683" width="22.1796875" customWidth="1"/>
    <col min="7684" max="7684" width="14.54296875" customWidth="1"/>
    <col min="7685" max="7685" width="28.453125" customWidth="1"/>
    <col min="7937" max="7937" width="44.54296875" customWidth="1"/>
    <col min="7938" max="7938" width="21.81640625" customWidth="1"/>
    <col min="7939" max="7939" width="22.1796875" customWidth="1"/>
    <col min="7940" max="7940" width="14.54296875" customWidth="1"/>
    <col min="7941" max="7941" width="28.453125" customWidth="1"/>
    <col min="8193" max="8193" width="44.54296875" customWidth="1"/>
    <col min="8194" max="8194" width="21.81640625" customWidth="1"/>
    <col min="8195" max="8195" width="22.1796875" customWidth="1"/>
    <col min="8196" max="8196" width="14.54296875" customWidth="1"/>
    <col min="8197" max="8197" width="28.453125" customWidth="1"/>
    <col min="8449" max="8449" width="44.54296875" customWidth="1"/>
    <col min="8450" max="8450" width="21.81640625" customWidth="1"/>
    <col min="8451" max="8451" width="22.1796875" customWidth="1"/>
    <col min="8452" max="8452" width="14.54296875" customWidth="1"/>
    <col min="8453" max="8453" width="28.453125" customWidth="1"/>
    <col min="8705" max="8705" width="44.54296875" customWidth="1"/>
    <col min="8706" max="8706" width="21.81640625" customWidth="1"/>
    <col min="8707" max="8707" width="22.1796875" customWidth="1"/>
    <col min="8708" max="8708" width="14.54296875" customWidth="1"/>
    <col min="8709" max="8709" width="28.453125" customWidth="1"/>
    <col min="8961" max="8961" width="44.54296875" customWidth="1"/>
    <col min="8962" max="8962" width="21.81640625" customWidth="1"/>
    <col min="8963" max="8963" width="22.1796875" customWidth="1"/>
    <col min="8964" max="8964" width="14.54296875" customWidth="1"/>
    <col min="8965" max="8965" width="28.453125" customWidth="1"/>
    <col min="9217" max="9217" width="44.54296875" customWidth="1"/>
    <col min="9218" max="9218" width="21.81640625" customWidth="1"/>
    <col min="9219" max="9219" width="22.1796875" customWidth="1"/>
    <col min="9220" max="9220" width="14.54296875" customWidth="1"/>
    <col min="9221" max="9221" width="28.453125" customWidth="1"/>
    <col min="9473" max="9473" width="44.54296875" customWidth="1"/>
    <col min="9474" max="9474" width="21.81640625" customWidth="1"/>
    <col min="9475" max="9475" width="22.1796875" customWidth="1"/>
    <col min="9476" max="9476" width="14.54296875" customWidth="1"/>
    <col min="9477" max="9477" width="28.453125" customWidth="1"/>
    <col min="9729" max="9729" width="44.54296875" customWidth="1"/>
    <col min="9730" max="9730" width="21.81640625" customWidth="1"/>
    <col min="9731" max="9731" width="22.1796875" customWidth="1"/>
    <col min="9732" max="9732" width="14.54296875" customWidth="1"/>
    <col min="9733" max="9733" width="28.453125" customWidth="1"/>
    <col min="9985" max="9985" width="44.54296875" customWidth="1"/>
    <col min="9986" max="9986" width="21.81640625" customWidth="1"/>
    <col min="9987" max="9987" width="22.1796875" customWidth="1"/>
    <col min="9988" max="9988" width="14.54296875" customWidth="1"/>
    <col min="9989" max="9989" width="28.453125" customWidth="1"/>
    <col min="10241" max="10241" width="44.54296875" customWidth="1"/>
    <col min="10242" max="10242" width="21.81640625" customWidth="1"/>
    <col min="10243" max="10243" width="22.1796875" customWidth="1"/>
    <col min="10244" max="10244" width="14.54296875" customWidth="1"/>
    <col min="10245" max="10245" width="28.453125" customWidth="1"/>
    <col min="10497" max="10497" width="44.54296875" customWidth="1"/>
    <col min="10498" max="10498" width="21.81640625" customWidth="1"/>
    <col min="10499" max="10499" width="22.1796875" customWidth="1"/>
    <col min="10500" max="10500" width="14.54296875" customWidth="1"/>
    <col min="10501" max="10501" width="28.453125" customWidth="1"/>
    <col min="10753" max="10753" width="44.54296875" customWidth="1"/>
    <col min="10754" max="10754" width="21.81640625" customWidth="1"/>
    <col min="10755" max="10755" width="22.1796875" customWidth="1"/>
    <col min="10756" max="10756" width="14.54296875" customWidth="1"/>
    <col min="10757" max="10757" width="28.453125" customWidth="1"/>
    <col min="11009" max="11009" width="44.54296875" customWidth="1"/>
    <col min="11010" max="11010" width="21.81640625" customWidth="1"/>
    <col min="11011" max="11011" width="22.1796875" customWidth="1"/>
    <col min="11012" max="11012" width="14.54296875" customWidth="1"/>
    <col min="11013" max="11013" width="28.453125" customWidth="1"/>
    <col min="11265" max="11265" width="44.54296875" customWidth="1"/>
    <col min="11266" max="11266" width="21.81640625" customWidth="1"/>
    <col min="11267" max="11267" width="22.1796875" customWidth="1"/>
    <col min="11268" max="11268" width="14.54296875" customWidth="1"/>
    <col min="11269" max="11269" width="28.453125" customWidth="1"/>
    <col min="11521" max="11521" width="44.54296875" customWidth="1"/>
    <col min="11522" max="11522" width="21.81640625" customWidth="1"/>
    <col min="11523" max="11523" width="22.1796875" customWidth="1"/>
    <col min="11524" max="11524" width="14.54296875" customWidth="1"/>
    <col min="11525" max="11525" width="28.453125" customWidth="1"/>
    <col min="11777" max="11777" width="44.54296875" customWidth="1"/>
    <col min="11778" max="11778" width="21.81640625" customWidth="1"/>
    <col min="11779" max="11779" width="22.1796875" customWidth="1"/>
    <col min="11780" max="11780" width="14.54296875" customWidth="1"/>
    <col min="11781" max="11781" width="28.453125" customWidth="1"/>
    <col min="12033" max="12033" width="44.54296875" customWidth="1"/>
    <col min="12034" max="12034" width="21.81640625" customWidth="1"/>
    <col min="12035" max="12035" width="22.1796875" customWidth="1"/>
    <col min="12036" max="12036" width="14.54296875" customWidth="1"/>
    <col min="12037" max="12037" width="28.453125" customWidth="1"/>
    <col min="12289" max="12289" width="44.54296875" customWidth="1"/>
    <col min="12290" max="12290" width="21.81640625" customWidth="1"/>
    <col min="12291" max="12291" width="22.1796875" customWidth="1"/>
    <col min="12292" max="12292" width="14.54296875" customWidth="1"/>
    <col min="12293" max="12293" width="28.453125" customWidth="1"/>
    <col min="12545" max="12545" width="44.54296875" customWidth="1"/>
    <col min="12546" max="12546" width="21.81640625" customWidth="1"/>
    <col min="12547" max="12547" width="22.1796875" customWidth="1"/>
    <col min="12548" max="12548" width="14.54296875" customWidth="1"/>
    <col min="12549" max="12549" width="28.453125" customWidth="1"/>
    <col min="12801" max="12801" width="44.54296875" customWidth="1"/>
    <col min="12802" max="12802" width="21.81640625" customWidth="1"/>
    <col min="12803" max="12803" width="22.1796875" customWidth="1"/>
    <col min="12804" max="12804" width="14.54296875" customWidth="1"/>
    <col min="12805" max="12805" width="28.453125" customWidth="1"/>
    <col min="13057" max="13057" width="44.54296875" customWidth="1"/>
    <col min="13058" max="13058" width="21.81640625" customWidth="1"/>
    <col min="13059" max="13059" width="22.1796875" customWidth="1"/>
    <col min="13060" max="13060" width="14.54296875" customWidth="1"/>
    <col min="13061" max="13061" width="28.453125" customWidth="1"/>
    <col min="13313" max="13313" width="44.54296875" customWidth="1"/>
    <col min="13314" max="13314" width="21.81640625" customWidth="1"/>
    <col min="13315" max="13315" width="22.1796875" customWidth="1"/>
    <col min="13316" max="13316" width="14.54296875" customWidth="1"/>
    <col min="13317" max="13317" width="28.453125" customWidth="1"/>
    <col min="13569" max="13569" width="44.54296875" customWidth="1"/>
    <col min="13570" max="13570" width="21.81640625" customWidth="1"/>
    <col min="13571" max="13571" width="22.1796875" customWidth="1"/>
    <col min="13572" max="13572" width="14.54296875" customWidth="1"/>
    <col min="13573" max="13573" width="28.453125" customWidth="1"/>
    <col min="13825" max="13825" width="44.54296875" customWidth="1"/>
    <col min="13826" max="13826" width="21.81640625" customWidth="1"/>
    <col min="13827" max="13827" width="22.1796875" customWidth="1"/>
    <col min="13828" max="13828" width="14.54296875" customWidth="1"/>
    <col min="13829" max="13829" width="28.453125" customWidth="1"/>
    <col min="14081" max="14081" width="44.54296875" customWidth="1"/>
    <col min="14082" max="14082" width="21.81640625" customWidth="1"/>
    <col min="14083" max="14083" width="22.1796875" customWidth="1"/>
    <col min="14084" max="14084" width="14.54296875" customWidth="1"/>
    <col min="14085" max="14085" width="28.453125" customWidth="1"/>
    <col min="14337" max="14337" width="44.54296875" customWidth="1"/>
    <col min="14338" max="14338" width="21.81640625" customWidth="1"/>
    <col min="14339" max="14339" width="22.1796875" customWidth="1"/>
    <col min="14340" max="14340" width="14.54296875" customWidth="1"/>
    <col min="14341" max="14341" width="28.453125" customWidth="1"/>
    <col min="14593" max="14593" width="44.54296875" customWidth="1"/>
    <col min="14594" max="14594" width="21.81640625" customWidth="1"/>
    <col min="14595" max="14595" width="22.1796875" customWidth="1"/>
    <col min="14596" max="14596" width="14.54296875" customWidth="1"/>
    <col min="14597" max="14597" width="28.453125" customWidth="1"/>
    <col min="14849" max="14849" width="44.54296875" customWidth="1"/>
    <col min="14850" max="14850" width="21.81640625" customWidth="1"/>
    <col min="14851" max="14851" width="22.1796875" customWidth="1"/>
    <col min="14852" max="14852" width="14.54296875" customWidth="1"/>
    <col min="14853" max="14853" width="28.453125" customWidth="1"/>
    <col min="15105" max="15105" width="44.54296875" customWidth="1"/>
    <col min="15106" max="15106" width="21.81640625" customWidth="1"/>
    <col min="15107" max="15107" width="22.1796875" customWidth="1"/>
    <col min="15108" max="15108" width="14.54296875" customWidth="1"/>
    <col min="15109" max="15109" width="28.453125" customWidth="1"/>
    <col min="15361" max="15361" width="44.54296875" customWidth="1"/>
    <col min="15362" max="15362" width="21.81640625" customWidth="1"/>
    <col min="15363" max="15363" width="22.1796875" customWidth="1"/>
    <col min="15364" max="15364" width="14.54296875" customWidth="1"/>
    <col min="15365" max="15365" width="28.453125" customWidth="1"/>
    <col min="15617" max="15617" width="44.54296875" customWidth="1"/>
    <col min="15618" max="15618" width="21.81640625" customWidth="1"/>
    <col min="15619" max="15619" width="22.1796875" customWidth="1"/>
    <col min="15620" max="15620" width="14.54296875" customWidth="1"/>
    <col min="15621" max="15621" width="28.453125" customWidth="1"/>
    <col min="15873" max="15873" width="44.54296875" customWidth="1"/>
    <col min="15874" max="15874" width="21.81640625" customWidth="1"/>
    <col min="15875" max="15875" width="22.1796875" customWidth="1"/>
    <col min="15876" max="15876" width="14.54296875" customWidth="1"/>
    <col min="15877" max="15877" width="28.453125" customWidth="1"/>
    <col min="16129" max="16129" width="44.54296875" customWidth="1"/>
    <col min="16130" max="16130" width="21.81640625" customWidth="1"/>
    <col min="16131" max="16131" width="22.1796875" customWidth="1"/>
    <col min="16132" max="16132" width="14.54296875" customWidth="1"/>
    <col min="16133" max="16133" width="28.453125" customWidth="1"/>
  </cols>
  <sheetData>
    <row r="1" spans="1:10" ht="10" customHeight="1" x14ac:dyDescent="0.35"/>
    <row r="2" spans="1:10" ht="20.149999999999999" customHeight="1" x14ac:dyDescent="0.35">
      <c r="B2" s="861" t="s">
        <v>214</v>
      </c>
      <c r="C2" s="861"/>
      <c r="D2" s="862"/>
      <c r="E2" s="862"/>
      <c r="F2" s="862"/>
      <c r="G2" s="862"/>
      <c r="H2" s="862"/>
      <c r="I2" s="20" t="s">
        <v>133</v>
      </c>
      <c r="J2" s="329" t="s">
        <v>134</v>
      </c>
    </row>
    <row r="3" spans="1:10" ht="14.5" customHeight="1" x14ac:dyDescent="0.35">
      <c r="B3" s="861" t="s">
        <v>215</v>
      </c>
      <c r="C3" s="861"/>
      <c r="D3" s="862"/>
      <c r="E3" s="862"/>
      <c r="F3" s="862"/>
      <c r="G3" s="862"/>
      <c r="H3" s="862"/>
      <c r="J3" s="329" t="s">
        <v>259</v>
      </c>
    </row>
    <row r="4" spans="1:10" ht="14.5" customHeight="1" x14ac:dyDescent="0.35">
      <c r="B4" s="861" t="s">
        <v>216</v>
      </c>
      <c r="C4" s="861"/>
      <c r="D4" s="862"/>
      <c r="E4" s="862"/>
      <c r="F4" s="862"/>
      <c r="G4" s="862"/>
      <c r="H4" s="862"/>
      <c r="J4" s="329" t="s">
        <v>260</v>
      </c>
    </row>
    <row r="5" spans="1:10" ht="14.5" customHeight="1" x14ac:dyDescent="0.35">
      <c r="J5" s="329" t="s">
        <v>80</v>
      </c>
    </row>
    <row r="6" spans="1:10" ht="15.5" x14ac:dyDescent="0.35">
      <c r="B6" s="491" t="s">
        <v>217</v>
      </c>
      <c r="C6" s="850" t="str">
        <f>IF('kt info'!C7=0," ",'kt info'!C7)</f>
        <v xml:space="preserve"> </v>
      </c>
      <c r="D6" s="850"/>
      <c r="E6" s="851"/>
      <c r="F6" s="851"/>
      <c r="G6" s="492"/>
      <c r="H6" s="223"/>
      <c r="J6" s="329" t="s">
        <v>15</v>
      </c>
    </row>
    <row r="7" spans="1:10" ht="15.5" x14ac:dyDescent="0.35">
      <c r="B7" s="491" t="s">
        <v>218</v>
      </c>
      <c r="C7" s="850" t="str">
        <f>IF('kt info'!C5=0," ",'kt info'!C3)</f>
        <v xml:space="preserve"> </v>
      </c>
      <c r="D7" s="850"/>
      <c r="E7" s="851"/>
      <c r="F7" s="851"/>
      <c r="G7" s="492"/>
      <c r="H7" s="223"/>
      <c r="J7" s="329" t="s">
        <v>201</v>
      </c>
    </row>
    <row r="8" spans="1:10" ht="15.5" x14ac:dyDescent="0.35">
      <c r="B8" s="491" t="s">
        <v>219</v>
      </c>
      <c r="C8" s="850" t="s">
        <v>229</v>
      </c>
      <c r="D8" s="850"/>
      <c r="E8" s="851"/>
      <c r="F8" s="851"/>
      <c r="G8" s="851"/>
      <c r="H8" s="851"/>
      <c r="J8" s="329" t="s">
        <v>89</v>
      </c>
    </row>
    <row r="9" spans="1:10" ht="15.5" x14ac:dyDescent="0.35">
      <c r="B9" s="493" t="s">
        <v>242</v>
      </c>
      <c r="C9" s="850" t="str">
        <f>IF('kt info'!C5=0," ",'kt info'!C5)</f>
        <v xml:space="preserve"> </v>
      </c>
      <c r="D9" s="850"/>
      <c r="E9" s="851"/>
      <c r="F9" s="851"/>
      <c r="G9" s="492"/>
      <c r="H9" s="223"/>
      <c r="J9" s="329" t="s">
        <v>2</v>
      </c>
    </row>
    <row r="10" spans="1:10" ht="15" customHeight="1" x14ac:dyDescent="0.35">
      <c r="B10" s="852" t="s">
        <v>220</v>
      </c>
      <c r="C10" s="852"/>
      <c r="D10" s="853"/>
      <c r="E10" s="847"/>
      <c r="F10" s="847"/>
      <c r="J10" s="329" t="s">
        <v>230</v>
      </c>
    </row>
    <row r="11" spans="1:10" ht="13.5" customHeight="1" thickBot="1" x14ac:dyDescent="0.4">
      <c r="B11" s="608" t="str">
        <f>'kt info'!B12</f>
        <v>Form date: 10/24/25</v>
      </c>
      <c r="C11" s="495" t="s">
        <v>221</v>
      </c>
      <c r="J11" s="329" t="s">
        <v>231</v>
      </c>
    </row>
    <row r="12" spans="1:10" ht="22.5" customHeight="1" thickTop="1" thickBot="1" x14ac:dyDescent="0.4">
      <c r="B12" s="237" t="s">
        <v>219</v>
      </c>
      <c r="C12" s="857" t="s">
        <v>305</v>
      </c>
      <c r="D12" s="858"/>
      <c r="E12" s="858"/>
      <c r="F12" s="859"/>
      <c r="G12" s="859"/>
      <c r="H12" s="860"/>
      <c r="J12" s="329" t="s">
        <v>261</v>
      </c>
    </row>
    <row r="13" spans="1:10" s="222" customFormat="1" ht="15.5" x14ac:dyDescent="0.35">
      <c r="A13" s="222" t="str">
        <f>'kt info'!B13</f>
        <v>Monthly Janitorial</v>
      </c>
      <c r="B13" s="612" t="str">
        <f>IF('Summary-pricing'!C13=0," ","Janitorial Services")</f>
        <v xml:space="preserve"> </v>
      </c>
      <c r="C13" s="613" t="str">
        <f>IF('Summary-pricing'!C13=0," ",'Summary-pricing'!C13)</f>
        <v xml:space="preserve"> </v>
      </c>
      <c r="D13" s="614" t="str">
        <f>IF($C$13=" "," ","per month")</f>
        <v xml:space="preserve"> </v>
      </c>
      <c r="E13" s="613" t="str">
        <f>IF('Summary-pricing'!C13=0," ",'Summary-pricing'!C13*12)</f>
        <v xml:space="preserve"> </v>
      </c>
      <c r="F13" s="614" t="str">
        <f>IF($C$13=" "," ","per year")</f>
        <v xml:space="preserve"> </v>
      </c>
      <c r="G13" s="615" t="str">
        <f>IF('kt info'!G13=0," ",('kt info'!G13))</f>
        <v xml:space="preserve"> </v>
      </c>
      <c r="H13" s="616" t="str">
        <f>IF(G13=" "," ","service events/yr")</f>
        <v xml:space="preserve"> </v>
      </c>
      <c r="J13" s="329" t="s">
        <v>232</v>
      </c>
    </row>
    <row r="14" spans="1:10" s="222" customFormat="1" ht="15.5" x14ac:dyDescent="0.35">
      <c r="A14" s="222" t="str">
        <f>'kt info'!B25</f>
        <v>All Carpets</v>
      </c>
      <c r="B14" s="617" t="str">
        <f>IF('Summary-pricing'!C20=0," ",IF('kt info'!D25="Yes","All Carpets Cleaning",'Summary-pricing'!B20))</f>
        <v xml:space="preserve"> </v>
      </c>
      <c r="C14" s="618" t="str">
        <f>IF($B$14=" "," ",IF('kt info'!$D$25="Yes","Included in Monthly Price",'Summary-pricing'!$C$20))</f>
        <v xml:space="preserve"> </v>
      </c>
      <c r="D14" s="619" t="str">
        <f>IF($C$14=" "," ",IF($C$14="Included in Monthly Price"," ","per service"))</f>
        <v xml:space="preserve"> </v>
      </c>
      <c r="E14" s="618" t="str">
        <f>IF($B$14=" "," ",IF('kt info'!$D$25="Yes","Included in Monthly Price",'Summary-pricing'!$C$20*G14))</f>
        <v xml:space="preserve"> </v>
      </c>
      <c r="F14" s="619" t="str">
        <f>IF($C$14=" "," ",IF($C$14="Included in Monthly Price"," ","per year"))</f>
        <v xml:space="preserve"> </v>
      </c>
      <c r="G14" s="620" t="str">
        <f>IF(C14=" "," ",'kt info'!G25)</f>
        <v xml:space="preserve"> </v>
      </c>
      <c r="H14" s="621" t="str">
        <f>IF(G14=" "," ","service events/yr")</f>
        <v xml:space="preserve"> </v>
      </c>
    </row>
    <row r="15" spans="1:10" s="222" customFormat="1" ht="15.5" x14ac:dyDescent="0.35">
      <c r="A15" s="222" t="str">
        <f>'kt info'!B27</f>
        <v>High Traffic Carpet</v>
      </c>
      <c r="B15" s="617" t="str">
        <f>IF('Summary-pricing'!C22=0," ",IF('kt info'!D27="Yes","High Traffic Carpet Cleaning",'Summary-pricing'!B22))</f>
        <v xml:space="preserve"> </v>
      </c>
      <c r="C15" s="618" t="str">
        <f>IF($B$15=" "," ",IF('kt info'!$D$27="Yes","Included in Monthly Price",'Summary-pricing'!$C$22))</f>
        <v xml:space="preserve"> </v>
      </c>
      <c r="D15" s="619" t="str">
        <f>IF($B$15=" "," ",IF(C15="Included in Monthly Price"," ","per service"))</f>
        <v xml:space="preserve"> </v>
      </c>
      <c r="E15" s="618" t="str">
        <f>IF($B$15=" "," ",IF('kt info'!$D$27="Yes","Included in Monthly Price",'Summary-pricing'!$C$22*G15))</f>
        <v xml:space="preserve"> </v>
      </c>
      <c r="F15" s="619" t="str">
        <f>IF($B$15=" "," ",IF(E15="Included in Monthly Price"," ","per year"))</f>
        <v xml:space="preserve"> </v>
      </c>
      <c r="G15" s="620" t="str">
        <f>IF(C15=" "," ",'kt info'!G27)</f>
        <v xml:space="preserve"> </v>
      </c>
      <c r="H15" s="621" t="str">
        <f>IF(G15=" "," ","service events/yr")</f>
        <v xml:space="preserve"> </v>
      </c>
    </row>
    <row r="16" spans="1:10" s="222" customFormat="1" ht="15.5" x14ac:dyDescent="0.35">
      <c r="A16" s="222" t="str">
        <f>'kt info'!B29</f>
        <v>Hard Floor Strip and Wax</v>
      </c>
      <c r="B16" s="617" t="str">
        <f>IF('Summary-pricing'!C24=0," ",IF('kt info'!D29="Yes","Strip &amp; Wax",'Summary-pricing'!B24))</f>
        <v xml:space="preserve"> </v>
      </c>
      <c r="C16" s="618" t="str">
        <f>IF($B$16=" "," ",IF('kt info'!D29="Yes","Included in Monthly Price",'Summary-pricing'!C24))</f>
        <v xml:space="preserve"> </v>
      </c>
      <c r="D16" s="619" t="str">
        <f t="shared" ref="D16:D21" si="0">IF(B16=" "," ",IF(C16="Included in Monthly Price"," ","per service"))</f>
        <v xml:space="preserve"> </v>
      </c>
      <c r="E16" s="618" t="str">
        <f>IF(C16=" "," ",IF('kt info'!D29="Yes","Included in Monthly Price",'Summary-pricing'!C24*G16))</f>
        <v xml:space="preserve"> </v>
      </c>
      <c r="F16" s="619" t="str">
        <f>IF(D16=" "," ",IF(E16=0," ","per year"))</f>
        <v xml:space="preserve"> </v>
      </c>
      <c r="G16" s="620" t="str">
        <f>IF(C16=" "," ",'kt info'!G29)</f>
        <v xml:space="preserve"> </v>
      </c>
      <c r="H16" s="621" t="str">
        <f>IF(G16=" "," ","service events/yr")</f>
        <v xml:space="preserve"> </v>
      </c>
    </row>
    <row r="17" spans="1:8" s="222" customFormat="1" ht="16" thickBot="1" x14ac:dyDescent="0.4">
      <c r="A17" s="222" t="str">
        <f>'kt info'!B31</f>
        <v>Hard Floor Scrub and Seal</v>
      </c>
      <c r="B17" s="622" t="str">
        <f>IF('Summary-pricing'!C26=0," ",IF('kt info'!D31="Yes","Hard Floor strip &amp; seal",'Summary-pricing'!B26))</f>
        <v xml:space="preserve"> </v>
      </c>
      <c r="C17" s="623" t="str">
        <f>IF(B17=" "," ",IF('kt info'!D31="Yes","Included in Monthly Price",'Summary-pricing'!C26))</f>
        <v xml:space="preserve"> </v>
      </c>
      <c r="D17" s="624" t="str">
        <f t="shared" si="0"/>
        <v xml:space="preserve"> </v>
      </c>
      <c r="E17" s="623" t="str">
        <f>IF(C17=" "," ",IF(C17="Included in Monthly Price","Included in Monthly Price",'Summary-pricing'!C26*G17))</f>
        <v xml:space="preserve"> </v>
      </c>
      <c r="F17" s="624" t="str">
        <f>IF(D17=" "," ",IF(E17=0," ","per year"))</f>
        <v xml:space="preserve"> </v>
      </c>
      <c r="G17" s="625" t="str">
        <f>IF(C17=" "," ",'kt info'!G31)</f>
        <v xml:space="preserve"> </v>
      </c>
      <c r="H17" s="626" t="str">
        <f t="shared" ref="H17:H33" si="1">IF(G17=" "," ","service events/yr")</f>
        <v xml:space="preserve"> </v>
      </c>
    </row>
    <row r="18" spans="1:8" s="222" customFormat="1" ht="15.5" x14ac:dyDescent="0.35">
      <c r="A18" s="222" t="str">
        <f>'kt info'!B33</f>
        <v>Window Washing</v>
      </c>
      <c r="B18" s="612" t="str">
        <f>IF('Summary-pricing'!C28=0," ",IF('kt info'!D33="Yes","Window Washing",'Summary-pricing'!B28))</f>
        <v xml:space="preserve"> </v>
      </c>
      <c r="C18" s="613" t="str">
        <f>IF(B18=" "," ",IF('kt info'!D33="Yes","Included in Monthly Price",'Summary-pricing'!C28))</f>
        <v xml:space="preserve"> </v>
      </c>
      <c r="D18" s="614" t="str">
        <f t="shared" si="0"/>
        <v xml:space="preserve"> </v>
      </c>
      <c r="E18" s="613" t="str">
        <f>IF(C18=" "," ",IF(C18="Included in Monthly Price","Included in Monthly Price",'Summary-pricing'!C28*'kt info'!G33))</f>
        <v xml:space="preserve"> </v>
      </c>
      <c r="F18" s="614" t="str">
        <f>IF(D18=" "," ",IF(E18=0," ","per year"))</f>
        <v xml:space="preserve"> </v>
      </c>
      <c r="G18" s="615" t="str">
        <f>IF(C18=" "," ",'kt info'!G33)</f>
        <v xml:space="preserve"> </v>
      </c>
      <c r="H18" s="616" t="str">
        <f t="shared" si="1"/>
        <v xml:space="preserve"> </v>
      </c>
    </row>
    <row r="19" spans="1:8" s="222" customFormat="1" ht="15.5" x14ac:dyDescent="0.35">
      <c r="A19" s="335" t="str">
        <f>'kt info'!B35</f>
        <v>Clean Chairs</v>
      </c>
      <c r="B19" s="617" t="str">
        <f>IF('Summary-pricing'!C30=0," ",IF('kt info'!D35="Yes","Upholstered chair cleaning",'Summary-pricing'!B30))</f>
        <v xml:space="preserve"> </v>
      </c>
      <c r="C19" s="618" t="str">
        <f>IF(B19=" "," ",IF('kt info'!D35="Yes","Included in Monthly Price",'Summary-pricing'!C30))</f>
        <v xml:space="preserve"> </v>
      </c>
      <c r="D19" s="619" t="str">
        <f t="shared" si="0"/>
        <v xml:space="preserve"> </v>
      </c>
      <c r="E19" s="618" t="str">
        <f>IF(C19=" "," ",IF(C19="Included in Monthly Price","Included in Monthly Price",'Summary-pricing'!E30*G19))</f>
        <v xml:space="preserve"> </v>
      </c>
      <c r="F19" s="619" t="str">
        <f>IF(D19=" "," ",IF(E19=0," ","per chair"))</f>
        <v xml:space="preserve"> </v>
      </c>
      <c r="G19" s="620" t="str">
        <f>IF(C19=" "," ",'kt info'!G35)</f>
        <v xml:space="preserve"> </v>
      </c>
      <c r="H19" s="621" t="str">
        <f t="shared" si="1"/>
        <v xml:space="preserve"> </v>
      </c>
    </row>
    <row r="20" spans="1:8" s="222" customFormat="1" ht="15.5" x14ac:dyDescent="0.35">
      <c r="A20" s="222" t="str">
        <f>'kt info'!B37</f>
        <v>High Dusting</v>
      </c>
      <c r="B20" s="617" t="str">
        <f>IF('Summary-pricing'!C32=0," ",IF('kt info'!C37="Yes","High Dusting",'Summary-pricing'!B32))</f>
        <v xml:space="preserve"> </v>
      </c>
      <c r="C20" s="618" t="str">
        <f>IF(B20=" "," ",IF('kt info'!D37="Yes","Included in Monthly Price",'Summary-pricing'!C32))</f>
        <v xml:space="preserve"> </v>
      </c>
      <c r="D20" s="619" t="str">
        <f t="shared" si="0"/>
        <v xml:space="preserve"> </v>
      </c>
      <c r="E20" s="618" t="str">
        <f>IF(C20=" "," ",IF(C20="Included in Monthly Price","Included in Monthly Price",'Summary-pricing'!C30*'kt info'!G37))</f>
        <v xml:space="preserve"> </v>
      </c>
      <c r="F20" s="619" t="str">
        <f t="shared" ref="F20:F26" si="2">IF(D20=" "," ",IF(E20=0," ","per year"))</f>
        <v xml:space="preserve"> </v>
      </c>
      <c r="G20" s="620" t="str">
        <f>IF(C20=" "," ",'kt info'!G37)</f>
        <v xml:space="preserve"> </v>
      </c>
      <c r="H20" s="621" t="str">
        <f t="shared" si="1"/>
        <v xml:space="preserve"> </v>
      </c>
    </row>
    <row r="21" spans="1:8" s="222" customFormat="1" ht="15.5" x14ac:dyDescent="0.35">
      <c r="A21" s="330" t="str">
        <f>Periodics!B415</f>
        <v>Enter Periodical Service 1</v>
      </c>
      <c r="B21" s="617" t="str">
        <f>IF('Summary-pricing'!C36=0," ",IF('kt info'!D41="Yes",A21,'Summary-pricing'!B36))</f>
        <v xml:space="preserve"> </v>
      </c>
      <c r="C21" s="618" t="str">
        <f>IF(B21=" "," ",IF('kt info'!D41="Yes","Included in Monthly Price",'Summary-pricing'!C36))</f>
        <v xml:space="preserve"> </v>
      </c>
      <c r="D21" s="619" t="str">
        <f t="shared" si="0"/>
        <v xml:space="preserve"> </v>
      </c>
      <c r="E21" s="618" t="str">
        <f>IF(C21=" "," ",IF(C21="Included in Monthly Price","Included in Monthly Price",'Summary-pricing'!C36*G21))</f>
        <v xml:space="preserve"> </v>
      </c>
      <c r="F21" s="619" t="str">
        <f t="shared" si="2"/>
        <v xml:space="preserve"> </v>
      </c>
      <c r="G21" s="620" t="str">
        <f>IF(C21=" "," ",'kt info'!G41)</f>
        <v xml:space="preserve"> </v>
      </c>
      <c r="H21" s="621" t="str">
        <f t="shared" si="1"/>
        <v xml:space="preserve"> </v>
      </c>
    </row>
    <row r="22" spans="1:8" s="222" customFormat="1" ht="16" thickBot="1" x14ac:dyDescent="0.4">
      <c r="A22" s="330" t="str">
        <f>Periodics!B473</f>
        <v>Enter Periodical Service 2</v>
      </c>
      <c r="B22" s="622" t="str">
        <f>IF('Summary-pricing'!C38=0," ",IF('kt info'!D43="Yes",A22,'Summary-pricing'!B38))</f>
        <v xml:space="preserve"> </v>
      </c>
      <c r="C22" s="623" t="str">
        <f>IF(B22=" "," ",IF('kt info'!D43="Yes","Included in Monthly Price",'Summary-pricing'!C38))</f>
        <v xml:space="preserve"> </v>
      </c>
      <c r="D22" s="624" t="str">
        <f>IF(B22=" "," ",IF(C22="Included in Monthly Price"," ","per service"))</f>
        <v xml:space="preserve"> </v>
      </c>
      <c r="E22" s="623" t="str">
        <f>IF(C22=" "," ",IF(C22="Included in Monthly Price","Included in Monthly Price",'Summary-pricing'!C38*G22))</f>
        <v xml:space="preserve"> </v>
      </c>
      <c r="F22" s="624" t="str">
        <f t="shared" si="2"/>
        <v xml:space="preserve"> </v>
      </c>
      <c r="G22" s="625" t="str">
        <f>IF(C22=" "," ",'kt info'!G43)</f>
        <v xml:space="preserve"> </v>
      </c>
      <c r="H22" s="626" t="str">
        <f t="shared" si="1"/>
        <v xml:space="preserve"> </v>
      </c>
    </row>
    <row r="23" spans="1:8" s="222" customFormat="1" ht="15.5" x14ac:dyDescent="0.35">
      <c r="A23" s="330" t="str">
        <f>Periodics!B531</f>
        <v>Enter Periodical Service 3</v>
      </c>
      <c r="B23" s="627" t="str">
        <f>IF('Summary-pricing'!C40=0," ",IF('kt info'!D45="Yes",A23,'Summary-pricing'!B40))</f>
        <v xml:space="preserve"> </v>
      </c>
      <c r="C23" s="628" t="str">
        <f>IF(B23=" "," ",IF('kt info'!D45="Yes","Included in Monthly Price",'Summary-pricing'!C40))</f>
        <v xml:space="preserve"> </v>
      </c>
      <c r="D23" s="629" t="str">
        <f>IF(B23=" "," ",IF(C23="Included in Monthly Price"," ","per service"))</f>
        <v xml:space="preserve"> </v>
      </c>
      <c r="E23" s="628" t="str">
        <f>IF(C23=" "," ",IF(C23="Included in Monthly Price","Included in Monthly Price",'Summary-pricing'!C40*G23))</f>
        <v xml:space="preserve"> </v>
      </c>
      <c r="F23" s="629" t="str">
        <f t="shared" si="2"/>
        <v xml:space="preserve"> </v>
      </c>
      <c r="G23" s="630" t="str">
        <f>IF(B23=" "," ",'kt info'!G45)</f>
        <v xml:space="preserve"> </v>
      </c>
      <c r="H23" s="631" t="str">
        <f t="shared" si="1"/>
        <v xml:space="preserve"> </v>
      </c>
    </row>
    <row r="24" spans="1:8" s="222" customFormat="1" ht="15.5" x14ac:dyDescent="0.35">
      <c r="A24" s="330" t="str">
        <f>Periodics!B589</f>
        <v>Enter Periodical Service 4</v>
      </c>
      <c r="B24" s="617" t="str">
        <f>IF('Summary-pricing'!C42=0," ",IF('kt info'!D47="Yes",A24,'Summary-pricing'!B42))</f>
        <v xml:space="preserve"> </v>
      </c>
      <c r="C24" s="632" t="str">
        <f>IF(B24=" "," ",IF('kt info'!D47="Yes","Included in Monthly Price",'Summary-pricing'!C42))</f>
        <v xml:space="preserve"> </v>
      </c>
      <c r="D24" s="633" t="str">
        <f t="shared" ref="D24:D30" si="3">IF(B24=" "," ",IF(C24="Included in Monthly Price"," ","per service"))</f>
        <v xml:space="preserve"> </v>
      </c>
      <c r="E24" s="632" t="str">
        <f>IF(C24=" "," ",IF(C24="Included in Monthly Price","Included in Monthly Price",'Summary-pricing'!C42*G24))</f>
        <v xml:space="preserve"> </v>
      </c>
      <c r="F24" s="633" t="str">
        <f t="shared" si="2"/>
        <v xml:space="preserve"> </v>
      </c>
      <c r="G24" s="634" t="str">
        <f>IF(C24=" "," ",'kt info'!G47)</f>
        <v xml:space="preserve"> </v>
      </c>
      <c r="H24" s="635" t="str">
        <f t="shared" si="1"/>
        <v xml:space="preserve"> </v>
      </c>
    </row>
    <row r="25" spans="1:8" s="222" customFormat="1" ht="15.5" x14ac:dyDescent="0.35">
      <c r="A25" s="330" t="str">
        <f>Periodics!B647</f>
        <v>Enter Periodical Service 5</v>
      </c>
      <c r="B25" s="617" t="str">
        <f>IF('Summary-pricing'!C44=0," ",IF('kt info'!D49="Yes",A25,'Summary-pricing'!B44))</f>
        <v xml:space="preserve"> </v>
      </c>
      <c r="C25" s="632" t="str">
        <f>IF(B25=" "," ",IF('kt info'!D49="Yes","Included in Monthly Price",'Summary-pricing'!C44))</f>
        <v xml:space="preserve"> </v>
      </c>
      <c r="D25" s="633" t="str">
        <f t="shared" si="3"/>
        <v xml:space="preserve"> </v>
      </c>
      <c r="E25" s="632" t="str">
        <f>IF(C25=" "," ",IF(C25="Included in Monthly Price","Included in Monthly Price",'Summary-pricing'!C44*G25))</f>
        <v xml:space="preserve"> </v>
      </c>
      <c r="F25" s="633" t="str">
        <f t="shared" si="2"/>
        <v xml:space="preserve"> </v>
      </c>
      <c r="G25" s="634" t="str">
        <f>IF(C25=" "," ",'kt info'!G49)</f>
        <v xml:space="preserve"> </v>
      </c>
      <c r="H25" s="635" t="str">
        <f t="shared" ref="H25:H26" si="4">IF(G25=" "," ","service events/yr")</f>
        <v xml:space="preserve"> </v>
      </c>
    </row>
    <row r="26" spans="1:8" s="222" customFormat="1" ht="15.5" x14ac:dyDescent="0.35">
      <c r="A26" s="330" t="str">
        <f>Periodics!B705</f>
        <v>Enter Periodical Service 6</v>
      </c>
      <c r="B26" s="617" t="str">
        <f>IF('Summary-pricing'!C46=0," ",IF('kt info'!D51="Yes",A26,'Summary-pricing'!B46))</f>
        <v xml:space="preserve"> </v>
      </c>
      <c r="C26" s="632" t="str">
        <f>IF(B26=" "," ",IF('kt info'!D51="Yes","Included in Monthly Price",'Summary-pricing'!C46))</f>
        <v xml:space="preserve"> </v>
      </c>
      <c r="D26" s="633" t="str">
        <f t="shared" si="3"/>
        <v xml:space="preserve"> </v>
      </c>
      <c r="E26" s="632" t="str">
        <f>IF(C26=" "," ",IF(C26="Included in Monthly Price","Included in Monthly Price",'Summary-pricing'!C46*G26))</f>
        <v xml:space="preserve"> </v>
      </c>
      <c r="F26" s="633" t="str">
        <f t="shared" si="2"/>
        <v xml:space="preserve"> </v>
      </c>
      <c r="G26" s="634" t="str">
        <f>IF(C26=" "," ",'kt info'!G51)</f>
        <v xml:space="preserve"> </v>
      </c>
      <c r="H26" s="635" t="str">
        <f t="shared" si="4"/>
        <v xml:space="preserve"> </v>
      </c>
    </row>
    <row r="27" spans="1:8" s="222" customFormat="1" ht="16" thickBot="1" x14ac:dyDescent="0.4">
      <c r="A27" s="330" t="str">
        <f>Periodics!B763</f>
        <v>Enter Periodical Service 7</v>
      </c>
      <c r="B27" s="622" t="str">
        <f>IF('Summary-pricing'!C48=0," ",IF('kt info'!D53="Yes",A27,'Summary-pricing'!B48))</f>
        <v xml:space="preserve"> </v>
      </c>
      <c r="C27" s="636" t="str">
        <f>IF(B27=" "," ",IF('kt info'!D53="Yes","Included in Monthly Price",'Summary-pricing'!C48))</f>
        <v xml:space="preserve"> </v>
      </c>
      <c r="D27" s="637" t="str">
        <f t="shared" si="3"/>
        <v xml:space="preserve"> </v>
      </c>
      <c r="E27" s="636" t="str">
        <f>IF(C27=" "," ",IF(C27="Included in Monthly Price","Included in Monthly Price",'Summary-pricing'!C48*G27))</f>
        <v xml:space="preserve"> </v>
      </c>
      <c r="F27" s="637" t="str">
        <f t="shared" ref="F27" si="5">IF(D27=" "," ",IF(E27=0," ","per year"))</f>
        <v xml:space="preserve"> </v>
      </c>
      <c r="G27" s="638" t="str">
        <f>IF(C27=" "," ",'kt info'!G53)</f>
        <v xml:space="preserve"> </v>
      </c>
      <c r="H27" s="639" t="str">
        <f t="shared" ref="H27" si="6">IF(G27=" "," ","service events/yr")</f>
        <v xml:space="preserve"> </v>
      </c>
    </row>
    <row r="28" spans="1:8" s="222" customFormat="1" ht="15.5" x14ac:dyDescent="0.35">
      <c r="A28" s="330" t="str">
        <f>Periodics!B821</f>
        <v>Enter Periodical Service 8</v>
      </c>
      <c r="B28" s="627" t="str">
        <f>IF('Summary-pricing'!C50=0," ",IF('kt info'!D55="Yes",A28,'Summary-pricing'!B50))</f>
        <v xml:space="preserve"> </v>
      </c>
      <c r="C28" s="628" t="str">
        <f>IF(B28=" "," ",IF('kt info'!D55="Yes","Included in Monthly Price",'Summary-pricing'!C50))</f>
        <v xml:space="preserve"> </v>
      </c>
      <c r="D28" s="629" t="str">
        <f t="shared" si="3"/>
        <v xml:space="preserve"> </v>
      </c>
      <c r="E28" s="628" t="str">
        <f>IF(C28=" "," ",IF(C28="Included in Monthly Price","Included in Monthly Price",'Summary-pricing'!C50*G28))</f>
        <v xml:space="preserve"> </v>
      </c>
      <c r="F28" s="629" t="str">
        <f t="shared" ref="F28" si="7">IF(D28=" "," ",IF(E28=0," ","per year"))</f>
        <v xml:space="preserve"> </v>
      </c>
      <c r="G28" s="630" t="str">
        <f>IF(C28=" "," ",'kt info'!G55)</f>
        <v xml:space="preserve"> </v>
      </c>
      <c r="H28" s="631" t="str">
        <f t="shared" ref="H28" si="8">IF(G28=" "," ","service events/yr")</f>
        <v xml:space="preserve"> </v>
      </c>
    </row>
    <row r="29" spans="1:8" s="222" customFormat="1" ht="15.5" x14ac:dyDescent="0.35">
      <c r="A29" s="330" t="str">
        <f>Periodics!B879</f>
        <v>Enter Periodical Service 9</v>
      </c>
      <c r="B29" s="617" t="str">
        <f>IF('Summary-pricing'!C52=0," ",IF('kt info'!D57="Yes",A29,'Summary-pricing'!B52))</f>
        <v xml:space="preserve"> </v>
      </c>
      <c r="C29" s="632" t="str">
        <f>IF(B29=" "," ",IF('kt info'!D57="Yes","Included in Monthly Price",'Summary-pricing'!C52))</f>
        <v xml:space="preserve"> </v>
      </c>
      <c r="D29" s="633" t="str">
        <f t="shared" si="3"/>
        <v xml:space="preserve"> </v>
      </c>
      <c r="E29" s="632" t="str">
        <f>IF(C29=" "," ",IF(C29="Included in Monthly Price","Included in Monthly Price",'Summary-pricing'!C52*G29))</f>
        <v xml:space="preserve"> </v>
      </c>
      <c r="F29" s="633" t="str">
        <f t="shared" ref="F29" si="9">IF(D29=" "," ",IF(E29=0," ","per year"))</f>
        <v xml:space="preserve"> </v>
      </c>
      <c r="G29" s="634" t="str">
        <f>IF(C29=" "," ",'kt info'!G57)</f>
        <v xml:space="preserve"> </v>
      </c>
      <c r="H29" s="635" t="str">
        <f t="shared" ref="H29" si="10">IF(G29=" "," ","service events/yr")</f>
        <v xml:space="preserve"> </v>
      </c>
    </row>
    <row r="30" spans="1:8" s="222" customFormat="1" ht="15.5" x14ac:dyDescent="0.35">
      <c r="A30" s="330" t="str">
        <f>Periodics!B937</f>
        <v>Enter Periodical Service 10</v>
      </c>
      <c r="B30" s="617" t="str">
        <f>IF('Summary-pricing'!C54=0," ",IF('kt info'!D59="Yes",A30,'Summary-pricing'!B54))</f>
        <v xml:space="preserve"> </v>
      </c>
      <c r="C30" s="632" t="str">
        <f>IF(B30=" "," ",IF('kt info'!D59="Yes","Included in Monthly Price",'Summary-pricing'!C54))</f>
        <v xml:space="preserve"> </v>
      </c>
      <c r="D30" s="633" t="str">
        <f t="shared" si="3"/>
        <v xml:space="preserve"> </v>
      </c>
      <c r="E30" s="632" t="str">
        <f>IF(C30=" "," ",IF(C30="Included in Monthly Price","Included in Monthly Price",'Summary-pricing'!C54*G30))</f>
        <v xml:space="preserve"> </v>
      </c>
      <c r="F30" s="633" t="str">
        <f t="shared" ref="F30" si="11">IF(D30=" "," ",IF(E30=0," ","per year"))</f>
        <v xml:space="preserve"> </v>
      </c>
      <c r="G30" s="634" t="str">
        <f>IF(C30=" "," ",'kt info'!G59)</f>
        <v xml:space="preserve"> </v>
      </c>
      <c r="H30" s="635" t="str">
        <f t="shared" ref="H30" si="12">IF(G30=" "," ","service events/yr")</f>
        <v xml:space="preserve"> </v>
      </c>
    </row>
    <row r="31" spans="1:8" s="222" customFormat="1" ht="15.5" x14ac:dyDescent="0.35">
      <c r="A31" s="222" t="str">
        <f>'kt info'!B15</f>
        <v>Exeptional-Additional Services</v>
      </c>
      <c r="B31" s="617" t="str">
        <f>IF('Summary-pricing'!C56=0," ",'Summary-pricing'!B56)</f>
        <v xml:space="preserve"> </v>
      </c>
      <c r="C31" s="632" t="str">
        <f>IF(B31=" "," ",'Summary-pricing'!C56)</f>
        <v xml:space="preserve"> </v>
      </c>
      <c r="D31" s="633" t="str">
        <f>IF(B31=" "," ","per hour")</f>
        <v xml:space="preserve"> </v>
      </c>
      <c r="E31" s="640"/>
      <c r="F31" s="641"/>
      <c r="G31" s="642"/>
      <c r="H31" s="643"/>
    </row>
    <row r="32" spans="1:8" s="222" customFormat="1" ht="15.5" x14ac:dyDescent="0.35">
      <c r="A32" s="222" t="str">
        <f>'kt info'!B17</f>
        <v>Emergency Services</v>
      </c>
      <c r="B32" s="644" t="str">
        <f>IF('Summary-pricing'!C58=0," ",'Summary-pricing'!B58)</f>
        <v xml:space="preserve"> </v>
      </c>
      <c r="C32" s="645" t="str">
        <f>IF(B32=" "," ",'Summary-pricing'!C58)</f>
        <v xml:space="preserve"> </v>
      </c>
      <c r="D32" s="646" t="str">
        <f>IF(B32=" "," ","per hour")</f>
        <v xml:space="preserve"> </v>
      </c>
      <c r="E32" s="647"/>
      <c r="F32" s="648"/>
      <c r="G32" s="649"/>
      <c r="H32" s="650"/>
    </row>
    <row r="33" spans="1:8" s="222" customFormat="1" ht="16" thickBot="1" x14ac:dyDescent="0.4">
      <c r="A33" s="222" t="str">
        <f>'kt info'!B21</f>
        <v>Day Porter</v>
      </c>
      <c r="B33" s="622" t="str">
        <f>IF('Summary-pricing'!C16=0," ",'Summary-pricing'!B16)</f>
        <v xml:space="preserve"> </v>
      </c>
      <c r="C33" s="636" t="str">
        <f>IF($B$33=" "," ",IF('kt info'!$D$21="No",'Summary-pricing'!$C$16,"Included in Monthly Price"))</f>
        <v xml:space="preserve"> </v>
      </c>
      <c r="D33" s="637" t="str">
        <f>IF($B$33=" "," ",IF(C$33="Included in Monthly Price"," ","per hour"))</f>
        <v xml:space="preserve"> </v>
      </c>
      <c r="E33" s="636" t="str">
        <f>IF($B$33=" "," ",IF('kt info'!$D$21="No",'kt info'!$E$21*'Summary-pricing'!$C$16*'kt info'!$G$21,"Included in Monthly Price"))</f>
        <v xml:space="preserve"> </v>
      </c>
      <c r="F33" s="637" t="str">
        <f>IF($B$33=" "," ",IF(E$33="Included in Monthly Price"," ","per hour"))</f>
        <v xml:space="preserve"> </v>
      </c>
      <c r="G33" s="638" t="str">
        <f>IF(E33=" "," ",IF(E33="In Monthly Price"," ",(('kt info'!G21))))</f>
        <v xml:space="preserve"> </v>
      </c>
      <c r="H33" s="639" t="str">
        <f t="shared" si="1"/>
        <v xml:space="preserve"> </v>
      </c>
    </row>
    <row r="34" spans="1:8" ht="15" customHeight="1" thickTop="1" x14ac:dyDescent="0.35">
      <c r="B34" s="296"/>
      <c r="G34" s="496"/>
      <c r="H34" s="518"/>
    </row>
    <row r="35" spans="1:8" ht="25" customHeight="1" x14ac:dyDescent="0.35">
      <c r="B35" s="497" t="s">
        <v>99</v>
      </c>
      <c r="C35" s="498"/>
      <c r="D35" s="844"/>
      <c r="E35" s="842"/>
      <c r="F35" s="842"/>
      <c r="G35" s="842"/>
      <c r="H35" s="843"/>
    </row>
    <row r="36" spans="1:8" ht="15" customHeight="1" x14ac:dyDescent="0.35">
      <c r="B36" s="499" t="s">
        <v>222</v>
      </c>
      <c r="C36" s="297"/>
      <c r="D36" s="297" t="s">
        <v>223</v>
      </c>
      <c r="H36" s="519"/>
    </row>
    <row r="37" spans="1:8" ht="6" customHeight="1" x14ac:dyDescent="0.35">
      <c r="B37" s="499"/>
      <c r="C37" s="297"/>
      <c r="D37" s="297"/>
      <c r="H37" s="519"/>
    </row>
    <row r="38" spans="1:8" ht="25" customHeight="1" x14ac:dyDescent="0.35">
      <c r="B38" s="500"/>
      <c r="C38" s="501"/>
      <c r="D38" s="841"/>
      <c r="E38" s="842"/>
      <c r="F38" s="842"/>
      <c r="G38" s="842"/>
      <c r="H38" s="843"/>
    </row>
    <row r="39" spans="1:8" ht="15" customHeight="1" x14ac:dyDescent="0.35">
      <c r="B39" s="502" t="s">
        <v>224</v>
      </c>
      <c r="C39" s="503"/>
      <c r="D39" s="856" t="s">
        <v>225</v>
      </c>
      <c r="E39" s="855"/>
      <c r="H39" s="519"/>
    </row>
    <row r="40" spans="1:8" ht="6" customHeight="1" x14ac:dyDescent="0.35">
      <c r="B40" s="499"/>
      <c r="C40" s="297"/>
      <c r="D40" s="297"/>
      <c r="H40" s="519"/>
    </row>
    <row r="41" spans="1:8" ht="25" customHeight="1" x14ac:dyDescent="0.35">
      <c r="B41" s="504"/>
      <c r="C41" s="505"/>
      <c r="D41" s="841"/>
      <c r="E41" s="842"/>
      <c r="F41" s="842"/>
      <c r="G41" s="842"/>
      <c r="H41" s="843"/>
    </row>
    <row r="42" spans="1:8" ht="15" customHeight="1" x14ac:dyDescent="0.35">
      <c r="B42" s="502" t="s">
        <v>226</v>
      </c>
      <c r="C42" s="297"/>
      <c r="D42" s="297" t="s">
        <v>223</v>
      </c>
      <c r="H42" s="519"/>
    </row>
    <row r="43" spans="1:8" ht="6" customHeight="1" x14ac:dyDescent="0.35">
      <c r="B43" s="499"/>
      <c r="C43" s="297"/>
      <c r="D43" s="297"/>
      <c r="H43" s="519"/>
    </row>
    <row r="44" spans="1:8" ht="25" customHeight="1" x14ac:dyDescent="0.35">
      <c r="B44" s="500"/>
      <c r="C44" s="297"/>
      <c r="D44" s="841"/>
      <c r="E44" s="842"/>
      <c r="F44" s="842"/>
      <c r="G44" s="842"/>
      <c r="H44" s="843"/>
    </row>
    <row r="45" spans="1:8" ht="15" customHeight="1" x14ac:dyDescent="0.35">
      <c r="B45" s="502" t="s">
        <v>224</v>
      </c>
      <c r="C45" s="297"/>
      <c r="D45" s="854" t="s">
        <v>225</v>
      </c>
      <c r="E45" s="855"/>
      <c r="H45" s="519"/>
    </row>
    <row r="46" spans="1:8" ht="15" customHeight="1" x14ac:dyDescent="0.35">
      <c r="B46" s="845" t="s">
        <v>227</v>
      </c>
      <c r="C46" s="846"/>
      <c r="D46" s="847"/>
      <c r="E46" s="847"/>
      <c r="F46" s="847"/>
      <c r="G46" s="847"/>
      <c r="H46" s="848"/>
    </row>
    <row r="47" spans="1:8" ht="11.5" customHeight="1" x14ac:dyDescent="0.35">
      <c r="B47" s="845"/>
      <c r="C47" s="846"/>
      <c r="D47" s="847"/>
      <c r="E47" s="847"/>
      <c r="F47" s="847"/>
      <c r="G47" s="847"/>
      <c r="H47" s="848"/>
    </row>
    <row r="48" spans="1:8" ht="7.5" customHeight="1" x14ac:dyDescent="0.35">
      <c r="B48" s="849"/>
      <c r="C48" s="847"/>
      <c r="D48" s="847"/>
      <c r="E48" s="847"/>
      <c r="F48" s="847"/>
      <c r="G48" s="847"/>
      <c r="H48" s="848"/>
    </row>
    <row r="49" spans="2:8" ht="12" customHeight="1" x14ac:dyDescent="0.35">
      <c r="B49" s="296"/>
      <c r="H49" s="519"/>
    </row>
    <row r="50" spans="2:8" ht="25" customHeight="1" x14ac:dyDescent="0.35">
      <c r="B50" s="506"/>
      <c r="C50" s="507"/>
      <c r="D50" s="844"/>
      <c r="E50" s="842"/>
      <c r="F50" s="842"/>
      <c r="G50" s="842"/>
      <c r="H50" s="843"/>
    </row>
    <row r="51" spans="2:8" ht="15" customHeight="1" x14ac:dyDescent="0.35">
      <c r="B51" s="502" t="s">
        <v>228</v>
      </c>
      <c r="C51" s="297"/>
      <c r="D51" s="297" t="s">
        <v>223</v>
      </c>
      <c r="H51" s="519"/>
    </row>
    <row r="52" spans="2:8" ht="15" customHeight="1" thickBot="1" x14ac:dyDescent="0.4">
      <c r="B52" s="508" t="s">
        <v>280</v>
      </c>
      <c r="C52" s="509"/>
      <c r="D52" s="509"/>
      <c r="E52" s="509"/>
      <c r="F52" s="509"/>
      <c r="G52" s="509"/>
      <c r="H52" s="520"/>
    </row>
    <row r="53" spans="2:8" ht="15" thickTop="1" x14ac:dyDescent="0.35"/>
  </sheetData>
  <sheetProtection algorithmName="SHA-512" hashValue="Cf9J3QD8pIoLkqjTHg5SBhmHNtcLyx14kjDdI3RMQBf9TueUHdSSLllGP3wtGY+YXfbawfOO/6gKk+rjVRS2pg==" saltValue="wXhGo9F328u9hMk3IEaMjg==" spinCount="100000" sheet="1" objects="1" scenarios="1"/>
  <mergeCells count="17">
    <mergeCell ref="C6:F6"/>
    <mergeCell ref="C7:F7"/>
    <mergeCell ref="C12:H12"/>
    <mergeCell ref="B2:H2"/>
    <mergeCell ref="B3:H3"/>
    <mergeCell ref="B4:H4"/>
    <mergeCell ref="C8:H8"/>
    <mergeCell ref="D41:H41"/>
    <mergeCell ref="D44:H44"/>
    <mergeCell ref="D50:H50"/>
    <mergeCell ref="B46:H48"/>
    <mergeCell ref="C9:F9"/>
    <mergeCell ref="B10:F10"/>
    <mergeCell ref="D35:H35"/>
    <mergeCell ref="D38:H38"/>
    <mergeCell ref="D45:E45"/>
    <mergeCell ref="D39:E39"/>
  </mergeCells>
  <conditionalFormatting sqref="B14:H14">
    <cfRule type="expression" dxfId="17" priority="19">
      <formula>$C$14="Included in Monthly Price"</formula>
    </cfRule>
  </conditionalFormatting>
  <conditionalFormatting sqref="B15:H15">
    <cfRule type="expression" dxfId="16" priority="18">
      <formula>$C$15="Included in Monthly Price"</formula>
    </cfRule>
  </conditionalFormatting>
  <conditionalFormatting sqref="B16:H16">
    <cfRule type="expression" dxfId="15" priority="16">
      <formula>$C$16="Included in Monthly Price"</formula>
    </cfRule>
  </conditionalFormatting>
  <conditionalFormatting sqref="B17:H17">
    <cfRule type="expression" dxfId="14" priority="15">
      <formula>$C$17="Included in Monthly Price"</formula>
    </cfRule>
  </conditionalFormatting>
  <conditionalFormatting sqref="B18:H18">
    <cfRule type="expression" dxfId="13" priority="14">
      <formula>$C$18="Included in Monthly Price"</formula>
    </cfRule>
  </conditionalFormatting>
  <conditionalFormatting sqref="B19:H19">
    <cfRule type="expression" dxfId="12" priority="13">
      <formula>$C$19="Included in Monthly Price"</formula>
    </cfRule>
  </conditionalFormatting>
  <conditionalFormatting sqref="B20:H20">
    <cfRule type="expression" dxfId="11" priority="12">
      <formula>$C$20="Included in Monthly Price"</formula>
    </cfRule>
  </conditionalFormatting>
  <conditionalFormatting sqref="B21:H21">
    <cfRule type="expression" dxfId="10" priority="11">
      <formula>$C$21="Included in Monthly Price"</formula>
    </cfRule>
  </conditionalFormatting>
  <conditionalFormatting sqref="B22:H22">
    <cfRule type="expression" dxfId="9" priority="10">
      <formula>$C$22="Included in Monthly Price"</formula>
    </cfRule>
  </conditionalFormatting>
  <conditionalFormatting sqref="B23:H23">
    <cfRule type="expression" dxfId="8" priority="9">
      <formula>$C$23="Included in Monthly Price"</formula>
    </cfRule>
  </conditionalFormatting>
  <conditionalFormatting sqref="B24:H24">
    <cfRule type="expression" dxfId="7" priority="8">
      <formula>$C$24="Included in Monthly Price"</formula>
    </cfRule>
  </conditionalFormatting>
  <conditionalFormatting sqref="B25:H25">
    <cfRule type="expression" dxfId="6" priority="7">
      <formula>$C$25="Included in Monthly Price"</formula>
    </cfRule>
  </conditionalFormatting>
  <conditionalFormatting sqref="B26:H26">
    <cfRule type="expression" dxfId="5" priority="6">
      <formula>$C$26="Included in Monthly Price"</formula>
    </cfRule>
  </conditionalFormatting>
  <conditionalFormatting sqref="B27:H27">
    <cfRule type="expression" dxfId="4" priority="5">
      <formula>$C$27="Included in Monthly Price"</formula>
    </cfRule>
  </conditionalFormatting>
  <conditionalFormatting sqref="B28:H28">
    <cfRule type="expression" dxfId="3" priority="4">
      <formula>$C$28="Included in Monthly Price"</formula>
    </cfRule>
  </conditionalFormatting>
  <conditionalFormatting sqref="B29:H29">
    <cfRule type="expression" dxfId="2" priority="3">
      <formula>$C$29="Included in Monthly Price"</formula>
    </cfRule>
  </conditionalFormatting>
  <conditionalFormatting sqref="B30:H30">
    <cfRule type="expression" dxfId="1" priority="2">
      <formula>$C$30="Included in Monthly Price"</formula>
    </cfRule>
  </conditionalFormatting>
  <conditionalFormatting sqref="B33:H33">
    <cfRule type="expression" dxfId="0" priority="1">
      <formula>$C$33="Included in Monthly Price"</formula>
    </cfRule>
  </conditionalFormatting>
  <hyperlinks>
    <hyperlink ref="J2" location="'kt info'!C3" display="Contract Information" xr:uid="{5BAE4B91-F8CD-4F58-9EE3-9FD20A5291EF}"/>
    <hyperlink ref="J3" location="'Overhead &amp; Margin'!D10" display="Overhead &amp; Margin" xr:uid="{3A30D350-6B75-43E0-95A7-CC1E675452B7}"/>
    <hyperlink ref="J9" location="'Monthly Janitorial'!B21" display="Monthly Janitorial" xr:uid="{FD02A9C2-10FD-4310-8657-A7CB0017CD85}"/>
    <hyperlink ref="J10" location="Periodics!B22" display="Periodical Services(Carpets, Hard Floors, Windows, Blinds, other periodical services" xr:uid="{49AE16B6-3BB8-4BA1-BB35-7635174DFB8F}"/>
    <hyperlink ref="J11" location="'Except,Emer&amp;Day Porter'!H4" display="Exceptional, Emergency and Day Porter Services" xr:uid="{74CF2378-4C24-4BA0-9514-73A29729C50B}"/>
    <hyperlink ref="J5" location="Supplies!B13" display="Supplies" xr:uid="{E5FED6F9-2895-4874-BB46-9D43D8370664}"/>
    <hyperlink ref="J6" location="'Equipment List'!B12" display="Equipment" xr:uid="{03893C55-02B5-4439-9971-FBEB7CD7E8C4}"/>
    <hyperlink ref="J13" location="'Price Approval'!A1" display="Price Approval" xr:uid="{6F2FFFE8-303E-42D4-BD6F-0FF7C51AE933}"/>
    <hyperlink ref="J7" location="Subcontractors!B15" display="Subcontractors" xr:uid="{C8823DCB-0227-4207-9276-B7A07CBEC222}"/>
    <hyperlink ref="J4" location="'Pay &amp; Benefits'!C10" display="Wages and Benefits (includes Unemployment and Worker's Compensation" xr:uid="{D8E6E631-93CB-48E2-B8BA-578D9E5F410F}"/>
    <hyperlink ref="J8" location="Transportation!B6" display="Transportation" xr:uid="{1C0B6A4B-D22C-4C0F-9AF3-D3F42C922725}"/>
    <hyperlink ref="J12" location="'Summary-pricing'!A1" display="Summary-Pricing" xr:uid="{1B0AD768-B33E-4DA9-89C2-B42C3434C844}"/>
  </hyperlinks>
  <printOptions horizontalCentered="1"/>
  <pageMargins left="0.25" right="0.25" top="0.75" bottom="0.75" header="0.3" footer="0.3"/>
  <pageSetup scale="80" orientation="portrait" r:id="rId1"/>
  <ignoredErrors>
    <ignoredError sqref="D15" 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3A126D-FF4F-4775-B93E-DD81A5635B22}">
  <dimension ref="I1:J12"/>
  <sheetViews>
    <sheetView workbookViewId="0">
      <selection activeCell="F21" sqref="F21"/>
    </sheetView>
  </sheetViews>
  <sheetFormatPr defaultRowHeight="14.5" x14ac:dyDescent="0.35"/>
  <sheetData>
    <row r="1" spans="9:10" x14ac:dyDescent="0.35">
      <c r="I1" s="20" t="s">
        <v>133</v>
      </c>
      <c r="J1" s="56" t="s">
        <v>134</v>
      </c>
    </row>
    <row r="2" spans="9:10" x14ac:dyDescent="0.35">
      <c r="J2" s="56" t="s">
        <v>259</v>
      </c>
    </row>
    <row r="3" spans="9:10" x14ac:dyDescent="0.35">
      <c r="J3" s="56" t="s">
        <v>260</v>
      </c>
    </row>
    <row r="4" spans="9:10" x14ac:dyDescent="0.35">
      <c r="J4" s="56" t="s">
        <v>80</v>
      </c>
    </row>
    <row r="5" spans="9:10" x14ac:dyDescent="0.35">
      <c r="J5" s="56" t="s">
        <v>15</v>
      </c>
    </row>
    <row r="6" spans="9:10" x14ac:dyDescent="0.35">
      <c r="J6" s="56" t="s">
        <v>201</v>
      </c>
    </row>
    <row r="7" spans="9:10" x14ac:dyDescent="0.35">
      <c r="J7" s="56" t="s">
        <v>89</v>
      </c>
    </row>
    <row r="8" spans="9:10" x14ac:dyDescent="0.35">
      <c r="J8" s="56" t="s">
        <v>2</v>
      </c>
    </row>
    <row r="9" spans="9:10" x14ac:dyDescent="0.35">
      <c r="J9" s="56" t="s">
        <v>230</v>
      </c>
    </row>
    <row r="10" spans="9:10" x14ac:dyDescent="0.35">
      <c r="J10" s="56" t="s">
        <v>231</v>
      </c>
    </row>
    <row r="11" spans="9:10" x14ac:dyDescent="0.35">
      <c r="J11" s="56" t="s">
        <v>261</v>
      </c>
    </row>
    <row r="12" spans="9:10" x14ac:dyDescent="0.35">
      <c r="I12" s="222"/>
      <c r="J12" s="56" t="s">
        <v>232</v>
      </c>
    </row>
  </sheetData>
  <hyperlinks>
    <hyperlink ref="J1" location="'kt info'!C3" display="Contract Information" xr:uid="{BCDA58E8-6D9F-4882-88C3-CBB15BCC526F}"/>
    <hyperlink ref="J2" location="'Overhead &amp; Margin'!D10" display="Overhead &amp; Margin" xr:uid="{14F7FD03-503A-4D1C-A77C-AB6FAB01F762}"/>
    <hyperlink ref="J8" location="'Monthly Janitorial'!B21" display="Monthly Janitorial" xr:uid="{9F89A1CB-0AD8-4409-918B-E0AB355B1C3E}"/>
    <hyperlink ref="J9" location="Periodics!B22" display="Periodical Services(Carpets, Hard Floors, Windows, Blinds, other periodical services" xr:uid="{E1ED96F6-2928-449F-823E-B60DB8BACFB3}"/>
    <hyperlink ref="J10" location="'Except,Emer&amp;Day Porter'!H4" display="Exceptional, Emergency and Day Porter Services" xr:uid="{C886D5B2-8359-4169-AB40-D56087E13513}"/>
    <hyperlink ref="J4" location="Supplies!B13" display="Supplies" xr:uid="{1E25706E-B5C7-4E11-B78A-CF47C85B1460}"/>
    <hyperlink ref="J5" location="'Equipment List'!B12" display="Equipment" xr:uid="{D708740B-3C35-49BA-B82D-DE9868F589F1}"/>
    <hyperlink ref="J12" location="'Price Approval'!A1" display="Price Approval" xr:uid="{9B7BE545-D2B2-4B17-834E-E522620F2944}"/>
    <hyperlink ref="J6" location="Subcontractors!B15" display="Subcontractors" xr:uid="{E39D93A7-944D-4159-A9B2-3C706E5EFE09}"/>
    <hyperlink ref="J3" location="'Pay &amp; Benefits'!C10" display="Wages and Benefits (includes Unemployment and Worker's Compensation" xr:uid="{04422184-C1FE-4588-80C7-1E55648F5F65}"/>
    <hyperlink ref="J7" location="Transportation!B6" display="Transportation" xr:uid="{FD10A6D0-50C2-4998-BEA7-5FD39C110F50}"/>
    <hyperlink ref="J11" location="'Summary-pricing'!A1" display="Summary-Pricing" xr:uid="{80025749-B5FC-4C58-86E9-B8A38768250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3F1510-9518-4001-A814-A43F882AF0C9}">
  <dimension ref="A1:L78"/>
  <sheetViews>
    <sheetView showGridLines="0" showZeros="0" workbookViewId="0">
      <selection activeCell="C10" sqref="C10"/>
    </sheetView>
  </sheetViews>
  <sheetFormatPr defaultRowHeight="14.5" x14ac:dyDescent="0.35"/>
  <cols>
    <col min="1" max="1" width="7.54296875" customWidth="1"/>
    <col min="2" max="2" width="24.453125" customWidth="1"/>
    <col min="3" max="3" width="15" customWidth="1"/>
    <col min="4" max="4" width="20.54296875" customWidth="1"/>
    <col min="5" max="5" width="10.54296875" customWidth="1"/>
    <col min="6" max="6" width="20.54296875" customWidth="1"/>
    <col min="7" max="7" width="10.54296875" customWidth="1"/>
    <col min="8" max="8" width="20.54296875" customWidth="1"/>
    <col min="9" max="9" width="10.54296875" customWidth="1"/>
    <col min="10" max="10" width="20.54296875" customWidth="1"/>
    <col min="11" max="11" width="10.54296875" customWidth="1"/>
  </cols>
  <sheetData>
    <row r="1" spans="1:12" ht="30" customHeight="1" x14ac:dyDescent="0.35">
      <c r="A1" s="610"/>
      <c r="C1" s="707" t="s">
        <v>178</v>
      </c>
      <c r="D1" s="707"/>
      <c r="E1" s="707"/>
      <c r="F1" s="707"/>
      <c r="G1" s="707"/>
      <c r="H1" s="707"/>
      <c r="I1" s="707"/>
      <c r="J1" s="707"/>
    </row>
    <row r="2" spans="1:12" x14ac:dyDescent="0.35">
      <c r="F2" s="609" t="str">
        <f>'kt info'!B12</f>
        <v>Form date: 10/24/25</v>
      </c>
    </row>
    <row r="3" spans="1:12" x14ac:dyDescent="0.35">
      <c r="H3" s="20" t="s">
        <v>133</v>
      </c>
      <c r="I3" s="56" t="s">
        <v>134</v>
      </c>
      <c r="J3" s="20"/>
      <c r="K3" s="20" t="s">
        <v>133</v>
      </c>
      <c r="L3" s="56" t="s">
        <v>134</v>
      </c>
    </row>
    <row r="4" spans="1:12" x14ac:dyDescent="0.35">
      <c r="B4" s="101" t="s">
        <v>109</v>
      </c>
      <c r="C4" s="715">
        <f>'kt info'!$C$3</f>
        <v>0</v>
      </c>
      <c r="D4" s="715"/>
      <c r="E4" s="716"/>
      <c r="F4" s="717"/>
      <c r="G4" s="20"/>
      <c r="I4" s="56" t="s">
        <v>132</v>
      </c>
      <c r="L4" s="56" t="s">
        <v>259</v>
      </c>
    </row>
    <row r="5" spans="1:12" x14ac:dyDescent="0.35">
      <c r="C5" s="100"/>
      <c r="D5" s="100"/>
      <c r="E5" s="100"/>
      <c r="F5" s="100"/>
      <c r="I5" s="56" t="s">
        <v>233</v>
      </c>
      <c r="L5" s="56" t="s">
        <v>260</v>
      </c>
    </row>
    <row r="6" spans="1:12" x14ac:dyDescent="0.35">
      <c r="B6" t="s">
        <v>110</v>
      </c>
      <c r="C6" s="715">
        <f>'kt info'!$C$5</f>
        <v>0</v>
      </c>
      <c r="D6" s="715"/>
      <c r="E6" s="717"/>
      <c r="F6" s="717"/>
      <c r="I6" s="56" t="s">
        <v>2</v>
      </c>
      <c r="L6" s="56" t="s">
        <v>80</v>
      </c>
    </row>
    <row r="7" spans="1:12" x14ac:dyDescent="0.35">
      <c r="C7" s="100"/>
      <c r="D7" s="100"/>
      <c r="E7" s="100"/>
      <c r="F7" s="100"/>
      <c r="I7" s="56" t="s">
        <v>230</v>
      </c>
      <c r="L7" s="56" t="s">
        <v>15</v>
      </c>
    </row>
    <row r="8" spans="1:12" x14ac:dyDescent="0.35">
      <c r="B8" t="s">
        <v>135</v>
      </c>
      <c r="C8" s="715">
        <f>'kt info'!$C$7</f>
        <v>0</v>
      </c>
      <c r="D8" s="715"/>
      <c r="E8" s="717"/>
      <c r="F8" s="717"/>
      <c r="I8" s="56" t="s">
        <v>231</v>
      </c>
      <c r="L8" s="56" t="s">
        <v>201</v>
      </c>
    </row>
    <row r="9" spans="1:12" x14ac:dyDescent="0.35">
      <c r="I9" s="56" t="s">
        <v>80</v>
      </c>
      <c r="L9" s="56" t="s">
        <v>89</v>
      </c>
    </row>
    <row r="10" spans="1:12" x14ac:dyDescent="0.35">
      <c r="B10" t="s">
        <v>140</v>
      </c>
      <c r="C10" s="143"/>
      <c r="I10" s="56" t="s">
        <v>15</v>
      </c>
      <c r="L10" s="56" t="s">
        <v>2</v>
      </c>
    </row>
    <row r="11" spans="1:12" x14ac:dyDescent="0.35">
      <c r="B11" t="s">
        <v>141</v>
      </c>
      <c r="C11" s="143"/>
      <c r="I11" s="56" t="s">
        <v>232</v>
      </c>
      <c r="L11" s="56" t="s">
        <v>230</v>
      </c>
    </row>
    <row r="12" spans="1:12" x14ac:dyDescent="0.35">
      <c r="C12" s="144"/>
      <c r="I12" s="56" t="s">
        <v>201</v>
      </c>
      <c r="L12" s="56" t="s">
        <v>231</v>
      </c>
    </row>
    <row r="13" spans="1:12" x14ac:dyDescent="0.35">
      <c r="B13" s="19" t="s">
        <v>249</v>
      </c>
      <c r="D13" s="36"/>
      <c r="E13" s="36"/>
      <c r="F13" s="283" t="s">
        <v>248</v>
      </c>
      <c r="G13" s="36"/>
      <c r="L13" s="56" t="s">
        <v>261</v>
      </c>
    </row>
    <row r="14" spans="1:12" x14ac:dyDescent="0.35">
      <c r="B14" s="19" t="s">
        <v>275</v>
      </c>
      <c r="C14" s="36"/>
      <c r="D14" s="36"/>
      <c r="E14" s="36"/>
      <c r="F14" s="284" t="s">
        <v>274</v>
      </c>
      <c r="G14" s="36"/>
      <c r="K14" s="222"/>
      <c r="L14" s="56" t="s">
        <v>232</v>
      </c>
    </row>
    <row r="15" spans="1:12" x14ac:dyDescent="0.35">
      <c r="B15" s="19" t="s">
        <v>276</v>
      </c>
      <c r="C15" s="36"/>
      <c r="D15" s="36"/>
      <c r="E15" s="36"/>
      <c r="F15" s="284"/>
      <c r="G15" s="36"/>
      <c r="K15" s="56"/>
    </row>
    <row r="16" spans="1:12" x14ac:dyDescent="0.35">
      <c r="B16" s="19" t="s">
        <v>34</v>
      </c>
      <c r="C16" s="36"/>
      <c r="D16" s="19" t="s">
        <v>35</v>
      </c>
      <c r="E16" s="36"/>
      <c r="F16" s="19" t="s">
        <v>36</v>
      </c>
      <c r="G16" s="36"/>
      <c r="H16" s="19" t="s">
        <v>107</v>
      </c>
      <c r="I16" s="36"/>
      <c r="J16" s="19" t="s">
        <v>108</v>
      </c>
      <c r="K16" s="36"/>
    </row>
    <row r="17" spans="2:11" ht="15" thickBot="1" x14ac:dyDescent="0.4">
      <c r="B17" s="255" t="s">
        <v>195</v>
      </c>
      <c r="D17" s="255" t="s">
        <v>195</v>
      </c>
      <c r="F17" s="255" t="s">
        <v>195</v>
      </c>
      <c r="H17" s="255" t="s">
        <v>195</v>
      </c>
      <c r="J17" s="255" t="s">
        <v>195</v>
      </c>
    </row>
    <row r="18" spans="2:11" x14ac:dyDescent="0.35">
      <c r="B18" s="285" t="s">
        <v>126</v>
      </c>
      <c r="C18" s="76"/>
      <c r="D18" s="285" t="s">
        <v>126</v>
      </c>
      <c r="E18" s="76"/>
      <c r="F18" s="285" t="s">
        <v>126</v>
      </c>
      <c r="G18" s="76"/>
      <c r="H18" s="285" t="s">
        <v>126</v>
      </c>
      <c r="I18" s="76"/>
      <c r="J18" s="285" t="s">
        <v>126</v>
      </c>
      <c r="K18" s="76"/>
    </row>
    <row r="19" spans="2:11" ht="15" thickBot="1" x14ac:dyDescent="0.4">
      <c r="B19" s="286" t="s">
        <v>137</v>
      </c>
      <c r="C19" s="287" t="s">
        <v>75</v>
      </c>
      <c r="D19" s="286" t="s">
        <v>137</v>
      </c>
      <c r="E19" s="287" t="s">
        <v>75</v>
      </c>
      <c r="F19" s="286" t="s">
        <v>137</v>
      </c>
      <c r="G19" s="287" t="s">
        <v>75</v>
      </c>
      <c r="H19" s="286" t="s">
        <v>137</v>
      </c>
      <c r="I19" s="287" t="s">
        <v>75</v>
      </c>
      <c r="J19" s="286" t="s">
        <v>137</v>
      </c>
      <c r="K19" s="287" t="s">
        <v>75</v>
      </c>
    </row>
    <row r="20" spans="2:11" x14ac:dyDescent="0.35">
      <c r="B20" s="288" t="str">
        <f>IF(B17="Worker Title"," ","Sick Leave Oregon")</f>
        <v xml:space="preserve"> </v>
      </c>
      <c r="C20" s="130" t="str">
        <f>IF(B17="Worker Title"," ",3.33%)</f>
        <v xml:space="preserve"> </v>
      </c>
      <c r="D20" s="288" t="str">
        <f>IF(D17="Worker Title"," ","Sick Leave Oregon")</f>
        <v xml:space="preserve"> </v>
      </c>
      <c r="E20" s="130" t="str">
        <f>IF(D17="Worker Title"," ",3.33%)</f>
        <v xml:space="preserve"> </v>
      </c>
      <c r="F20" s="288" t="str">
        <f>IF(F17="Worker Title"," ","Sick Leave Oregon")</f>
        <v xml:space="preserve"> </v>
      </c>
      <c r="G20" s="130" t="str">
        <f>IF(F17="Worker Title"," ",3.33%)</f>
        <v xml:space="preserve"> </v>
      </c>
      <c r="H20" s="288" t="str">
        <f>IF(H17="Worker Title"," ","Sick Leave Oregon")</f>
        <v xml:space="preserve"> </v>
      </c>
      <c r="I20" s="130" t="str">
        <f>IF(H17="Worker Title"," ",3.33%)</f>
        <v xml:space="preserve"> </v>
      </c>
      <c r="J20" s="288" t="str">
        <f>IF(J17="Worker Title"," ","Sick Leave Oregon")</f>
        <v xml:space="preserve"> </v>
      </c>
      <c r="K20" s="130" t="str">
        <f>IF(J17="Worker Title"," ",3.33%)</f>
        <v xml:space="preserve"> </v>
      </c>
    </row>
    <row r="21" spans="2:11" x14ac:dyDescent="0.35">
      <c r="B21" s="289" t="str">
        <f>IF(B17="Worker Title"," ","Paid Leave Oregon")</f>
        <v xml:space="preserve"> </v>
      </c>
      <c r="C21" s="145" t="str">
        <f>IF(B17="Worker Title"," ",0.004)</f>
        <v xml:space="preserve"> </v>
      </c>
      <c r="D21" s="289" t="str">
        <f>IF(D17="Worker Title"," ","Paid Leave Oregon")</f>
        <v xml:space="preserve"> </v>
      </c>
      <c r="E21" s="145" t="str">
        <f>IF(D17="Worker Title"," ",0.004)</f>
        <v xml:space="preserve"> </v>
      </c>
      <c r="F21" s="289" t="str">
        <f>IF(F17="Worker Title"," ","Paid Leave Oregon")</f>
        <v xml:space="preserve"> </v>
      </c>
      <c r="G21" s="145" t="str">
        <f>IF(F17="Worker Title"," ",0.004)</f>
        <v xml:space="preserve"> </v>
      </c>
      <c r="H21" s="289" t="str">
        <f>IF(H17="Worker Title"," ","Paid Leave Oregon")</f>
        <v xml:space="preserve"> </v>
      </c>
      <c r="I21" s="145" t="str">
        <f>IF(H17="Worker Title"," ",0.004)</f>
        <v xml:space="preserve"> </v>
      </c>
      <c r="J21" s="289" t="str">
        <f>IF(J17="Worker Title"," ","Paid Leave Oregon")</f>
        <v xml:space="preserve"> </v>
      </c>
      <c r="K21" s="145" t="str">
        <f>IF(J17="Worker Title"," ",0.004)</f>
        <v xml:space="preserve"> </v>
      </c>
    </row>
    <row r="22" spans="2:11" x14ac:dyDescent="0.35">
      <c r="B22" s="521"/>
      <c r="C22" s="128"/>
      <c r="D22" s="521"/>
      <c r="E22" s="128"/>
      <c r="F22" s="521"/>
      <c r="G22" s="128"/>
      <c r="H22" s="521"/>
      <c r="I22" s="128"/>
      <c r="J22" s="521"/>
      <c r="K22" s="128"/>
    </row>
    <row r="23" spans="2:11" x14ac:dyDescent="0.35">
      <c r="B23" s="521"/>
      <c r="C23" s="128"/>
      <c r="D23" s="521"/>
      <c r="E23" s="128"/>
      <c r="F23" s="521"/>
      <c r="G23" s="128"/>
      <c r="H23" s="521"/>
      <c r="I23" s="128"/>
      <c r="J23" s="521"/>
      <c r="K23" s="128"/>
    </row>
    <row r="24" spans="2:11" x14ac:dyDescent="0.35">
      <c r="B24" s="521"/>
      <c r="C24" s="128"/>
      <c r="D24" s="521"/>
      <c r="E24" s="128"/>
      <c r="F24" s="521"/>
      <c r="G24" s="128"/>
      <c r="H24" s="521"/>
      <c r="I24" s="128"/>
      <c r="J24" s="521"/>
      <c r="K24" s="128"/>
    </row>
    <row r="25" spans="2:11" x14ac:dyDescent="0.35">
      <c r="B25" s="521"/>
      <c r="C25" s="128"/>
      <c r="D25" s="521"/>
      <c r="E25" s="128"/>
      <c r="F25" s="521"/>
      <c r="G25" s="128"/>
      <c r="H25" s="521"/>
      <c r="I25" s="128"/>
      <c r="J25" s="521"/>
      <c r="K25" s="128"/>
    </row>
    <row r="26" spans="2:11" x14ac:dyDescent="0.35">
      <c r="B26" s="521"/>
      <c r="C26" s="128"/>
      <c r="D26" s="277"/>
      <c r="E26" s="278"/>
      <c r="F26" s="277"/>
      <c r="G26" s="278"/>
      <c r="H26" s="277"/>
      <c r="I26" s="278"/>
      <c r="J26" s="277"/>
      <c r="K26" s="278"/>
    </row>
    <row r="27" spans="2:11" x14ac:dyDescent="0.35">
      <c r="B27" s="521"/>
      <c r="C27" s="128"/>
      <c r="D27" s="277"/>
      <c r="E27" s="278"/>
      <c r="F27" s="277"/>
      <c r="G27" s="278"/>
      <c r="H27" s="277"/>
      <c r="I27" s="278"/>
      <c r="J27" s="277"/>
      <c r="K27" s="278"/>
    </row>
    <row r="28" spans="2:11" x14ac:dyDescent="0.35">
      <c r="B28" s="277"/>
      <c r="C28" s="128"/>
      <c r="D28" s="277"/>
      <c r="E28" s="278"/>
      <c r="F28" s="277"/>
      <c r="G28" s="278"/>
      <c r="H28" s="277"/>
      <c r="I28" s="278"/>
      <c r="J28" s="277"/>
      <c r="K28" s="278"/>
    </row>
    <row r="29" spans="2:11" ht="15" thickBot="1" x14ac:dyDescent="0.4">
      <c r="B29" s="279"/>
      <c r="C29" s="129"/>
      <c r="D29" s="279"/>
      <c r="E29" s="280"/>
      <c r="F29" s="279"/>
      <c r="G29" s="280"/>
      <c r="H29" s="279"/>
      <c r="I29" s="280"/>
      <c r="J29" s="279"/>
      <c r="K29" s="280"/>
    </row>
    <row r="30" spans="2:11" ht="5.15" customHeight="1" x14ac:dyDescent="0.35">
      <c r="B30" s="290"/>
      <c r="C30" s="290"/>
      <c r="D30" s="290"/>
      <c r="E30" s="290"/>
      <c r="F30" s="290"/>
      <c r="G30" s="290"/>
      <c r="H30" s="290"/>
      <c r="I30" s="290"/>
      <c r="J30" s="290"/>
      <c r="K30" s="290"/>
    </row>
    <row r="31" spans="2:11" ht="5.15" customHeight="1" x14ac:dyDescent="0.35"/>
    <row r="32" spans="2:11" x14ac:dyDescent="0.35">
      <c r="B32" s="19" t="s">
        <v>111</v>
      </c>
      <c r="C32" s="36"/>
      <c r="D32" s="19" t="s">
        <v>112</v>
      </c>
      <c r="E32" s="36"/>
      <c r="F32" s="19" t="s">
        <v>113</v>
      </c>
      <c r="G32" s="36"/>
      <c r="H32" s="19" t="s">
        <v>114</v>
      </c>
      <c r="I32" s="36"/>
      <c r="J32" s="19" t="s">
        <v>115</v>
      </c>
      <c r="K32" s="36"/>
    </row>
    <row r="33" spans="2:11" ht="15" thickBot="1" x14ac:dyDescent="0.4">
      <c r="B33" s="255" t="s">
        <v>195</v>
      </c>
      <c r="D33" s="255" t="s">
        <v>195</v>
      </c>
      <c r="F33" s="255" t="s">
        <v>195</v>
      </c>
      <c r="H33" s="255" t="s">
        <v>195</v>
      </c>
      <c r="J33" s="255" t="s">
        <v>195</v>
      </c>
    </row>
    <row r="34" spans="2:11" x14ac:dyDescent="0.35">
      <c r="B34" s="285" t="s">
        <v>126</v>
      </c>
      <c r="C34" s="76"/>
      <c r="D34" s="285" t="s">
        <v>126</v>
      </c>
      <c r="E34" s="76"/>
      <c r="F34" s="285" t="s">
        <v>126</v>
      </c>
      <c r="G34" s="76"/>
      <c r="H34" s="285" t="s">
        <v>126</v>
      </c>
      <c r="I34" s="76"/>
      <c r="J34" s="285" t="s">
        <v>126</v>
      </c>
      <c r="K34" s="76"/>
    </row>
    <row r="35" spans="2:11" ht="15" thickBot="1" x14ac:dyDescent="0.4">
      <c r="B35" s="286" t="s">
        <v>137</v>
      </c>
      <c r="C35" s="287" t="s">
        <v>75</v>
      </c>
      <c r="D35" s="286" t="s">
        <v>137</v>
      </c>
      <c r="E35" s="287" t="s">
        <v>75</v>
      </c>
      <c r="F35" s="286" t="s">
        <v>137</v>
      </c>
      <c r="G35" s="287" t="s">
        <v>75</v>
      </c>
      <c r="H35" s="286" t="s">
        <v>137</v>
      </c>
      <c r="I35" s="287" t="s">
        <v>75</v>
      </c>
      <c r="J35" s="286" t="s">
        <v>137</v>
      </c>
      <c r="K35" s="287" t="s">
        <v>75</v>
      </c>
    </row>
    <row r="36" spans="2:11" x14ac:dyDescent="0.35">
      <c r="B36" s="288" t="str">
        <f>IF(B33="Worker Title"," ","Sick Leave Oregon")</f>
        <v xml:space="preserve"> </v>
      </c>
      <c r="C36" s="130" t="str">
        <f>IF(B33="Worker Title"," ",3.33%)</f>
        <v xml:space="preserve"> </v>
      </c>
      <c r="D36" s="288" t="str">
        <f>IF(D33="Worker Title"," ","Sick Leave Oregon")</f>
        <v xml:space="preserve"> </v>
      </c>
      <c r="E36" s="130" t="str">
        <f>IF(D33="Worker Title"," ",3.33%)</f>
        <v xml:space="preserve"> </v>
      </c>
      <c r="F36" s="288" t="str">
        <f>IF(F33="Worker Title"," ","Sick Leave Oregon")</f>
        <v xml:space="preserve"> </v>
      </c>
      <c r="G36" s="130" t="str">
        <f>IF(F33="Worker Title"," ",3.33%)</f>
        <v xml:space="preserve"> </v>
      </c>
      <c r="H36" s="288" t="str">
        <f>IF(H33="Worker Title"," ","Sick Leave Oregon")</f>
        <v xml:space="preserve"> </v>
      </c>
      <c r="I36" s="130" t="str">
        <f>IF(H33="Worker Title"," ",3.33%)</f>
        <v xml:space="preserve"> </v>
      </c>
      <c r="J36" s="288" t="str">
        <f>IF(J33="Worker Title"," ","Sick Leave Oregon")</f>
        <v xml:space="preserve"> </v>
      </c>
      <c r="K36" s="130" t="str">
        <f>IF(J33="Worker Title"," ",3.33%)</f>
        <v xml:space="preserve"> </v>
      </c>
    </row>
    <row r="37" spans="2:11" x14ac:dyDescent="0.35">
      <c r="B37" s="289" t="str">
        <f>IF(B33="Worker Title"," ","Paid Leave Oregon")</f>
        <v xml:space="preserve"> </v>
      </c>
      <c r="C37" s="145" t="str">
        <f>IF(B33="Worker Title"," ",0.004)</f>
        <v xml:space="preserve"> </v>
      </c>
      <c r="D37" s="289" t="str">
        <f>IF(D33="Worker Title"," ","Paid Leave Oregon")</f>
        <v xml:space="preserve"> </v>
      </c>
      <c r="E37" s="145" t="str">
        <f>IF(D33="Worker Title"," ",0.004)</f>
        <v xml:space="preserve"> </v>
      </c>
      <c r="F37" s="289" t="str">
        <f>IF(F33="Worker Title"," ","Paid Leave Oregon")</f>
        <v xml:space="preserve"> </v>
      </c>
      <c r="G37" s="145" t="str">
        <f>IF(F33="Worker Title"," ",0.004)</f>
        <v xml:space="preserve"> </v>
      </c>
      <c r="H37" s="289" t="str">
        <f>IF(H33="Worker Title"," ","Paid Leave Oregon")</f>
        <v xml:space="preserve"> </v>
      </c>
      <c r="I37" s="145" t="str">
        <f>IF(H33="Worker Title"," ",0.004)</f>
        <v xml:space="preserve"> </v>
      </c>
      <c r="J37" s="289" t="str">
        <f>IF(J33="Worker Title"," ","Paid Leave Oregon")</f>
        <v xml:space="preserve"> </v>
      </c>
      <c r="K37" s="145" t="str">
        <f>IF(J33="Worker Title"," ",0.004)</f>
        <v xml:space="preserve"> </v>
      </c>
    </row>
    <row r="38" spans="2:11" x14ac:dyDescent="0.35">
      <c r="B38" s="277"/>
      <c r="C38" s="278"/>
      <c r="D38" s="277"/>
      <c r="E38" s="278"/>
      <c r="F38" s="277"/>
      <c r="G38" s="278"/>
      <c r="H38" s="277"/>
      <c r="I38" s="278"/>
      <c r="J38" s="277"/>
      <c r="K38" s="278"/>
    </row>
    <row r="39" spans="2:11" x14ac:dyDescent="0.35">
      <c r="B39" s="277"/>
      <c r="C39" s="278"/>
      <c r="D39" s="277"/>
      <c r="E39" s="278"/>
      <c r="F39" s="277"/>
      <c r="G39" s="278"/>
      <c r="H39" s="277"/>
      <c r="I39" s="278"/>
      <c r="J39" s="277"/>
      <c r="K39" s="278"/>
    </row>
    <row r="40" spans="2:11" x14ac:dyDescent="0.35">
      <c r="B40" s="277"/>
      <c r="C40" s="278"/>
      <c r="D40" s="277"/>
      <c r="E40" s="278"/>
      <c r="F40" s="277"/>
      <c r="G40" s="278"/>
      <c r="H40" s="277"/>
      <c r="I40" s="278"/>
      <c r="J40" s="277"/>
      <c r="K40" s="278"/>
    </row>
    <row r="41" spans="2:11" x14ac:dyDescent="0.35">
      <c r="B41" s="277"/>
      <c r="C41" s="278"/>
      <c r="D41" s="277"/>
      <c r="E41" s="278"/>
      <c r="F41" s="277"/>
      <c r="G41" s="278"/>
      <c r="H41" s="277"/>
      <c r="I41" s="278"/>
      <c r="J41" s="277"/>
      <c r="K41" s="278"/>
    </row>
    <row r="42" spans="2:11" x14ac:dyDescent="0.35">
      <c r="B42" s="277"/>
      <c r="C42" s="278"/>
      <c r="D42" s="277"/>
      <c r="E42" s="278"/>
      <c r="F42" s="277"/>
      <c r="G42" s="278"/>
      <c r="H42" s="277"/>
      <c r="I42" s="278"/>
      <c r="J42" s="277"/>
      <c r="K42" s="278"/>
    </row>
    <row r="43" spans="2:11" x14ac:dyDescent="0.35">
      <c r="B43" s="277"/>
      <c r="C43" s="278"/>
      <c r="D43" s="277"/>
      <c r="E43" s="278"/>
      <c r="F43" s="277"/>
      <c r="G43" s="278"/>
      <c r="H43" s="277"/>
      <c r="I43" s="278"/>
      <c r="J43" s="277"/>
      <c r="K43" s="278"/>
    </row>
    <row r="44" spans="2:11" x14ac:dyDescent="0.35">
      <c r="B44" s="277"/>
      <c r="C44" s="278"/>
      <c r="D44" s="277"/>
      <c r="E44" s="278"/>
      <c r="F44" s="277"/>
      <c r="G44" s="278"/>
      <c r="H44" s="277"/>
      <c r="I44" s="278"/>
      <c r="J44" s="277"/>
      <c r="K44" s="278"/>
    </row>
    <row r="45" spans="2:11" ht="15" thickBot="1" x14ac:dyDescent="0.4">
      <c r="B45" s="279"/>
      <c r="C45" s="280"/>
      <c r="D45" s="279"/>
      <c r="E45" s="280"/>
      <c r="F45" s="279"/>
      <c r="G45" s="280"/>
      <c r="H45" s="279"/>
      <c r="I45" s="280"/>
      <c r="J45" s="279"/>
      <c r="K45" s="280"/>
    </row>
    <row r="46" spans="2:11" ht="5.15" customHeight="1" x14ac:dyDescent="0.35"/>
    <row r="47" spans="2:11" ht="5.15" customHeight="1" x14ac:dyDescent="0.35"/>
    <row r="48" spans="2:11" x14ac:dyDescent="0.35">
      <c r="B48" s="19" t="s">
        <v>252</v>
      </c>
      <c r="C48" s="36"/>
      <c r="D48" s="19" t="s">
        <v>253</v>
      </c>
      <c r="E48" s="36"/>
      <c r="F48" s="19" t="s">
        <v>254</v>
      </c>
      <c r="G48" s="36"/>
      <c r="H48" s="19" t="s">
        <v>255</v>
      </c>
      <c r="I48" s="36"/>
      <c r="J48" s="19" t="s">
        <v>256</v>
      </c>
      <c r="K48" s="36"/>
    </row>
    <row r="49" spans="1:12" ht="15" thickBot="1" x14ac:dyDescent="0.4">
      <c r="B49" s="255" t="s">
        <v>195</v>
      </c>
      <c r="D49" s="255" t="s">
        <v>195</v>
      </c>
      <c r="F49" s="255" t="s">
        <v>195</v>
      </c>
      <c r="H49" s="255" t="s">
        <v>195</v>
      </c>
      <c r="J49" s="255" t="s">
        <v>195</v>
      </c>
    </row>
    <row r="50" spans="1:12" x14ac:dyDescent="0.35">
      <c r="B50" s="285" t="s">
        <v>126</v>
      </c>
      <c r="C50" s="76"/>
      <c r="D50" s="285" t="s">
        <v>126</v>
      </c>
      <c r="E50" s="76"/>
      <c r="F50" s="285" t="s">
        <v>126</v>
      </c>
      <c r="G50" s="76"/>
      <c r="H50" s="285" t="s">
        <v>126</v>
      </c>
      <c r="I50" s="76"/>
      <c r="J50" s="285" t="s">
        <v>126</v>
      </c>
      <c r="K50" s="76"/>
    </row>
    <row r="51" spans="1:12" ht="15" thickBot="1" x14ac:dyDescent="0.4">
      <c r="B51" s="286" t="s">
        <v>137</v>
      </c>
      <c r="C51" s="287" t="s">
        <v>75</v>
      </c>
      <c r="D51" s="286" t="s">
        <v>137</v>
      </c>
      <c r="E51" s="287" t="s">
        <v>75</v>
      </c>
      <c r="F51" s="286" t="s">
        <v>137</v>
      </c>
      <c r="G51" s="287" t="s">
        <v>75</v>
      </c>
      <c r="H51" s="286" t="s">
        <v>137</v>
      </c>
      <c r="I51" s="287" t="s">
        <v>75</v>
      </c>
      <c r="J51" s="286" t="s">
        <v>137</v>
      </c>
      <c r="K51" s="287" t="s">
        <v>75</v>
      </c>
    </row>
    <row r="52" spans="1:12" x14ac:dyDescent="0.35">
      <c r="B52" s="291" t="str">
        <f>IF(B49="Worker Title"," ","Sick Leave Oregon")</f>
        <v xml:space="preserve"> </v>
      </c>
      <c r="C52" s="130" t="str">
        <f>IF(B49="Worker Title"," ",3.33%)</f>
        <v xml:space="preserve"> </v>
      </c>
      <c r="D52" s="291" t="str">
        <f>IF(D49="Worker Title"," ","Sick Leave Oregon")</f>
        <v xml:space="preserve"> </v>
      </c>
      <c r="E52" s="130" t="str">
        <f>IF(D49="Worker Title"," ",3.33%)</f>
        <v xml:space="preserve"> </v>
      </c>
      <c r="F52" s="291" t="str">
        <f>IF(F49="Worker Title"," ","Sick Leave Oregon")</f>
        <v xml:space="preserve"> </v>
      </c>
      <c r="G52" s="130" t="str">
        <f>IF(F49="Worker Title"," ",3.33%)</f>
        <v xml:space="preserve"> </v>
      </c>
      <c r="H52" s="291" t="str">
        <f>IF(H49="Worker Title"," ","Sick Leave Oregon")</f>
        <v xml:space="preserve"> </v>
      </c>
      <c r="I52" s="130" t="str">
        <f>IF(H49="Worker Title"," ",3.33%)</f>
        <v xml:space="preserve"> </v>
      </c>
      <c r="J52" s="291" t="str">
        <f>IF(J49="Worker Title"," ","Sick Leave Oregon")</f>
        <v xml:space="preserve"> </v>
      </c>
      <c r="K52" s="130" t="str">
        <f>IF(J49="Worker Title"," ",3.33%)</f>
        <v xml:space="preserve"> </v>
      </c>
    </row>
    <row r="53" spans="1:12" x14ac:dyDescent="0.35">
      <c r="B53" s="292" t="str">
        <f>IF(B49="Worker Title"," ","Paid Leave Oregon")</f>
        <v xml:space="preserve"> </v>
      </c>
      <c r="C53" s="145" t="str">
        <f>IF(B49="Worker Title"," ",0.004)</f>
        <v xml:space="preserve"> </v>
      </c>
      <c r="D53" s="292" t="str">
        <f>IF(D49="Worker Title"," ","Paid Leave Oregon")</f>
        <v xml:space="preserve"> </v>
      </c>
      <c r="E53" s="145" t="str">
        <f>IF(D49="Worker Title"," ",0.004)</f>
        <v xml:space="preserve"> </v>
      </c>
      <c r="F53" s="292" t="str">
        <f>IF(F49="Worker Title"," ","Paid Leave Oregon")</f>
        <v xml:space="preserve"> </v>
      </c>
      <c r="G53" s="145" t="str">
        <f>IF(F49="Worker Title"," ",0.004)</f>
        <v xml:space="preserve"> </v>
      </c>
      <c r="H53" s="292" t="str">
        <f>IF(H49="Worker Title"," ","Paid Leave Oregon")</f>
        <v xml:space="preserve"> </v>
      </c>
      <c r="I53" s="145" t="str">
        <f>IF(H49="Worker Title"," ",0.004)</f>
        <v xml:space="preserve"> </v>
      </c>
      <c r="J53" s="292" t="str">
        <f>IF(J49="Worker Title"," ","Paid Leave Oregon")</f>
        <v xml:space="preserve"> </v>
      </c>
      <c r="K53" s="145" t="str">
        <f>IF(J49="Worker Title"," ",0.004)</f>
        <v xml:space="preserve"> </v>
      </c>
    </row>
    <row r="54" spans="1:12" x14ac:dyDescent="0.35">
      <c r="B54" s="277"/>
      <c r="C54" s="278"/>
      <c r="D54" s="277"/>
      <c r="E54" s="278"/>
      <c r="F54" s="277"/>
      <c r="G54" s="278"/>
      <c r="H54" s="277"/>
      <c r="I54" s="278"/>
      <c r="J54" s="277"/>
      <c r="K54" s="278"/>
    </row>
    <row r="55" spans="1:12" x14ac:dyDescent="0.35">
      <c r="B55" s="277"/>
      <c r="C55" s="278"/>
      <c r="D55" s="277"/>
      <c r="E55" s="278"/>
      <c r="F55" s="277"/>
      <c r="G55" s="278"/>
      <c r="H55" s="277"/>
      <c r="I55" s="278"/>
      <c r="J55" s="277"/>
      <c r="K55" s="278"/>
    </row>
    <row r="56" spans="1:12" x14ac:dyDescent="0.35">
      <c r="B56" s="277"/>
      <c r="C56" s="278"/>
      <c r="D56" s="277"/>
      <c r="E56" s="278"/>
      <c r="F56" s="277"/>
      <c r="G56" s="278"/>
      <c r="H56" s="277"/>
      <c r="I56" s="278"/>
      <c r="J56" s="277"/>
      <c r="K56" s="278"/>
    </row>
    <row r="57" spans="1:12" x14ac:dyDescent="0.35">
      <c r="B57" s="277"/>
      <c r="C57" s="278"/>
      <c r="D57" s="277"/>
      <c r="E57" s="278"/>
      <c r="F57" s="277"/>
      <c r="G57" s="278"/>
      <c r="H57" s="277"/>
      <c r="I57" s="278"/>
      <c r="J57" s="277"/>
      <c r="K57" s="278"/>
    </row>
    <row r="58" spans="1:12" x14ac:dyDescent="0.35">
      <c r="B58" s="277"/>
      <c r="C58" s="278"/>
      <c r="D58" s="277"/>
      <c r="E58" s="278"/>
      <c r="F58" s="277"/>
      <c r="G58" s="278"/>
      <c r="H58" s="277"/>
      <c r="I58" s="278"/>
      <c r="J58" s="277"/>
      <c r="K58" s="278"/>
    </row>
    <row r="59" spans="1:12" x14ac:dyDescent="0.35">
      <c r="B59" s="277"/>
      <c r="C59" s="278"/>
      <c r="D59" s="277"/>
      <c r="E59" s="278"/>
      <c r="F59" s="277"/>
      <c r="G59" s="278"/>
      <c r="H59" s="277"/>
      <c r="I59" s="278"/>
      <c r="J59" s="277"/>
      <c r="K59" s="278"/>
    </row>
    <row r="60" spans="1:12" x14ac:dyDescent="0.35">
      <c r="B60" s="277"/>
      <c r="C60" s="278"/>
      <c r="D60" s="281"/>
      <c r="E60" s="278"/>
      <c r="F60" s="277"/>
      <c r="G60" s="278"/>
      <c r="H60" s="277"/>
      <c r="I60" s="278"/>
      <c r="J60" s="277"/>
      <c r="K60" s="278"/>
    </row>
    <row r="61" spans="1:12" ht="15" thickBot="1" x14ac:dyDescent="0.4">
      <c r="B61" s="279"/>
      <c r="C61" s="280"/>
      <c r="D61" s="279"/>
      <c r="E61" s="280"/>
      <c r="F61" s="279"/>
      <c r="G61" s="280"/>
      <c r="H61" s="279"/>
      <c r="I61" s="280"/>
      <c r="J61" s="279"/>
      <c r="K61" s="280"/>
    </row>
    <row r="63" spans="1:12" ht="15" thickBot="1" x14ac:dyDescent="0.4">
      <c r="A63" s="68"/>
      <c r="B63" s="545" t="s">
        <v>195</v>
      </c>
      <c r="C63" s="546" t="s">
        <v>257</v>
      </c>
      <c r="D63" s="547" t="s">
        <v>258</v>
      </c>
    </row>
    <row r="64" spans="1:12" x14ac:dyDescent="0.35">
      <c r="A64" s="548" t="str">
        <f>B16</f>
        <v>Emp type 1</v>
      </c>
      <c r="B64" s="549" t="str">
        <f>B17</f>
        <v>Worker Title</v>
      </c>
      <c r="C64" s="550">
        <f>C18</f>
        <v>0</v>
      </c>
      <c r="D64" s="551">
        <f>SUM(C20:C29)</f>
        <v>0</v>
      </c>
      <c r="L64" t="s">
        <v>99</v>
      </c>
    </row>
    <row r="65" spans="1:4" x14ac:dyDescent="0.35">
      <c r="A65" s="548" t="str">
        <f>D16</f>
        <v>Emp type 2</v>
      </c>
      <c r="B65" s="552" t="str">
        <f>D17</f>
        <v>Worker Title</v>
      </c>
      <c r="C65" s="553">
        <f>E18</f>
        <v>0</v>
      </c>
      <c r="D65" s="554">
        <f>SUM(E20:E29)</f>
        <v>0</v>
      </c>
    </row>
    <row r="66" spans="1:4" x14ac:dyDescent="0.35">
      <c r="A66" s="548" t="str">
        <f>F16</f>
        <v>Emp type 3</v>
      </c>
      <c r="B66" s="552" t="str">
        <f>F17</f>
        <v>Worker Title</v>
      </c>
      <c r="C66" s="553">
        <f>G18</f>
        <v>0</v>
      </c>
      <c r="D66" s="554">
        <f>SUM(G20:G29)</f>
        <v>0</v>
      </c>
    </row>
    <row r="67" spans="1:4" x14ac:dyDescent="0.35">
      <c r="A67" s="548" t="str">
        <f>H16</f>
        <v>Emp type 4</v>
      </c>
      <c r="B67" s="552" t="str">
        <f>H17</f>
        <v>Worker Title</v>
      </c>
      <c r="C67" s="553">
        <f>I18</f>
        <v>0</v>
      </c>
      <c r="D67" s="554">
        <f>SUM(I20:I29)</f>
        <v>0</v>
      </c>
    </row>
    <row r="68" spans="1:4" x14ac:dyDescent="0.35">
      <c r="A68" s="548" t="str">
        <f>J16</f>
        <v>Emp type 5</v>
      </c>
      <c r="B68" s="552" t="str">
        <f>J17</f>
        <v>Worker Title</v>
      </c>
      <c r="C68" s="553">
        <f>K18</f>
        <v>0</v>
      </c>
      <c r="D68" s="554">
        <f>SUM(K20:K29)</f>
        <v>0</v>
      </c>
    </row>
    <row r="69" spans="1:4" x14ac:dyDescent="0.35">
      <c r="A69" s="548" t="str">
        <f>B32</f>
        <v>Emp type 6</v>
      </c>
      <c r="B69" s="552" t="str">
        <f>B33</f>
        <v>Worker Title</v>
      </c>
      <c r="C69" s="553">
        <f>C34</f>
        <v>0</v>
      </c>
      <c r="D69" s="554">
        <f>SUM(C36:C45)</f>
        <v>0</v>
      </c>
    </row>
    <row r="70" spans="1:4" x14ac:dyDescent="0.35">
      <c r="A70" s="548" t="str">
        <f>D32</f>
        <v>Emp type 7</v>
      </c>
      <c r="B70" s="552" t="str">
        <f>D33</f>
        <v>Worker Title</v>
      </c>
      <c r="C70" s="553">
        <f>E34</f>
        <v>0</v>
      </c>
      <c r="D70" s="554">
        <f>SUM(E36:E45)</f>
        <v>0</v>
      </c>
    </row>
    <row r="71" spans="1:4" x14ac:dyDescent="0.35">
      <c r="A71" s="548" t="str">
        <f>F32</f>
        <v>Emp type 8</v>
      </c>
      <c r="B71" s="552" t="str">
        <f>F33</f>
        <v>Worker Title</v>
      </c>
      <c r="C71" s="553">
        <f>G34</f>
        <v>0</v>
      </c>
      <c r="D71" s="554">
        <f>SUM(G36:G45)</f>
        <v>0</v>
      </c>
    </row>
    <row r="72" spans="1:4" x14ac:dyDescent="0.35">
      <c r="A72" s="548" t="str">
        <f>H32</f>
        <v>Emp type 9</v>
      </c>
      <c r="B72" s="552" t="str">
        <f>H33</f>
        <v>Worker Title</v>
      </c>
      <c r="C72" s="553">
        <f>I34</f>
        <v>0</v>
      </c>
      <c r="D72" s="554">
        <f>SUM(I36:I45)</f>
        <v>0</v>
      </c>
    </row>
    <row r="73" spans="1:4" x14ac:dyDescent="0.35">
      <c r="A73" s="548" t="str">
        <f>J32</f>
        <v>Emp type 10</v>
      </c>
      <c r="B73" s="555" t="str">
        <f>J33</f>
        <v>Worker Title</v>
      </c>
      <c r="C73" s="556">
        <f>K34</f>
        <v>0</v>
      </c>
      <c r="D73" s="557">
        <f>SUM(K36:K45)</f>
        <v>0</v>
      </c>
    </row>
    <row r="74" spans="1:4" x14ac:dyDescent="0.35">
      <c r="A74" s="548" t="str">
        <f>B48</f>
        <v>Emp type 11</v>
      </c>
      <c r="B74" s="552" t="str">
        <f>B49</f>
        <v>Worker Title</v>
      </c>
      <c r="C74" s="553">
        <f>C50</f>
        <v>0</v>
      </c>
      <c r="D74" s="554">
        <f>SUM(C52:C61)</f>
        <v>0</v>
      </c>
    </row>
    <row r="75" spans="1:4" x14ac:dyDescent="0.35">
      <c r="A75" s="548" t="str">
        <f>D48</f>
        <v>Emp type 12</v>
      </c>
      <c r="B75" s="552" t="str">
        <f>D49</f>
        <v>Worker Title</v>
      </c>
      <c r="C75" s="553">
        <f>E50</f>
        <v>0</v>
      </c>
      <c r="D75" s="554">
        <f>SUM(E52:E61)</f>
        <v>0</v>
      </c>
    </row>
    <row r="76" spans="1:4" x14ac:dyDescent="0.35">
      <c r="A76" s="548" t="str">
        <f>F48</f>
        <v>Emp type 13</v>
      </c>
      <c r="B76" s="552" t="str">
        <f>F49</f>
        <v>Worker Title</v>
      </c>
      <c r="C76" s="553">
        <f>G50</f>
        <v>0</v>
      </c>
      <c r="D76" s="554">
        <f>SUM(G52:G61)</f>
        <v>0</v>
      </c>
    </row>
    <row r="77" spans="1:4" x14ac:dyDescent="0.35">
      <c r="A77" s="548" t="str">
        <f>H48</f>
        <v>Emp type 14</v>
      </c>
      <c r="B77" s="552" t="str">
        <f>H49</f>
        <v>Worker Title</v>
      </c>
      <c r="C77" s="553">
        <f>I50</f>
        <v>0</v>
      </c>
      <c r="D77" s="554">
        <f>SUM(I52:I61)</f>
        <v>0</v>
      </c>
    </row>
    <row r="78" spans="1:4" x14ac:dyDescent="0.35">
      <c r="A78" s="548" t="str">
        <f>J48</f>
        <v>Emp type 15</v>
      </c>
      <c r="B78" s="555" t="str">
        <f>J49</f>
        <v>Worker Title</v>
      </c>
      <c r="C78" s="556">
        <f>K50</f>
        <v>0</v>
      </c>
      <c r="D78" s="557">
        <f>SUM(K52:K61)</f>
        <v>0</v>
      </c>
    </row>
  </sheetData>
  <sheetProtection algorithmName="SHA-512" hashValue="oczsZ7fgTMHbIPa/usowAo1KQtl7oifSxt38DWBJMko7EBLNpfFcMmS+Bjkc2v4f96UHFHgR3DoREPln8R4A8w==" saltValue="EHS7jWM4N4nuL6mPWAIoFw==" spinCount="100000" sheet="1" objects="1" scenarios="1"/>
  <mergeCells count="4">
    <mergeCell ref="C1:J1"/>
    <mergeCell ref="C4:F4"/>
    <mergeCell ref="C6:F6"/>
    <mergeCell ref="C8:F8"/>
  </mergeCells>
  <conditionalFormatting sqref="B17 D17 F17 H17 J17 B33 D33 F33">
    <cfRule type="cellIs" dxfId="95" priority="1" operator="notEqual">
      <formula>"Worker Title"</formula>
    </cfRule>
  </conditionalFormatting>
  <conditionalFormatting sqref="B49 D49 F49 H49 J49">
    <cfRule type="cellIs" dxfId="94" priority="5" operator="notEqual">
      <formula>"Worker Title"</formula>
    </cfRule>
  </conditionalFormatting>
  <conditionalFormatting sqref="B22:K29 B38:K45">
    <cfRule type="cellIs" dxfId="93" priority="2" operator="notEqual">
      <formula>0</formula>
    </cfRule>
  </conditionalFormatting>
  <conditionalFormatting sqref="B54:K61">
    <cfRule type="cellIs" dxfId="92" priority="3" operator="notEqual">
      <formula>0</formula>
    </cfRule>
  </conditionalFormatting>
  <conditionalFormatting sqref="C10:C11">
    <cfRule type="cellIs" dxfId="91" priority="7" operator="notEqual">
      <formula>0</formula>
    </cfRule>
  </conditionalFormatting>
  <conditionalFormatting sqref="C18 E18 G18 I18 K18 C34 E34 G34 I34 K34">
    <cfRule type="cellIs" dxfId="90" priority="6" operator="notEqual">
      <formula>0</formula>
    </cfRule>
  </conditionalFormatting>
  <conditionalFormatting sqref="C50 E50 G50 I50 K50">
    <cfRule type="cellIs" dxfId="89" priority="4" operator="notEqual">
      <formula>0</formula>
    </cfRule>
  </conditionalFormatting>
  <conditionalFormatting sqref="H33 J33">
    <cfRule type="cellIs" dxfId="88" priority="8" operator="notEqual">
      <formula>"Worker Title"</formula>
    </cfRule>
  </conditionalFormatting>
  <hyperlinks>
    <hyperlink ref="L3" location="'kt info'!C3" display="Contract Information" xr:uid="{55F20EF2-70F0-4B6C-AB85-5CA2B38B6302}"/>
    <hyperlink ref="L4" location="'Overhead &amp; Margin'!D10" display="Overhead &amp; Margin" xr:uid="{398539A6-E13B-48BE-B129-4A78E6598401}"/>
    <hyperlink ref="L10" location="'Monthly Janitorial'!B21" display="Monthly Janitorial" xr:uid="{D5220174-970E-450E-968E-9E3781F12684}"/>
    <hyperlink ref="L11" location="Periodics!B22" display="Periodical Services(Carpets, Hard Floors, Windows, Blinds, other periodical services" xr:uid="{A21AAC80-A64E-486A-8A54-711F7CE03F40}"/>
    <hyperlink ref="L12" location="'Except,Emer&amp;Day Porter'!H4" display="Exceptional, Emergency and Day Porter Services" xr:uid="{C11DCE4E-4B46-47B0-92BB-7BBD1BA586C2}"/>
    <hyperlink ref="L6" location="Supplies!B13" display="Supplies" xr:uid="{0AC7DB72-36A0-481C-B10B-ECC4954776CD}"/>
    <hyperlink ref="L7" location="'Equipment List'!B12" display="Equipment" xr:uid="{0D1105FC-2322-40D8-BCA2-5D1846CA7A8A}"/>
    <hyperlink ref="L14" location="'Price Approval'!A1" display="Price Approval" xr:uid="{B88018B1-262E-4617-AE56-BBDCAB82FF3F}"/>
    <hyperlink ref="L8" location="Subcontractors!B15" display="Subcontractors" xr:uid="{14DD05CF-D8DC-4682-9C6B-FF54CEFC105E}"/>
    <hyperlink ref="L5" location="'Pay &amp; Benefits'!C10" display="Wages and Benefits (includes Unemployment and Worker's Compensation" xr:uid="{E00F96CE-DF6C-4ED8-B5DD-1884770957D5}"/>
    <hyperlink ref="L9" location="Transportation!B6" display="Transportation" xr:uid="{6FEDFE92-4802-4942-8D29-950AB1AFAF18}"/>
    <hyperlink ref="L13" location="'Summary-pricing'!A1" display="Summary-Pricing" xr:uid="{A9E24C87-AEE9-4A14-BEE2-BC43365DE145}"/>
    <hyperlink ref="I3" location="'kt info'!C3" display="Contract Information" xr:uid="{19B5FBFF-F87B-4333-B3D2-344B22994F72}"/>
    <hyperlink ref="I4" location="'Summary-pricing'!C3" display="Summary Pricing" xr:uid="{698627F7-9176-4834-8D49-6756896325BC}"/>
    <hyperlink ref="I6" location="'Monthly Janitorial'!B21" display="Monthly Janitorial" xr:uid="{90B8C6EF-DBC9-41B5-8F64-A4AB14DA638C}"/>
    <hyperlink ref="I7" location="Periodics!E3" display="Periodical Services(Carpets, Hard Floors, Windows, Blinds, other periodical services" xr:uid="{89D1B1DE-FBBC-4728-BE3D-FD88A3B8C695}"/>
    <hyperlink ref="I8" location="'Except,Emer&amp;Day Porter'!H4" display="Exceptional, Emergency and Day Porter Services" xr:uid="{5FA62B2A-4FCC-4C44-BB3A-4C2FB0D30504}"/>
    <hyperlink ref="I9" location="Supplies!B13" display="Supplies" xr:uid="{840D9095-9E0D-4BBD-AE30-3F32F97B0154}"/>
    <hyperlink ref="I10" location="'Equipment List'!B12" display="Equipment" xr:uid="{4680C927-1A8C-48CE-896E-1045E5517219}"/>
    <hyperlink ref="I11" location="'Price Approval'!A1" display="Price Approval" xr:uid="{34A8977B-F0D6-4365-AB53-8514116CEE2A}"/>
    <hyperlink ref="I12" location="Subcontractors!B15" display="Subcontractors" xr:uid="{55CA2B41-89D9-4A5C-9AA8-B84B544FAAA6}"/>
    <hyperlink ref="I5" location="'Pay &amp; Benefits'!C10" display="Wages and Benefits" xr:uid="{E5FA3C5C-6574-49DF-AC78-E98B40C57D49}"/>
  </hyperlinks>
  <pageMargins left="0.7" right="0.7" top="0.75" bottom="0.75" header="0.3" footer="0.3"/>
  <ignoredErrors>
    <ignoredError sqref="C21" formula="1"/>
  </ignoredErrors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09248C-2696-481C-A3DA-E7AF8B7FF60B}">
  <dimension ref="A1:L62"/>
  <sheetViews>
    <sheetView showGridLines="0" showZeros="0" workbookViewId="0">
      <pane ySplit="1" topLeftCell="A8" activePane="bottomLeft" state="frozen"/>
      <selection activeCell="B8" sqref="B8"/>
      <selection pane="bottomLeft" activeCell="G10" activeCellId="1" sqref="D10 G10"/>
    </sheetView>
  </sheetViews>
  <sheetFormatPr defaultRowHeight="14.5" x14ac:dyDescent="0.35"/>
  <cols>
    <col min="2" max="2" width="41.1796875" customWidth="1"/>
    <col min="3" max="3" width="15.1796875" customWidth="1"/>
    <col min="4" max="4" width="15.453125" customWidth="1"/>
    <col min="6" max="10" width="16.81640625" customWidth="1"/>
  </cols>
  <sheetData>
    <row r="1" spans="1:12" ht="29.25" customHeight="1" x14ac:dyDescent="0.35">
      <c r="A1" s="610"/>
      <c r="B1" s="707" t="s">
        <v>173</v>
      </c>
      <c r="C1" s="707"/>
      <c r="D1" s="707"/>
      <c r="E1" s="707"/>
      <c r="F1" s="707"/>
      <c r="G1" s="707"/>
      <c r="H1" s="707"/>
      <c r="I1" s="707"/>
    </row>
    <row r="2" spans="1:12" ht="13.5" customHeight="1" x14ac:dyDescent="0.35">
      <c r="D2" s="609" t="str">
        <f>'kt info'!B12</f>
        <v>Form date: 10/24/25</v>
      </c>
      <c r="J2" s="20"/>
      <c r="K2" s="56"/>
    </row>
    <row r="3" spans="1:12" x14ac:dyDescent="0.35">
      <c r="B3" t="s">
        <v>109</v>
      </c>
      <c r="C3" s="735">
        <f>'kt info'!$C$3</f>
        <v>0</v>
      </c>
      <c r="D3" s="735"/>
      <c r="E3" s="736"/>
      <c r="F3" s="737"/>
      <c r="G3" s="20"/>
      <c r="H3" s="20"/>
      <c r="I3" s="56"/>
      <c r="K3" s="56"/>
    </row>
    <row r="4" spans="1:12" ht="5.15" customHeight="1" x14ac:dyDescent="0.35">
      <c r="C4" s="100"/>
      <c r="D4" s="100"/>
      <c r="E4" s="100"/>
      <c r="F4" s="100"/>
      <c r="I4" s="56"/>
      <c r="K4" s="56"/>
    </row>
    <row r="5" spans="1:12" x14ac:dyDescent="0.35">
      <c r="B5" t="s">
        <v>110</v>
      </c>
      <c r="C5" s="735">
        <f>'kt info'!$C$5</f>
        <v>0</v>
      </c>
      <c r="D5" s="735"/>
      <c r="E5" s="737"/>
      <c r="F5" s="737"/>
      <c r="I5" s="56"/>
      <c r="K5" s="56"/>
    </row>
    <row r="6" spans="1:12" ht="5.15" customHeight="1" x14ac:dyDescent="0.35">
      <c r="C6" s="100"/>
      <c r="D6" s="100"/>
      <c r="E6" s="100"/>
      <c r="F6" s="100"/>
      <c r="I6" s="56"/>
      <c r="K6" s="56"/>
    </row>
    <row r="7" spans="1:12" x14ac:dyDescent="0.35">
      <c r="B7" t="s">
        <v>135</v>
      </c>
      <c r="C7" s="735">
        <f>'kt info'!$C$7</f>
        <v>0</v>
      </c>
      <c r="D7" s="735"/>
      <c r="E7" s="737"/>
      <c r="F7" s="737"/>
      <c r="I7" s="56"/>
      <c r="K7" s="56"/>
    </row>
    <row r="8" spans="1:12" ht="5.15" customHeight="1" x14ac:dyDescent="0.35">
      <c r="I8" s="56"/>
      <c r="K8" s="56"/>
    </row>
    <row r="9" spans="1:12" x14ac:dyDescent="0.35">
      <c r="I9" s="56"/>
      <c r="K9" s="20" t="s">
        <v>133</v>
      </c>
      <c r="L9" s="56" t="s">
        <v>134</v>
      </c>
    </row>
    <row r="10" spans="1:12" ht="18.5" x14ac:dyDescent="0.45">
      <c r="B10" s="3" t="s">
        <v>295</v>
      </c>
      <c r="D10" s="238"/>
      <c r="F10" s="2" t="s">
        <v>90</v>
      </c>
      <c r="G10" s="238"/>
      <c r="I10" s="56"/>
      <c r="L10" s="56" t="s">
        <v>259</v>
      </c>
    </row>
    <row r="11" spans="1:12" x14ac:dyDescent="0.35">
      <c r="F11" t="s">
        <v>91</v>
      </c>
      <c r="I11" s="56"/>
      <c r="L11" s="56" t="s">
        <v>260</v>
      </c>
    </row>
    <row r="12" spans="1:12" x14ac:dyDescent="0.35">
      <c r="B12" t="str">
        <f>IF(D10=0," ",IF(D10&gt;20%,"Overhead exceeding 20% must be supported"," "))</f>
        <v xml:space="preserve"> </v>
      </c>
      <c r="F12" t="str">
        <f>IF(G10=0," ",IF(G10&gt;6%,"Margin exceeding 6% must be explained"," "))</f>
        <v xml:space="preserve"> </v>
      </c>
      <c r="I12" s="56"/>
      <c r="L12" s="56" t="s">
        <v>80</v>
      </c>
    </row>
    <row r="13" spans="1:12" ht="15" thickBot="1" x14ac:dyDescent="0.4">
      <c r="J13" s="222"/>
      <c r="L13" s="56" t="s">
        <v>15</v>
      </c>
    </row>
    <row r="14" spans="1:12" ht="30.5" thickBot="1" x14ac:dyDescent="0.65">
      <c r="B14" s="730" t="s">
        <v>39</v>
      </c>
      <c r="C14" s="731"/>
      <c r="D14" s="732"/>
      <c r="F14" s="590" t="s">
        <v>40</v>
      </c>
      <c r="G14" s="591"/>
      <c r="H14" s="591"/>
      <c r="I14" s="591"/>
      <c r="J14" s="592"/>
      <c r="L14" s="56" t="s">
        <v>201</v>
      </c>
    </row>
    <row r="15" spans="1:12" ht="15.5" x14ac:dyDescent="0.35">
      <c r="B15" s="8"/>
      <c r="C15" s="733" t="s">
        <v>41</v>
      </c>
      <c r="D15" s="734"/>
      <c r="F15" s="593" t="s">
        <v>277</v>
      </c>
      <c r="G15" s="594"/>
      <c r="H15" s="594"/>
      <c r="I15" s="594"/>
      <c r="J15" s="595"/>
      <c r="L15" s="56" t="s">
        <v>89</v>
      </c>
    </row>
    <row r="16" spans="1:12" ht="15.5" x14ac:dyDescent="0.35">
      <c r="B16" s="9" t="s">
        <v>42</v>
      </c>
      <c r="C16" s="10" t="s">
        <v>43</v>
      </c>
      <c r="D16" s="10" t="s">
        <v>44</v>
      </c>
      <c r="F16" s="593" t="s">
        <v>278</v>
      </c>
      <c r="G16" s="594"/>
      <c r="H16" s="594"/>
      <c r="I16" s="594"/>
      <c r="J16" s="595"/>
      <c r="L16" s="56" t="s">
        <v>2</v>
      </c>
    </row>
    <row r="17" spans="2:12" ht="15.5" x14ac:dyDescent="0.35">
      <c r="B17" s="11" t="s">
        <v>45</v>
      </c>
      <c r="C17" s="45"/>
      <c r="D17" s="46"/>
      <c r="F17" s="727" t="s">
        <v>293</v>
      </c>
      <c r="G17" s="728"/>
      <c r="H17" s="728"/>
      <c r="I17" s="728"/>
      <c r="J17" s="729"/>
      <c r="L17" s="56" t="s">
        <v>230</v>
      </c>
    </row>
    <row r="18" spans="2:12" ht="16" thickBot="1" x14ac:dyDescent="0.4">
      <c r="B18" s="12" t="s">
        <v>46</v>
      </c>
      <c r="C18" s="46"/>
      <c r="D18" s="46"/>
      <c r="F18" s="596" t="s">
        <v>294</v>
      </c>
      <c r="G18" s="597"/>
      <c r="H18" s="597"/>
      <c r="I18" s="597"/>
      <c r="J18" s="598"/>
      <c r="L18" s="56" t="s">
        <v>231</v>
      </c>
    </row>
    <row r="19" spans="2:12" x14ac:dyDescent="0.35">
      <c r="B19" s="12" t="s">
        <v>47</v>
      </c>
      <c r="C19" s="46"/>
      <c r="D19" s="46"/>
      <c r="F19" s="718"/>
      <c r="G19" s="719"/>
      <c r="H19" s="719"/>
      <c r="I19" s="719"/>
      <c r="J19" s="720"/>
      <c r="L19" s="56" t="s">
        <v>261</v>
      </c>
    </row>
    <row r="20" spans="2:12" x14ac:dyDescent="0.35">
      <c r="B20" s="12" t="s">
        <v>48</v>
      </c>
      <c r="C20" s="46"/>
      <c r="D20" s="46"/>
      <c r="F20" s="721"/>
      <c r="G20" s="722"/>
      <c r="H20" s="722"/>
      <c r="I20" s="722"/>
      <c r="J20" s="723"/>
      <c r="K20" s="222"/>
      <c r="L20" s="56" t="s">
        <v>232</v>
      </c>
    </row>
    <row r="21" spans="2:12" x14ac:dyDescent="0.35">
      <c r="B21" s="12" t="s">
        <v>49</v>
      </c>
      <c r="C21" s="46"/>
      <c r="D21" s="46"/>
      <c r="F21" s="721"/>
      <c r="G21" s="722"/>
      <c r="H21" s="722"/>
      <c r="I21" s="722"/>
      <c r="J21" s="723"/>
    </row>
    <row r="22" spans="2:12" x14ac:dyDescent="0.35">
      <c r="B22" s="12" t="s">
        <v>50</v>
      </c>
      <c r="C22" s="46"/>
      <c r="D22" s="46"/>
      <c r="F22" s="721"/>
      <c r="G22" s="722"/>
      <c r="H22" s="722"/>
      <c r="I22" s="722"/>
      <c r="J22" s="723"/>
    </row>
    <row r="23" spans="2:12" x14ac:dyDescent="0.35">
      <c r="B23" s="12" t="s">
        <v>51</v>
      </c>
      <c r="C23" s="46"/>
      <c r="D23" s="46"/>
      <c r="F23" s="721"/>
      <c r="G23" s="722"/>
      <c r="H23" s="722"/>
      <c r="I23" s="722"/>
      <c r="J23" s="723"/>
    </row>
    <row r="24" spans="2:12" x14ac:dyDescent="0.35">
      <c r="B24" s="12" t="s">
        <v>52</v>
      </c>
      <c r="C24" s="46"/>
      <c r="D24" s="46"/>
      <c r="F24" s="721"/>
      <c r="G24" s="722"/>
      <c r="H24" s="722"/>
      <c r="I24" s="722"/>
      <c r="J24" s="723"/>
    </row>
    <row r="25" spans="2:12" x14ac:dyDescent="0.35">
      <c r="B25" s="12" t="s">
        <v>53</v>
      </c>
      <c r="C25" s="46"/>
      <c r="D25" s="46"/>
      <c r="F25" s="721"/>
      <c r="G25" s="722"/>
      <c r="H25" s="722"/>
      <c r="I25" s="722"/>
      <c r="J25" s="723"/>
    </row>
    <row r="26" spans="2:12" x14ac:dyDescent="0.35">
      <c r="B26" s="12" t="s">
        <v>54</v>
      </c>
      <c r="C26" s="46"/>
      <c r="D26" s="46"/>
      <c r="F26" s="721"/>
      <c r="G26" s="722"/>
      <c r="H26" s="722"/>
      <c r="I26" s="722"/>
      <c r="J26" s="723"/>
    </row>
    <row r="27" spans="2:12" x14ac:dyDescent="0.35">
      <c r="B27" s="12" t="s">
        <v>55</v>
      </c>
      <c r="C27" s="46"/>
      <c r="D27" s="46"/>
      <c r="F27" s="721"/>
      <c r="G27" s="722"/>
      <c r="H27" s="722"/>
      <c r="I27" s="722"/>
      <c r="J27" s="723"/>
    </row>
    <row r="28" spans="2:12" x14ac:dyDescent="0.35">
      <c r="B28" s="12" t="s">
        <v>56</v>
      </c>
      <c r="C28" s="46"/>
      <c r="D28" s="46"/>
      <c r="F28" s="721"/>
      <c r="G28" s="722"/>
      <c r="H28" s="722"/>
      <c r="I28" s="722"/>
      <c r="J28" s="723"/>
    </row>
    <row r="29" spans="2:12" x14ac:dyDescent="0.35">
      <c r="B29" s="12" t="s">
        <v>57</v>
      </c>
      <c r="C29" s="46"/>
      <c r="D29" s="46"/>
      <c r="F29" s="721"/>
      <c r="G29" s="722"/>
      <c r="H29" s="722"/>
      <c r="I29" s="722"/>
      <c r="J29" s="723"/>
    </row>
    <row r="30" spans="2:12" x14ac:dyDescent="0.35">
      <c r="B30" s="12" t="s">
        <v>58</v>
      </c>
      <c r="C30" s="46"/>
      <c r="D30" s="46"/>
      <c r="F30" s="721"/>
      <c r="G30" s="722"/>
      <c r="H30" s="722"/>
      <c r="I30" s="722"/>
      <c r="J30" s="723"/>
    </row>
    <row r="31" spans="2:12" x14ac:dyDescent="0.35">
      <c r="B31" s="12" t="s">
        <v>59</v>
      </c>
      <c r="C31" s="46"/>
      <c r="D31" s="46"/>
      <c r="F31" s="721"/>
      <c r="G31" s="722"/>
      <c r="H31" s="722"/>
      <c r="I31" s="722"/>
      <c r="J31" s="723"/>
    </row>
    <row r="32" spans="2:12" x14ac:dyDescent="0.35">
      <c r="B32" s="12" t="s">
        <v>60</v>
      </c>
      <c r="C32" s="46"/>
      <c r="D32" s="46"/>
      <c r="F32" s="721"/>
      <c r="G32" s="722"/>
      <c r="H32" s="722"/>
      <c r="I32" s="722"/>
      <c r="J32" s="723"/>
    </row>
    <row r="33" spans="2:10" x14ac:dyDescent="0.35">
      <c r="B33" s="12" t="s">
        <v>61</v>
      </c>
      <c r="C33" s="46"/>
      <c r="D33" s="46"/>
      <c r="F33" s="721"/>
      <c r="G33" s="722"/>
      <c r="H33" s="722"/>
      <c r="I33" s="722"/>
      <c r="J33" s="723"/>
    </row>
    <row r="34" spans="2:10" x14ac:dyDescent="0.35">
      <c r="B34" s="12" t="s">
        <v>62</v>
      </c>
      <c r="C34" s="46"/>
      <c r="D34" s="46"/>
      <c r="F34" s="721"/>
      <c r="G34" s="722"/>
      <c r="H34" s="722"/>
      <c r="I34" s="722"/>
      <c r="J34" s="723"/>
    </row>
    <row r="35" spans="2:10" x14ac:dyDescent="0.35">
      <c r="B35" s="12" t="s">
        <v>63</v>
      </c>
      <c r="C35" s="46"/>
      <c r="D35" s="46"/>
      <c r="F35" s="721"/>
      <c r="G35" s="722"/>
      <c r="H35" s="722"/>
      <c r="I35" s="722"/>
      <c r="J35" s="723"/>
    </row>
    <row r="36" spans="2:10" x14ac:dyDescent="0.35">
      <c r="B36" s="12" t="s">
        <v>64</v>
      </c>
      <c r="C36" s="46"/>
      <c r="D36" s="46"/>
      <c r="F36" s="721"/>
      <c r="G36" s="722"/>
      <c r="H36" s="722"/>
      <c r="I36" s="722"/>
      <c r="J36" s="723"/>
    </row>
    <row r="37" spans="2:10" x14ac:dyDescent="0.35">
      <c r="B37" s="12" t="s">
        <v>65</v>
      </c>
      <c r="C37" s="46"/>
      <c r="D37" s="46"/>
      <c r="F37" s="721"/>
      <c r="G37" s="722"/>
      <c r="H37" s="722"/>
      <c r="I37" s="722"/>
      <c r="J37" s="723"/>
    </row>
    <row r="38" spans="2:10" x14ac:dyDescent="0.35">
      <c r="B38" s="12" t="s">
        <v>66</v>
      </c>
      <c r="C38" s="46"/>
      <c r="D38" s="46"/>
      <c r="F38" s="721"/>
      <c r="G38" s="722"/>
      <c r="H38" s="722"/>
      <c r="I38" s="722"/>
      <c r="J38" s="723"/>
    </row>
    <row r="39" spans="2:10" x14ac:dyDescent="0.35">
      <c r="B39" s="12" t="s">
        <v>67</v>
      </c>
      <c r="C39" s="46"/>
      <c r="D39" s="46"/>
      <c r="F39" s="721"/>
      <c r="G39" s="722"/>
      <c r="H39" s="722"/>
      <c r="I39" s="722"/>
      <c r="J39" s="723"/>
    </row>
    <row r="40" spans="2:10" x14ac:dyDescent="0.35">
      <c r="B40" s="12" t="s">
        <v>68</v>
      </c>
      <c r="C40" s="46"/>
      <c r="D40" s="46"/>
      <c r="F40" s="721"/>
      <c r="G40" s="722"/>
      <c r="H40" s="722"/>
      <c r="I40" s="722"/>
      <c r="J40" s="723"/>
    </row>
    <row r="41" spans="2:10" x14ac:dyDescent="0.35">
      <c r="B41" s="12" t="s">
        <v>69</v>
      </c>
      <c r="C41" s="46"/>
      <c r="D41" s="46"/>
      <c r="F41" s="721"/>
      <c r="G41" s="722"/>
      <c r="H41" s="722"/>
      <c r="I41" s="722"/>
      <c r="J41" s="723"/>
    </row>
    <row r="42" spans="2:10" x14ac:dyDescent="0.35">
      <c r="B42" s="12" t="s">
        <v>70</v>
      </c>
      <c r="C42" s="46"/>
      <c r="D42" s="46"/>
      <c r="F42" s="721"/>
      <c r="G42" s="722"/>
      <c r="H42" s="722"/>
      <c r="I42" s="722"/>
      <c r="J42" s="723"/>
    </row>
    <row r="43" spans="2:10" x14ac:dyDescent="0.35">
      <c r="B43" s="12" t="s">
        <v>71</v>
      </c>
      <c r="C43" s="46"/>
      <c r="D43" s="46"/>
      <c r="F43" s="721"/>
      <c r="G43" s="722"/>
      <c r="H43" s="722"/>
      <c r="I43" s="722"/>
      <c r="J43" s="723"/>
    </row>
    <row r="44" spans="2:10" x14ac:dyDescent="0.35">
      <c r="B44" s="12" t="s">
        <v>72</v>
      </c>
      <c r="C44" s="46"/>
      <c r="D44" s="46"/>
      <c r="F44" s="721"/>
      <c r="G44" s="722"/>
      <c r="H44" s="722"/>
      <c r="I44" s="722"/>
      <c r="J44" s="723"/>
    </row>
    <row r="45" spans="2:10" x14ac:dyDescent="0.35">
      <c r="B45" s="13" t="s">
        <v>73</v>
      </c>
      <c r="C45" s="46"/>
      <c r="D45" s="46"/>
      <c r="F45" s="721"/>
      <c r="G45" s="722"/>
      <c r="H45" s="722"/>
      <c r="I45" s="722"/>
      <c r="J45" s="723"/>
    </row>
    <row r="46" spans="2:10" x14ac:dyDescent="0.35">
      <c r="B46" s="13" t="s">
        <v>73</v>
      </c>
      <c r="C46" s="46"/>
      <c r="D46" s="46"/>
      <c r="F46" s="721"/>
      <c r="G46" s="722"/>
      <c r="H46" s="722"/>
      <c r="I46" s="722"/>
      <c r="J46" s="723"/>
    </row>
    <row r="47" spans="2:10" x14ac:dyDescent="0.35">
      <c r="B47" s="13" t="s">
        <v>73</v>
      </c>
      <c r="C47" s="46"/>
      <c r="D47" s="46"/>
      <c r="F47" s="721"/>
      <c r="G47" s="722"/>
      <c r="H47" s="722"/>
      <c r="I47" s="722"/>
      <c r="J47" s="723"/>
    </row>
    <row r="48" spans="2:10" x14ac:dyDescent="0.35">
      <c r="B48" s="14" t="s">
        <v>73</v>
      </c>
      <c r="C48" s="46"/>
      <c r="D48" s="46"/>
      <c r="F48" s="721"/>
      <c r="G48" s="722"/>
      <c r="H48" s="722"/>
      <c r="I48" s="722"/>
      <c r="J48" s="723"/>
    </row>
    <row r="49" spans="2:10" x14ac:dyDescent="0.35">
      <c r="B49" s="15" t="s">
        <v>74</v>
      </c>
      <c r="C49" s="16">
        <f>SUM(C17:C48)</f>
        <v>0</v>
      </c>
      <c r="D49" s="16">
        <f>SUM(D17:D48)</f>
        <v>0</v>
      </c>
      <c r="F49" s="721"/>
      <c r="G49" s="722"/>
      <c r="H49" s="722"/>
      <c r="I49" s="722"/>
      <c r="J49" s="723"/>
    </row>
    <row r="50" spans="2:10" x14ac:dyDescent="0.35">
      <c r="F50" s="721"/>
      <c r="G50" s="722"/>
      <c r="H50" s="722"/>
      <c r="I50" s="722"/>
      <c r="J50" s="723"/>
    </row>
    <row r="51" spans="2:10" x14ac:dyDescent="0.35">
      <c r="B51" s="15"/>
      <c r="C51" s="522" t="s">
        <v>291</v>
      </c>
      <c r="D51" s="522" t="s">
        <v>292</v>
      </c>
      <c r="F51" s="721"/>
      <c r="G51" s="722"/>
      <c r="H51" s="722"/>
      <c r="I51" s="722"/>
      <c r="J51" s="723"/>
    </row>
    <row r="52" spans="2:10" x14ac:dyDescent="0.35">
      <c r="B52" s="15" t="s">
        <v>285</v>
      </c>
      <c r="C52" s="531"/>
      <c r="D52" s="531"/>
      <c r="F52" s="721"/>
      <c r="G52" s="722"/>
      <c r="H52" s="722"/>
      <c r="I52" s="722"/>
      <c r="J52" s="723"/>
    </row>
    <row r="53" spans="2:10" ht="5.15" customHeight="1" thickBot="1" x14ac:dyDescent="0.4">
      <c r="B53" s="15"/>
      <c r="C53" s="523"/>
      <c r="D53" s="523"/>
      <c r="F53" s="724"/>
      <c r="G53" s="725"/>
      <c r="H53" s="725"/>
      <c r="I53" s="725"/>
      <c r="J53" s="726"/>
    </row>
    <row r="54" spans="2:10" x14ac:dyDescent="0.35">
      <c r="B54" s="15" t="s">
        <v>286</v>
      </c>
      <c r="C54" s="531"/>
      <c r="D54" s="531"/>
    </row>
    <row r="55" spans="2:10" ht="5.15" customHeight="1" x14ac:dyDescent="0.35">
      <c r="B55" s="524"/>
      <c r="C55" s="525"/>
      <c r="D55" s="526"/>
    </row>
    <row r="56" spans="2:10" x14ac:dyDescent="0.35">
      <c r="B56" s="527" t="s">
        <v>287</v>
      </c>
      <c r="C56" s="532"/>
      <c r="D56" s="532"/>
    </row>
    <row r="57" spans="2:10" ht="5.15" customHeight="1" x14ac:dyDescent="0.35">
      <c r="B57" s="527"/>
      <c r="C57" s="528"/>
      <c r="D57" s="529"/>
    </row>
    <row r="58" spans="2:10" x14ac:dyDescent="0.35">
      <c r="B58" s="15" t="s">
        <v>288</v>
      </c>
      <c r="C58" s="523"/>
      <c r="D58" s="533" t="str">
        <f>IF(D52=0," ",(((D52/C52)*C49)+D49)/(D54))</f>
        <v xml:space="preserve"> </v>
      </c>
    </row>
    <row r="59" spans="2:10" ht="5.15" customHeight="1" x14ac:dyDescent="0.35"/>
    <row r="60" spans="2:10" x14ac:dyDescent="0.35">
      <c r="B60" s="530" t="s">
        <v>289</v>
      </c>
      <c r="C60" s="530"/>
      <c r="D60" s="533" t="str">
        <f>IF(D54=0," ",(((D54/C54)*C49)+D49)/(D54))</f>
        <v xml:space="preserve"> </v>
      </c>
    </row>
    <row r="61" spans="2:10" ht="5.15" customHeight="1" x14ac:dyDescent="0.35">
      <c r="B61" s="527"/>
      <c r="C61" s="530"/>
      <c r="D61" s="530"/>
    </row>
    <row r="62" spans="2:10" x14ac:dyDescent="0.35">
      <c r="B62" s="527" t="s">
        <v>290</v>
      </c>
      <c r="C62" s="530"/>
      <c r="D62" s="533" t="str">
        <f>IF(D56=0," ",(((D56/C56)*C49)+D49)/D54)</f>
        <v xml:space="preserve"> </v>
      </c>
    </row>
  </sheetData>
  <sheetProtection algorithmName="SHA-512" hashValue="EJDM283I/5saw5rp/4qNbOYrsOmXOFBPHkqX/ARIpvB7BUGlYNCIO9Qi9pmsQzFkOSTfQ0lTd/t5wqk4TGPRqA==" saltValue="9TR/O1NLHaPkD59oAQVI8w==" spinCount="100000" sheet="1" objects="1" scenarios="1"/>
  <mergeCells count="8">
    <mergeCell ref="F19:J53"/>
    <mergeCell ref="F17:J17"/>
    <mergeCell ref="B1:I1"/>
    <mergeCell ref="B14:D14"/>
    <mergeCell ref="C15:D15"/>
    <mergeCell ref="C3:F3"/>
    <mergeCell ref="C5:F5"/>
    <mergeCell ref="C7:F7"/>
  </mergeCells>
  <conditionalFormatting sqref="D10 G10 C17:D48">
    <cfRule type="cellIs" dxfId="87" priority="1" operator="greaterThan">
      <formula>0</formula>
    </cfRule>
  </conditionalFormatting>
  <hyperlinks>
    <hyperlink ref="L9" location="'kt info'!C3" display="Contract Information" xr:uid="{63CD9F93-2917-478D-8029-3FF150EBD39E}"/>
    <hyperlink ref="L10" location="'Overhead &amp; Margin'!D10" display="Overhead &amp; Margin" xr:uid="{13E1449A-062E-4417-887B-19469FDE89D5}"/>
    <hyperlink ref="L16" location="'Monthly Janitorial'!B21" display="Monthly Janitorial" xr:uid="{D9C84036-1F57-4D4F-B9C8-495EA8299551}"/>
    <hyperlink ref="L17" location="Periodics!B22" display="Periodical Services(Carpets, Hard Floors, Windows, Blinds, other periodical services" xr:uid="{0C31CC8B-BEBF-40D6-968F-DD9DEE1DFC31}"/>
    <hyperlink ref="L18" location="'Except,Emer&amp;Day Porter'!H4" display="Exceptional, Emergency and Day Porter Services" xr:uid="{EA79C86B-9B2E-4B2A-A8F0-5FC776F933F4}"/>
    <hyperlink ref="L12" location="Supplies!B13" display="Supplies" xr:uid="{B6136596-3760-4777-AF37-014D0AAB395C}"/>
    <hyperlink ref="L13" location="'Equipment List'!B12" display="Equipment" xr:uid="{C537023A-A890-46F5-8AB6-F48BD4D0B48C}"/>
    <hyperlink ref="L20" location="'Price Approval'!A1" display="Price Approval" xr:uid="{FF94896A-432D-42BD-A274-D194B240B28F}"/>
    <hyperlink ref="L14" location="Subcontractors!B15" display="Subcontractors" xr:uid="{616804F4-6FB4-42DA-AE24-959F1970DE06}"/>
    <hyperlink ref="L11" location="'Pay &amp; Benefits'!C10" display="Wages and Benefits (includes Unemployment and Worker's Compensation" xr:uid="{E956AE73-8DAF-4A2C-A7CF-91670652DD73}"/>
    <hyperlink ref="L15" location="Transportation!B6" display="Transportation" xr:uid="{B3618755-9726-4B76-968D-695E046E7F1C}"/>
    <hyperlink ref="L19" location="'Summary-pricing'!A1" display="Summary-Pricing" xr:uid="{0A3B197D-8AAD-4482-81CD-944C5909FB7D}"/>
  </hyperlink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22EBA9-92A1-4E6F-902C-63C6B7C6BD4F}">
  <dimension ref="A1:K97"/>
  <sheetViews>
    <sheetView showGridLines="0" showZeros="0" zoomScaleNormal="100" workbookViewId="0">
      <pane xSplit="1" ySplit="12" topLeftCell="B13" activePane="bottomRight" state="frozen"/>
      <selection activeCell="B8" sqref="B8"/>
      <selection pane="topRight" activeCell="B8" sqref="B8"/>
      <selection pane="bottomLeft" activeCell="B8" sqref="B8"/>
      <selection pane="bottomRight" activeCell="B13" sqref="B13"/>
    </sheetView>
  </sheetViews>
  <sheetFormatPr defaultColWidth="9.1796875" defaultRowHeight="14" x14ac:dyDescent="0.3"/>
  <cols>
    <col min="1" max="1" width="8.453125" style="530" customWidth="1"/>
    <col min="2" max="2" width="39" style="530" customWidth="1"/>
    <col min="3" max="3" width="15.453125" style="530" customWidth="1"/>
    <col min="4" max="4" width="32.54296875" style="530" customWidth="1"/>
    <col min="5" max="5" width="17.54296875" style="530" customWidth="1"/>
    <col min="6" max="6" width="9.1796875" style="530"/>
    <col min="7" max="7" width="19.1796875" style="530" customWidth="1"/>
    <col min="8" max="8" width="18.1796875" style="530" customWidth="1"/>
    <col min="9" max="9" width="14.81640625" style="530" bestFit="1" customWidth="1"/>
    <col min="10" max="10" width="17.453125" style="530" bestFit="1" customWidth="1"/>
    <col min="11" max="11" width="17.1796875" style="530" bestFit="1" customWidth="1"/>
    <col min="12" max="12" width="13.81640625" style="530" bestFit="1" customWidth="1"/>
    <col min="13" max="13" width="17.54296875" style="530" bestFit="1" customWidth="1"/>
    <col min="14" max="14" width="9.54296875" style="530" bestFit="1" customWidth="1"/>
    <col min="15" max="15" width="15" style="530" bestFit="1" customWidth="1"/>
    <col min="16" max="16384" width="9.1796875" style="530"/>
  </cols>
  <sheetData>
    <row r="1" spans="1:11" ht="30" customHeight="1" x14ac:dyDescent="0.3">
      <c r="A1" s="610"/>
      <c r="B1" s="740" t="s">
        <v>182</v>
      </c>
      <c r="C1" s="740"/>
      <c r="D1" s="740"/>
      <c r="E1" s="740"/>
    </row>
    <row r="2" spans="1:11" x14ac:dyDescent="0.3">
      <c r="C2" s="611" t="str">
        <f>'kt info'!B12</f>
        <v>Form date: 10/24/25</v>
      </c>
      <c r="I2" s="535"/>
    </row>
    <row r="3" spans="1:11" x14ac:dyDescent="0.3">
      <c r="B3" s="530" t="s">
        <v>109</v>
      </c>
      <c r="C3" s="738">
        <f>IF('kt info'!C3="Fill in Name of OFC"," ",'kt info'!C3)</f>
        <v>0</v>
      </c>
      <c r="D3" s="739"/>
      <c r="H3" s="56"/>
      <c r="I3" s="536"/>
    </row>
    <row r="4" spans="1:11" ht="5.15" customHeight="1" x14ac:dyDescent="0.3">
      <c r="C4" s="537"/>
      <c r="D4" s="537"/>
      <c r="H4" s="56"/>
      <c r="I4" s="536"/>
    </row>
    <row r="5" spans="1:11" x14ac:dyDescent="0.3">
      <c r="B5" s="530" t="s">
        <v>110</v>
      </c>
      <c r="C5" s="738">
        <f>IF('kt info'!C5="Contract Name or Number"," ",'kt info'!C5)</f>
        <v>0</v>
      </c>
      <c r="D5" s="739"/>
      <c r="H5" s="56"/>
      <c r="I5" s="536"/>
    </row>
    <row r="6" spans="1:11" ht="5.15" customHeight="1" x14ac:dyDescent="0.3">
      <c r="C6" s="537"/>
      <c r="D6" s="537"/>
      <c r="H6" s="56"/>
      <c r="I6" s="536"/>
    </row>
    <row r="7" spans="1:11" x14ac:dyDescent="0.3">
      <c r="B7" s="530" t="s">
        <v>135</v>
      </c>
      <c r="C7" s="738">
        <f>IF('kt info'!C7="Fill in Public Agency Name"," ",'kt info'!C7)</f>
        <v>0</v>
      </c>
      <c r="D7" s="739"/>
      <c r="H7" s="56"/>
      <c r="I7" s="536"/>
    </row>
    <row r="8" spans="1:11" ht="5.15" customHeight="1" x14ac:dyDescent="0.3">
      <c r="H8" s="56"/>
      <c r="I8" s="536"/>
    </row>
    <row r="9" spans="1:11" ht="5.15" customHeight="1" x14ac:dyDescent="0.3">
      <c r="H9" s="56"/>
      <c r="I9" s="536"/>
      <c r="K9" s="538"/>
    </row>
    <row r="10" spans="1:11" ht="14.5" thickBot="1" x14ac:dyDescent="0.35">
      <c r="B10" s="538" t="s">
        <v>251</v>
      </c>
      <c r="H10" s="56"/>
      <c r="I10" s="536"/>
      <c r="K10" s="56"/>
    </row>
    <row r="11" spans="1:11" ht="14.5" thickTop="1" x14ac:dyDescent="0.3">
      <c r="A11" s="539" t="s">
        <v>138</v>
      </c>
      <c r="B11" s="125" t="s">
        <v>123</v>
      </c>
      <c r="C11" s="126" t="s">
        <v>9</v>
      </c>
      <c r="E11" s="56"/>
    </row>
    <row r="12" spans="1:11" ht="14.5" thickBot="1" x14ac:dyDescent="0.35">
      <c r="A12" s="540" t="s">
        <v>139</v>
      </c>
      <c r="B12" s="256" t="s">
        <v>136</v>
      </c>
      <c r="C12" s="257" t="s">
        <v>10</v>
      </c>
      <c r="D12" s="56"/>
      <c r="E12" s="536"/>
    </row>
    <row r="13" spans="1:11" x14ac:dyDescent="0.3">
      <c r="A13" s="541">
        <v>1</v>
      </c>
      <c r="B13" s="651"/>
      <c r="C13" s="652"/>
      <c r="D13" s="56"/>
      <c r="F13" s="534" t="s">
        <v>133</v>
      </c>
      <c r="G13" s="56" t="s">
        <v>134</v>
      </c>
    </row>
    <row r="14" spans="1:11" x14ac:dyDescent="0.3">
      <c r="A14" s="543">
        <v>2</v>
      </c>
      <c r="B14" s="653"/>
      <c r="C14" s="654"/>
      <c r="E14" s="75"/>
      <c r="G14" s="56" t="s">
        <v>259</v>
      </c>
    </row>
    <row r="15" spans="1:11" x14ac:dyDescent="0.3">
      <c r="A15" s="543">
        <v>3</v>
      </c>
      <c r="B15" s="653"/>
      <c r="C15" s="654"/>
      <c r="G15" s="56" t="s">
        <v>260</v>
      </c>
    </row>
    <row r="16" spans="1:11" x14ac:dyDescent="0.3">
      <c r="A16" s="543">
        <v>4</v>
      </c>
      <c r="B16" s="653"/>
      <c r="C16" s="654"/>
      <c r="G16" s="56" t="s">
        <v>80</v>
      </c>
    </row>
    <row r="17" spans="1:7" ht="14.5" thickBot="1" x14ac:dyDescent="0.35">
      <c r="A17" s="544">
        <v>5</v>
      </c>
      <c r="B17" s="655"/>
      <c r="C17" s="656"/>
      <c r="G17" s="56" t="s">
        <v>15</v>
      </c>
    </row>
    <row r="18" spans="1:7" x14ac:dyDescent="0.3">
      <c r="A18" s="541">
        <v>6</v>
      </c>
      <c r="B18" s="657"/>
      <c r="C18" s="652"/>
      <c r="G18" s="56" t="s">
        <v>201</v>
      </c>
    </row>
    <row r="19" spans="1:7" x14ac:dyDescent="0.3">
      <c r="A19" s="543">
        <v>7</v>
      </c>
      <c r="B19" s="653"/>
      <c r="C19" s="654"/>
      <c r="G19" s="56" t="s">
        <v>89</v>
      </c>
    </row>
    <row r="20" spans="1:7" x14ac:dyDescent="0.3">
      <c r="A20" s="543">
        <v>8</v>
      </c>
      <c r="B20" s="653"/>
      <c r="C20" s="654"/>
      <c r="G20" s="56" t="s">
        <v>2</v>
      </c>
    </row>
    <row r="21" spans="1:7" x14ac:dyDescent="0.3">
      <c r="A21" s="543">
        <v>9</v>
      </c>
      <c r="B21" s="653"/>
      <c r="C21" s="654"/>
      <c r="G21" s="56" t="s">
        <v>230</v>
      </c>
    </row>
    <row r="22" spans="1:7" ht="14.5" thickBot="1" x14ac:dyDescent="0.35">
      <c r="A22" s="544">
        <v>10</v>
      </c>
      <c r="B22" s="655"/>
      <c r="C22" s="658"/>
      <c r="G22" s="56" t="s">
        <v>231</v>
      </c>
    </row>
    <row r="23" spans="1:7" x14ac:dyDescent="0.3">
      <c r="A23" s="541">
        <v>11</v>
      </c>
      <c r="B23" s="657"/>
      <c r="C23" s="659"/>
      <c r="G23" s="56" t="s">
        <v>261</v>
      </c>
    </row>
    <row r="24" spans="1:7" x14ac:dyDescent="0.3">
      <c r="A24" s="543">
        <v>12</v>
      </c>
      <c r="B24" s="660"/>
      <c r="C24" s="654"/>
      <c r="F24" s="542"/>
      <c r="G24" s="56" t="s">
        <v>232</v>
      </c>
    </row>
    <row r="25" spans="1:7" x14ac:dyDescent="0.3">
      <c r="A25" s="543">
        <v>13</v>
      </c>
      <c r="B25" s="653"/>
      <c r="C25" s="654"/>
    </row>
    <row r="26" spans="1:7" x14ac:dyDescent="0.3">
      <c r="A26" s="543">
        <v>14</v>
      </c>
      <c r="B26" s="661"/>
      <c r="C26" s="654"/>
    </row>
    <row r="27" spans="1:7" ht="14.5" thickBot="1" x14ac:dyDescent="0.35">
      <c r="A27" s="544">
        <v>15</v>
      </c>
      <c r="B27" s="662"/>
      <c r="C27" s="656"/>
    </row>
    <row r="28" spans="1:7" x14ac:dyDescent="0.3">
      <c r="A28" s="541">
        <v>16</v>
      </c>
      <c r="B28" s="651"/>
      <c r="C28" s="652"/>
    </row>
    <row r="29" spans="1:7" x14ac:dyDescent="0.3">
      <c r="A29" s="543">
        <v>17</v>
      </c>
      <c r="B29" s="653"/>
      <c r="C29" s="654"/>
    </row>
    <row r="30" spans="1:7" x14ac:dyDescent="0.3">
      <c r="A30" s="543">
        <v>18</v>
      </c>
      <c r="B30" s="653"/>
      <c r="C30" s="654"/>
    </row>
    <row r="31" spans="1:7" x14ac:dyDescent="0.3">
      <c r="A31" s="543">
        <v>19</v>
      </c>
      <c r="B31" s="661"/>
      <c r="C31" s="654"/>
    </row>
    <row r="32" spans="1:7" ht="14.5" thickBot="1" x14ac:dyDescent="0.35">
      <c r="A32" s="544">
        <v>20</v>
      </c>
      <c r="B32" s="663"/>
      <c r="C32" s="656"/>
    </row>
    <row r="33" spans="1:3" x14ac:dyDescent="0.3">
      <c r="A33" s="541">
        <v>21</v>
      </c>
      <c r="B33" s="651"/>
      <c r="C33" s="652"/>
    </row>
    <row r="34" spans="1:3" x14ac:dyDescent="0.3">
      <c r="A34" s="543">
        <v>22</v>
      </c>
      <c r="B34" s="653"/>
      <c r="C34" s="654"/>
    </row>
    <row r="35" spans="1:3" x14ac:dyDescent="0.3">
      <c r="A35" s="543">
        <v>23</v>
      </c>
      <c r="B35" s="653"/>
      <c r="C35" s="654"/>
    </row>
    <row r="36" spans="1:3" x14ac:dyDescent="0.3">
      <c r="A36" s="543">
        <v>24</v>
      </c>
      <c r="B36" s="653"/>
      <c r="C36" s="654"/>
    </row>
    <row r="37" spans="1:3" ht="14.5" thickBot="1" x14ac:dyDescent="0.35">
      <c r="A37" s="544">
        <v>25</v>
      </c>
      <c r="B37" s="662"/>
      <c r="C37" s="656"/>
    </row>
    <row r="38" spans="1:3" x14ac:dyDescent="0.3">
      <c r="A38" s="541">
        <v>26</v>
      </c>
      <c r="B38" s="664"/>
      <c r="C38" s="652"/>
    </row>
    <row r="39" spans="1:3" x14ac:dyDescent="0.3">
      <c r="A39" s="543">
        <v>27</v>
      </c>
      <c r="B39" s="653"/>
      <c r="C39" s="654"/>
    </row>
    <row r="40" spans="1:3" x14ac:dyDescent="0.3">
      <c r="A40" s="543">
        <v>28</v>
      </c>
      <c r="B40" s="653"/>
      <c r="C40" s="654"/>
    </row>
    <row r="41" spans="1:3" x14ac:dyDescent="0.3">
      <c r="A41" s="543">
        <v>29</v>
      </c>
      <c r="B41" s="660"/>
      <c r="C41" s="654"/>
    </row>
    <row r="42" spans="1:3" ht="14.5" thickBot="1" x14ac:dyDescent="0.35">
      <c r="A42" s="544">
        <v>30</v>
      </c>
      <c r="B42" s="655"/>
      <c r="C42" s="656"/>
    </row>
    <row r="43" spans="1:3" x14ac:dyDescent="0.3">
      <c r="A43" s="541">
        <v>31</v>
      </c>
      <c r="B43" s="664"/>
      <c r="C43" s="652"/>
    </row>
    <row r="44" spans="1:3" x14ac:dyDescent="0.3">
      <c r="A44" s="543">
        <v>32</v>
      </c>
      <c r="B44" s="660"/>
      <c r="C44" s="654"/>
    </row>
    <row r="45" spans="1:3" x14ac:dyDescent="0.3">
      <c r="A45" s="543">
        <v>33</v>
      </c>
      <c r="B45" s="653"/>
      <c r="C45" s="654"/>
    </row>
    <row r="46" spans="1:3" x14ac:dyDescent="0.3">
      <c r="A46" s="543">
        <v>34</v>
      </c>
      <c r="B46" s="653"/>
      <c r="C46" s="654"/>
    </row>
    <row r="47" spans="1:3" ht="14.5" thickBot="1" x14ac:dyDescent="0.35">
      <c r="A47" s="544">
        <v>35</v>
      </c>
      <c r="B47" s="662"/>
      <c r="C47" s="656"/>
    </row>
    <row r="48" spans="1:3" x14ac:dyDescent="0.3">
      <c r="A48" s="541">
        <v>36</v>
      </c>
      <c r="B48" s="651"/>
      <c r="C48" s="652"/>
    </row>
    <row r="49" spans="1:3" x14ac:dyDescent="0.3">
      <c r="A49" s="543">
        <v>37</v>
      </c>
      <c r="B49" s="660"/>
      <c r="C49" s="654"/>
    </row>
    <row r="50" spans="1:3" x14ac:dyDescent="0.3">
      <c r="A50" s="543">
        <v>38</v>
      </c>
      <c r="B50" s="653"/>
      <c r="C50" s="654"/>
    </row>
    <row r="51" spans="1:3" x14ac:dyDescent="0.3">
      <c r="A51" s="543">
        <v>39</v>
      </c>
      <c r="B51" s="661"/>
      <c r="C51" s="654"/>
    </row>
    <row r="52" spans="1:3" ht="14.5" thickBot="1" x14ac:dyDescent="0.35">
      <c r="A52" s="544">
        <v>40</v>
      </c>
      <c r="B52" s="662"/>
      <c r="C52" s="656"/>
    </row>
    <row r="53" spans="1:3" x14ac:dyDescent="0.3">
      <c r="A53" s="541">
        <v>41</v>
      </c>
      <c r="B53" s="651"/>
      <c r="C53" s="652"/>
    </row>
    <row r="54" spans="1:3" x14ac:dyDescent="0.3">
      <c r="A54" s="543">
        <v>42</v>
      </c>
      <c r="B54" s="653"/>
      <c r="C54" s="654"/>
    </row>
    <row r="55" spans="1:3" x14ac:dyDescent="0.3">
      <c r="A55" s="543">
        <v>43</v>
      </c>
      <c r="B55" s="660"/>
      <c r="C55" s="654"/>
    </row>
    <row r="56" spans="1:3" x14ac:dyDescent="0.3">
      <c r="A56" s="543">
        <v>44</v>
      </c>
      <c r="B56" s="653"/>
      <c r="C56" s="665"/>
    </row>
    <row r="57" spans="1:3" ht="14.5" thickBot="1" x14ac:dyDescent="0.35">
      <c r="A57" s="544">
        <v>45</v>
      </c>
      <c r="B57" s="662"/>
      <c r="C57" s="666"/>
    </row>
    <row r="58" spans="1:3" x14ac:dyDescent="0.3">
      <c r="A58" s="541">
        <v>46</v>
      </c>
      <c r="B58" s="651"/>
      <c r="C58" s="667"/>
    </row>
    <row r="59" spans="1:3" x14ac:dyDescent="0.3">
      <c r="A59" s="543">
        <v>47</v>
      </c>
      <c r="B59" s="653"/>
      <c r="C59" s="665"/>
    </row>
    <row r="60" spans="1:3" x14ac:dyDescent="0.3">
      <c r="A60" s="543">
        <v>48</v>
      </c>
      <c r="B60" s="653"/>
      <c r="C60" s="665"/>
    </row>
    <row r="61" spans="1:3" x14ac:dyDescent="0.3">
      <c r="A61" s="543">
        <v>49</v>
      </c>
      <c r="B61" s="653"/>
      <c r="C61" s="665"/>
    </row>
    <row r="62" spans="1:3" ht="14.5" thickBot="1" x14ac:dyDescent="0.35">
      <c r="A62" s="544">
        <v>50</v>
      </c>
      <c r="B62" s="662"/>
      <c r="C62" s="666"/>
    </row>
    <row r="63" spans="1:3" x14ac:dyDescent="0.3">
      <c r="A63" s="541">
        <v>51</v>
      </c>
      <c r="B63" s="651"/>
      <c r="C63" s="667"/>
    </row>
    <row r="64" spans="1:3" x14ac:dyDescent="0.3">
      <c r="A64" s="543">
        <v>52</v>
      </c>
      <c r="B64" s="653"/>
      <c r="C64" s="665"/>
    </row>
    <row r="65" spans="1:3" x14ac:dyDescent="0.3">
      <c r="A65" s="543">
        <v>53</v>
      </c>
      <c r="B65" s="653"/>
      <c r="C65" s="665"/>
    </row>
    <row r="66" spans="1:3" x14ac:dyDescent="0.3">
      <c r="A66" s="543">
        <v>54</v>
      </c>
      <c r="B66" s="653"/>
      <c r="C66" s="665"/>
    </row>
    <row r="67" spans="1:3" ht="14.5" thickBot="1" x14ac:dyDescent="0.35">
      <c r="A67" s="544">
        <v>55</v>
      </c>
      <c r="B67" s="662"/>
      <c r="C67" s="666"/>
    </row>
    <row r="68" spans="1:3" x14ac:dyDescent="0.3">
      <c r="A68" s="541">
        <v>56</v>
      </c>
      <c r="B68" s="651"/>
      <c r="C68" s="667"/>
    </row>
    <row r="69" spans="1:3" x14ac:dyDescent="0.3">
      <c r="A69" s="543">
        <v>57</v>
      </c>
      <c r="B69" s="653"/>
      <c r="C69" s="665"/>
    </row>
    <row r="70" spans="1:3" x14ac:dyDescent="0.3">
      <c r="A70" s="543">
        <v>58</v>
      </c>
      <c r="B70" s="653"/>
      <c r="C70" s="665"/>
    </row>
    <row r="71" spans="1:3" x14ac:dyDescent="0.3">
      <c r="A71" s="543">
        <v>59</v>
      </c>
      <c r="B71" s="653"/>
      <c r="C71" s="665"/>
    </row>
    <row r="72" spans="1:3" ht="14.5" thickBot="1" x14ac:dyDescent="0.35">
      <c r="A72" s="544">
        <v>60</v>
      </c>
      <c r="B72" s="662"/>
      <c r="C72" s="666"/>
    </row>
    <row r="73" spans="1:3" x14ac:dyDescent="0.3">
      <c r="A73" s="541">
        <v>61</v>
      </c>
      <c r="B73" s="651"/>
      <c r="C73" s="667"/>
    </row>
    <row r="74" spans="1:3" x14ac:dyDescent="0.3">
      <c r="A74" s="543">
        <v>62</v>
      </c>
      <c r="B74" s="653"/>
      <c r="C74" s="665"/>
    </row>
    <row r="75" spans="1:3" x14ac:dyDescent="0.3">
      <c r="A75" s="543">
        <v>63</v>
      </c>
      <c r="B75" s="653"/>
      <c r="C75" s="665"/>
    </row>
    <row r="76" spans="1:3" x14ac:dyDescent="0.3">
      <c r="A76" s="543">
        <v>64</v>
      </c>
      <c r="B76" s="653"/>
      <c r="C76" s="665"/>
    </row>
    <row r="77" spans="1:3" ht="14.5" thickBot="1" x14ac:dyDescent="0.35">
      <c r="A77" s="544">
        <v>65</v>
      </c>
      <c r="B77" s="662"/>
      <c r="C77" s="666"/>
    </row>
    <row r="78" spans="1:3" x14ac:dyDescent="0.3">
      <c r="A78" s="541">
        <v>66</v>
      </c>
      <c r="B78" s="651"/>
      <c r="C78" s="667"/>
    </row>
    <row r="79" spans="1:3" x14ac:dyDescent="0.3">
      <c r="A79" s="543">
        <v>67</v>
      </c>
      <c r="B79" s="653"/>
      <c r="C79" s="665"/>
    </row>
    <row r="80" spans="1:3" x14ac:dyDescent="0.3">
      <c r="A80" s="543">
        <v>68</v>
      </c>
      <c r="B80" s="653"/>
      <c r="C80" s="665"/>
    </row>
    <row r="81" spans="1:3" x14ac:dyDescent="0.3">
      <c r="A81" s="543">
        <v>69</v>
      </c>
      <c r="B81" s="653"/>
      <c r="C81" s="665"/>
    </row>
    <row r="82" spans="1:3" ht="14.5" thickBot="1" x14ac:dyDescent="0.35">
      <c r="A82" s="544">
        <v>70</v>
      </c>
      <c r="B82" s="662"/>
      <c r="C82" s="666"/>
    </row>
    <row r="83" spans="1:3" x14ac:dyDescent="0.3">
      <c r="A83" s="541">
        <v>71</v>
      </c>
      <c r="B83" s="651"/>
      <c r="C83" s="667"/>
    </row>
    <row r="84" spans="1:3" x14ac:dyDescent="0.3">
      <c r="A84" s="543">
        <v>72</v>
      </c>
      <c r="B84" s="653"/>
      <c r="C84" s="665"/>
    </row>
    <row r="85" spans="1:3" x14ac:dyDescent="0.3">
      <c r="A85" s="543">
        <v>73</v>
      </c>
      <c r="B85" s="653"/>
      <c r="C85" s="665"/>
    </row>
    <row r="86" spans="1:3" x14ac:dyDescent="0.3">
      <c r="A86" s="543">
        <v>74</v>
      </c>
      <c r="B86" s="653"/>
      <c r="C86" s="665"/>
    </row>
    <row r="87" spans="1:3" ht="14.5" thickBot="1" x14ac:dyDescent="0.35">
      <c r="A87" s="544">
        <v>75</v>
      </c>
      <c r="B87" s="662"/>
      <c r="C87" s="666"/>
    </row>
    <row r="88" spans="1:3" x14ac:dyDescent="0.3">
      <c r="A88" s="541">
        <v>76</v>
      </c>
      <c r="B88" s="651"/>
      <c r="C88" s="667"/>
    </row>
    <row r="89" spans="1:3" x14ac:dyDescent="0.3">
      <c r="A89" s="543">
        <v>77</v>
      </c>
      <c r="B89" s="653"/>
      <c r="C89" s="665"/>
    </row>
    <row r="90" spans="1:3" x14ac:dyDescent="0.3">
      <c r="A90" s="543">
        <v>78</v>
      </c>
      <c r="B90" s="653"/>
      <c r="C90" s="665"/>
    </row>
    <row r="91" spans="1:3" x14ac:dyDescent="0.3">
      <c r="A91" s="543">
        <v>79</v>
      </c>
      <c r="B91" s="653"/>
      <c r="C91" s="665"/>
    </row>
    <row r="92" spans="1:3" ht="14.5" thickBot="1" x14ac:dyDescent="0.35">
      <c r="A92" s="544">
        <v>80</v>
      </c>
      <c r="B92" s="662"/>
      <c r="C92" s="666"/>
    </row>
    <row r="93" spans="1:3" x14ac:dyDescent="0.3">
      <c r="A93" s="541">
        <v>81</v>
      </c>
      <c r="B93" s="651"/>
      <c r="C93" s="667"/>
    </row>
    <row r="94" spans="1:3" x14ac:dyDescent="0.3">
      <c r="A94" s="543">
        <v>82</v>
      </c>
      <c r="B94" s="653"/>
      <c r="C94" s="665"/>
    </row>
    <row r="95" spans="1:3" x14ac:dyDescent="0.3">
      <c r="A95" s="543">
        <v>83</v>
      </c>
      <c r="B95" s="653"/>
      <c r="C95" s="665"/>
    </row>
    <row r="96" spans="1:3" x14ac:dyDescent="0.3">
      <c r="A96" s="543">
        <v>84</v>
      </c>
      <c r="B96" s="653"/>
      <c r="C96" s="665"/>
    </row>
    <row r="97" spans="1:3" ht="14.5" thickBot="1" x14ac:dyDescent="0.35">
      <c r="A97" s="544">
        <v>85</v>
      </c>
      <c r="B97" s="662"/>
      <c r="C97" s="666"/>
    </row>
  </sheetData>
  <sheetProtection algorithmName="SHA-512" hashValue="E0/u1mQ7rQ1/MSTXjYZGKDZEU7+u12aj03UJtFQcRiyuiIim3d+NwLcAe/00nx+B0NBEDa4UqH/vOCJhT00SRw==" saltValue="VNyvckNH4a0iSAxYK3wWRg==" spinCount="100000" sheet="1" objects="1" scenarios="1"/>
  <mergeCells count="4">
    <mergeCell ref="C3:D3"/>
    <mergeCell ref="C5:D5"/>
    <mergeCell ref="C7:D7"/>
    <mergeCell ref="B1:E1"/>
  </mergeCells>
  <conditionalFormatting sqref="B13:C97">
    <cfRule type="cellIs" dxfId="86" priority="3" operator="greaterThan">
      <formula>0</formula>
    </cfRule>
  </conditionalFormatting>
  <hyperlinks>
    <hyperlink ref="G13" location="'kt info'!C3" display="Contract Information" xr:uid="{BFDC73EB-E95A-4615-ABAB-F5270A531FE3}"/>
    <hyperlink ref="G14" location="'Overhead &amp; Margin'!D10" display="Overhead &amp; Margin" xr:uid="{5A6840FE-E80E-49F2-AC66-B2FCD2F7E981}"/>
    <hyperlink ref="G20" location="'Monthly Janitorial'!B21" display="Monthly Janitorial" xr:uid="{7A4BB376-1E58-48BF-BF6B-7FBBA12FAED0}"/>
    <hyperlink ref="G21" location="Periodics!B22" display="Periodical Services(Carpets, Hard Floors, Windows, Blinds, other periodical services" xr:uid="{4910114E-D26C-4891-84BA-47730721895F}"/>
    <hyperlink ref="G22" location="'Except,Emer&amp;Day Porter'!H4" display="Exceptional, Emergency and Day Porter Services" xr:uid="{079ECFC3-6406-42BD-9AB3-02BE73455E67}"/>
    <hyperlink ref="G16" location="Supplies!B13" display="Supplies" xr:uid="{316574E9-B1C5-408B-80BB-464AE2AE8E91}"/>
    <hyperlink ref="G17" location="'Equipment List'!B12" display="Equipment" xr:uid="{3C438DF5-0C1E-4741-BFCF-612E5EE0484E}"/>
    <hyperlink ref="G24" location="'Price Approval'!A1" display="Price Approval" xr:uid="{0E18702A-3734-49BF-B268-AA456011F1A3}"/>
    <hyperlink ref="G18" location="Subcontractors!B15" display="Subcontractors" xr:uid="{E8C49A21-1159-4FA6-B372-3CE7A518A33B}"/>
    <hyperlink ref="G15" location="'Pay &amp; Benefits'!C10" display="Wages and Benefits (includes Unemployment and Worker's Compensation" xr:uid="{8440C0E6-BBF6-46E1-BFE7-DDF72B78C93C}"/>
    <hyperlink ref="G19" location="Transportation!B6" display="Transportation" xr:uid="{AB1A991A-757D-4DAA-BA7D-927EE78D3EF2}"/>
    <hyperlink ref="G23" location="'Summary-pricing'!A1" display="Summary-Pricing" xr:uid="{5138C9D0-CAC3-4097-8A9E-DC44CA9A05F6}"/>
  </hyperlink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884B1A-9BAB-4BFB-8BA1-E5DE65A73ED9}">
  <dimension ref="A1:H97"/>
  <sheetViews>
    <sheetView showGridLines="0" showZeros="0" zoomScaleNormal="100" workbookViewId="0">
      <pane xSplit="1" ySplit="11" topLeftCell="B12" activePane="bottomRight" state="frozen"/>
      <selection pane="topRight"/>
      <selection pane="bottomLeft"/>
      <selection pane="bottomRight" activeCell="B12" sqref="B12"/>
    </sheetView>
  </sheetViews>
  <sheetFormatPr defaultRowHeight="14.5" x14ac:dyDescent="0.35"/>
  <cols>
    <col min="1" max="1" width="5.54296875" customWidth="1"/>
    <col min="2" max="2" width="28.81640625" bestFit="1" customWidth="1"/>
    <col min="3" max="3" width="16.1796875" customWidth="1"/>
    <col min="4" max="4" width="16.453125" customWidth="1"/>
    <col min="5" max="5" width="14.453125" customWidth="1"/>
    <col min="6" max="6" width="20.81640625" customWidth="1"/>
    <col min="7" max="7" width="19.1796875" customWidth="1"/>
    <col min="8" max="8" width="18.1796875" customWidth="1"/>
    <col min="9" max="9" width="14.81640625" bestFit="1" customWidth="1"/>
    <col min="10" max="10" width="17.453125" bestFit="1" customWidth="1"/>
    <col min="11" max="11" width="17.1796875" bestFit="1" customWidth="1"/>
    <col min="12" max="12" width="13.81640625" bestFit="1" customWidth="1"/>
    <col min="13" max="13" width="17.54296875" bestFit="1" customWidth="1"/>
    <col min="14" max="14" width="9.54296875" bestFit="1" customWidth="1"/>
    <col min="15" max="15" width="15" bestFit="1" customWidth="1"/>
  </cols>
  <sheetData>
    <row r="1" spans="1:8" ht="30" customHeight="1" x14ac:dyDescent="0.35">
      <c r="A1" s="610"/>
      <c r="B1" s="707" t="s">
        <v>183</v>
      </c>
      <c r="C1" s="708"/>
      <c r="D1" s="708"/>
      <c r="E1" s="708"/>
      <c r="F1" s="708"/>
      <c r="G1" s="112"/>
    </row>
    <row r="2" spans="1:8" x14ac:dyDescent="0.35">
      <c r="C2" s="609" t="str">
        <f>'kt info'!B12</f>
        <v>Form date: 10/24/25</v>
      </c>
      <c r="G2" s="20" t="s">
        <v>133</v>
      </c>
      <c r="H2" s="56" t="s">
        <v>134</v>
      </c>
    </row>
    <row r="3" spans="1:8" x14ac:dyDescent="0.35">
      <c r="B3" t="s">
        <v>109</v>
      </c>
      <c r="C3" s="741">
        <f>IF('kt info'!C3="Fill in Name of OFC"," ",'kt info'!C3)</f>
        <v>0</v>
      </c>
      <c r="D3" s="742"/>
      <c r="H3" s="56" t="s">
        <v>259</v>
      </c>
    </row>
    <row r="4" spans="1:8" x14ac:dyDescent="0.35">
      <c r="C4" s="100"/>
      <c r="D4" s="100"/>
      <c r="F4" s="20"/>
      <c r="H4" s="56" t="s">
        <v>260</v>
      </c>
    </row>
    <row r="5" spans="1:8" x14ac:dyDescent="0.35">
      <c r="B5" t="s">
        <v>110</v>
      </c>
      <c r="C5" s="741">
        <f>IF('kt info'!C5="Contract Name or Number"," ",'kt info'!C5)</f>
        <v>0</v>
      </c>
      <c r="D5" s="742"/>
      <c r="H5" s="56" t="s">
        <v>80</v>
      </c>
    </row>
    <row r="6" spans="1:8" x14ac:dyDescent="0.35">
      <c r="C6" s="100"/>
      <c r="D6" s="100"/>
      <c r="H6" s="56" t="s">
        <v>15</v>
      </c>
    </row>
    <row r="7" spans="1:8" x14ac:dyDescent="0.35">
      <c r="B7" t="s">
        <v>135</v>
      </c>
      <c r="C7" s="741">
        <f>IF('kt info'!C7="Fill in Public Agency Name"," ",'kt info'!C7)</f>
        <v>0</v>
      </c>
      <c r="D7" s="742"/>
      <c r="H7" s="56" t="s">
        <v>201</v>
      </c>
    </row>
    <row r="8" spans="1:8" x14ac:dyDescent="0.35">
      <c r="H8" s="56" t="s">
        <v>89</v>
      </c>
    </row>
    <row r="9" spans="1:8" ht="15" thickBot="1" x14ac:dyDescent="0.4">
      <c r="B9" s="2" t="s">
        <v>250</v>
      </c>
      <c r="H9" s="56" t="s">
        <v>2</v>
      </c>
    </row>
    <row r="10" spans="1:8" ht="15" thickTop="1" x14ac:dyDescent="0.35">
      <c r="A10" s="118"/>
      <c r="B10" s="120" t="s">
        <v>184</v>
      </c>
      <c r="C10" s="121" t="s">
        <v>15</v>
      </c>
      <c r="D10" s="121" t="s">
        <v>15</v>
      </c>
      <c r="E10" s="121" t="s">
        <v>82</v>
      </c>
      <c r="F10" s="122" t="s">
        <v>83</v>
      </c>
      <c r="H10" s="56" t="s">
        <v>230</v>
      </c>
    </row>
    <row r="11" spans="1:8" ht="15" thickBot="1" x14ac:dyDescent="0.4">
      <c r="A11" s="119"/>
      <c r="B11" s="123" t="s">
        <v>185</v>
      </c>
      <c r="C11" s="35" t="s">
        <v>10</v>
      </c>
      <c r="D11" s="35" t="s">
        <v>186</v>
      </c>
      <c r="E11" s="35" t="s">
        <v>95</v>
      </c>
      <c r="F11" s="124" t="s">
        <v>169</v>
      </c>
      <c r="H11" s="56" t="s">
        <v>231</v>
      </c>
    </row>
    <row r="12" spans="1:8" x14ac:dyDescent="0.35">
      <c r="A12" s="7">
        <v>1</v>
      </c>
      <c r="B12" s="668"/>
      <c r="C12" s="669"/>
      <c r="D12" s="670"/>
      <c r="E12" s="671"/>
      <c r="F12" s="267" t="str">
        <f>IF(D12=0," ",IF(D12="Grant","Grant",IF(Transportation!$F$4-D12&gt;(E12*30),"Depreciated",(C12/E12)*12)))</f>
        <v xml:space="preserve"> </v>
      </c>
      <c r="H12" s="56" t="s">
        <v>261</v>
      </c>
    </row>
    <row r="13" spans="1:8" x14ac:dyDescent="0.35">
      <c r="A13" s="7">
        <v>2</v>
      </c>
      <c r="B13" s="672"/>
      <c r="C13" s="673"/>
      <c r="D13" s="674"/>
      <c r="E13" s="675"/>
      <c r="F13" s="268" t="str">
        <f>IF(D13=0," ",IF(D13="Grant","Grant",IF(Transportation!$F$4-D13&gt;(E13*30),"Depreciated",(C13/E13)*12)))</f>
        <v xml:space="preserve"> </v>
      </c>
      <c r="G13" s="222"/>
      <c r="H13" s="56" t="s">
        <v>232</v>
      </c>
    </row>
    <row r="14" spans="1:8" x14ac:dyDescent="0.35">
      <c r="A14" s="7">
        <v>3</v>
      </c>
      <c r="B14" s="676"/>
      <c r="C14" s="673"/>
      <c r="D14" s="674"/>
      <c r="E14" s="675"/>
      <c r="F14" s="268" t="str">
        <f>IF(D14=0," ",IF(D14="Grant","Grant",IF(Transportation!$F$4-D14&gt;(E14*30),"Depreciated",(C14/E14)*12)))</f>
        <v xml:space="preserve"> </v>
      </c>
    </row>
    <row r="15" spans="1:8" x14ac:dyDescent="0.35">
      <c r="A15" s="7">
        <v>4</v>
      </c>
      <c r="B15" s="677"/>
      <c r="C15" s="673"/>
      <c r="D15" s="674"/>
      <c r="E15" s="675"/>
      <c r="F15" s="268" t="str">
        <f>IF(D15=0," ",IF(D15="Grant","Grant",IF(Transportation!$F$4-D15&gt;(E15*30),"Depreciated",(C15/E15)*12)))</f>
        <v xml:space="preserve"> </v>
      </c>
    </row>
    <row r="16" spans="1:8" ht="15" thickBot="1" x14ac:dyDescent="0.4">
      <c r="A16" s="7">
        <v>5</v>
      </c>
      <c r="B16" s="678"/>
      <c r="C16" s="679"/>
      <c r="D16" s="680"/>
      <c r="E16" s="681"/>
      <c r="F16" s="269" t="str">
        <f>IF(D16=0," ",IF(D16="Grant","Grant",IF(Transportation!$F$4-D16&gt;(E16*30),"Depreciated",(C16/E16)*12)))</f>
        <v xml:space="preserve"> </v>
      </c>
    </row>
    <row r="17" spans="1:6" ht="15" thickTop="1" x14ac:dyDescent="0.35">
      <c r="A17" s="7">
        <v>6</v>
      </c>
      <c r="B17" s="682"/>
      <c r="C17" s="669"/>
      <c r="D17" s="670"/>
      <c r="E17" s="671"/>
      <c r="F17" s="267" t="str">
        <f>IF(D17=0," ",IF(D17="Grant","Grant",IF(Transportation!$F$4-D17&gt;(E17*30),"Depreciated",(C17/E17)*12)))</f>
        <v xml:space="preserve"> </v>
      </c>
    </row>
    <row r="18" spans="1:6" x14ac:dyDescent="0.35">
      <c r="A18" s="7">
        <v>7</v>
      </c>
      <c r="B18" s="676"/>
      <c r="C18" s="673"/>
      <c r="D18" s="674"/>
      <c r="E18" s="675"/>
      <c r="F18" s="268" t="str">
        <f>IF(D18=0," ",IF(D18="Grant","Grant",IF(Transportation!$F$4-D18&gt;(E18*30),"Depreciated",(C18/E18)*12)))</f>
        <v xml:space="preserve"> </v>
      </c>
    </row>
    <row r="19" spans="1:6" x14ac:dyDescent="0.35">
      <c r="A19" s="7">
        <v>8</v>
      </c>
      <c r="B19" s="676"/>
      <c r="C19" s="673"/>
      <c r="D19" s="674"/>
      <c r="E19" s="675"/>
      <c r="F19" s="268" t="str">
        <f>IF(D19=0," ",IF(D19="Grant","Grant",IF(Transportation!$F$4-D19&gt;(E19*30),"Depreciated",(C19/E19)*12)))</f>
        <v xml:space="preserve"> </v>
      </c>
    </row>
    <row r="20" spans="1:6" x14ac:dyDescent="0.35">
      <c r="A20" s="7">
        <v>9</v>
      </c>
      <c r="B20" s="676"/>
      <c r="C20" s="673"/>
      <c r="D20" s="674"/>
      <c r="E20" s="675"/>
      <c r="F20" s="268" t="str">
        <f>IF(D20=0," ",IF(D20="Grant","Grant",IF(Transportation!$F$4-D20&gt;(E20*30),"Depreciated",(C20/E20)*12)))</f>
        <v xml:space="preserve"> </v>
      </c>
    </row>
    <row r="21" spans="1:6" ht="15" thickBot="1" x14ac:dyDescent="0.4">
      <c r="A21" s="7">
        <v>10</v>
      </c>
      <c r="B21" s="683"/>
      <c r="C21" s="679"/>
      <c r="D21" s="680"/>
      <c r="E21" s="681"/>
      <c r="F21" s="269" t="str">
        <f>IF(D21=0," ",IF(D21="Grant","Grant",IF(Transportation!$F$4-D21&gt;(E21*30),"Depreciated",(C21/E21)*12)))</f>
        <v xml:space="preserve"> </v>
      </c>
    </row>
    <row r="22" spans="1:6" ht="15" thickTop="1" x14ac:dyDescent="0.35">
      <c r="A22" s="7">
        <v>11</v>
      </c>
      <c r="B22" s="682"/>
      <c r="C22" s="669"/>
      <c r="D22" s="670"/>
      <c r="E22" s="671"/>
      <c r="F22" s="267" t="str">
        <f>IF(D22=0," ",IF(D22="Grant","Grant",IF(Transportation!$F$4-D22&gt;(E22*30),"Depreciated",(C22/E22)*12)))</f>
        <v xml:space="preserve"> </v>
      </c>
    </row>
    <row r="23" spans="1:6" x14ac:dyDescent="0.35">
      <c r="A23" s="7">
        <v>12</v>
      </c>
      <c r="B23" s="672"/>
      <c r="C23" s="673"/>
      <c r="D23" s="674"/>
      <c r="E23" s="675"/>
      <c r="F23" s="268" t="str">
        <f>IF(D23=0," ",IF(D23="Grant","Grant",IF(Transportation!$F$4-D23&gt;(E23*30),"Depreciated",(C23/E23)*12)))</f>
        <v xml:space="preserve"> </v>
      </c>
    </row>
    <row r="24" spans="1:6" x14ac:dyDescent="0.35">
      <c r="A24" s="7">
        <v>13</v>
      </c>
      <c r="B24" s="677"/>
      <c r="C24" s="673"/>
      <c r="D24" s="674"/>
      <c r="E24" s="675"/>
      <c r="F24" s="268" t="str">
        <f>IF(D24=0," ",IF(D24="Grant","Grant",IF(Transportation!$F$4-D24&gt;(E24*30),"Depreciated",(C24/E24)*12)))</f>
        <v xml:space="preserve"> </v>
      </c>
    </row>
    <row r="25" spans="1:6" x14ac:dyDescent="0.35">
      <c r="A25" s="7">
        <v>14</v>
      </c>
      <c r="B25" s="677"/>
      <c r="C25" s="673"/>
      <c r="D25" s="674"/>
      <c r="E25" s="675"/>
      <c r="F25" s="268" t="str">
        <f>IF(D25=0," ",IF(D25="Grant","Grant",IF(Transportation!$F$4-D25&gt;(E25*30),"Depreciated",(C25/E25)*12)))</f>
        <v xml:space="preserve"> </v>
      </c>
    </row>
    <row r="26" spans="1:6" ht="15" thickBot="1" x14ac:dyDescent="0.4">
      <c r="A26" s="7">
        <v>15</v>
      </c>
      <c r="B26" s="684"/>
      <c r="C26" s="679"/>
      <c r="D26" s="680"/>
      <c r="E26" s="681"/>
      <c r="F26" s="269" t="str">
        <f>IF(D26=0," ",IF(D26="Grant","Grant",IF(Transportation!$F$4-D26&gt;(E26*30),"Depreciated",(C26/E26)*12)))</f>
        <v xml:space="preserve"> </v>
      </c>
    </row>
    <row r="27" spans="1:6" ht="15" thickTop="1" x14ac:dyDescent="0.35">
      <c r="A27" s="7">
        <v>16</v>
      </c>
      <c r="B27" s="682"/>
      <c r="C27" s="669"/>
      <c r="D27" s="670"/>
      <c r="E27" s="671"/>
      <c r="F27" s="267" t="str">
        <f>IF(D27=0," ",IF(D27="Grant","Grant",IF(Transportation!$F$4-D27&gt;(E27*30),"Depreciated",(C27/E27)*12)))</f>
        <v xml:space="preserve"> </v>
      </c>
    </row>
    <row r="28" spans="1:6" x14ac:dyDescent="0.35">
      <c r="A28" s="7">
        <v>17</v>
      </c>
      <c r="B28" s="672"/>
      <c r="C28" s="673"/>
      <c r="D28" s="674"/>
      <c r="E28" s="675"/>
      <c r="F28" s="268" t="str">
        <f>IF(D28=0," ",IF(D28="Grant","Grant",IF(Transportation!$F$4-D28&gt;(E28*30),"Depreciated",(C28/E28)*12)))</f>
        <v xml:space="preserve"> </v>
      </c>
    </row>
    <row r="29" spans="1:6" x14ac:dyDescent="0.35">
      <c r="A29" s="7">
        <v>18</v>
      </c>
      <c r="B29" s="672"/>
      <c r="C29" s="673"/>
      <c r="D29" s="674"/>
      <c r="E29" s="675"/>
      <c r="F29" s="268" t="str">
        <f>IF(D29=0," ",IF(D29="Grant","Grant",IF(Transportation!$F$4-D29&gt;(E29*30),"Depreciated",(C29/E29)*12)))</f>
        <v xml:space="preserve"> </v>
      </c>
    </row>
    <row r="30" spans="1:6" x14ac:dyDescent="0.35">
      <c r="A30" s="7">
        <v>19</v>
      </c>
      <c r="B30" s="677"/>
      <c r="C30" s="673"/>
      <c r="D30" s="674"/>
      <c r="E30" s="675"/>
      <c r="F30" s="268" t="str">
        <f>IF(D30=0," ",IF(D30="Grant","Grant",IF(Transportation!$F$4-D30&gt;(E30*30),"Depreciated",(C30/E30)*12)))</f>
        <v xml:space="preserve"> </v>
      </c>
    </row>
    <row r="31" spans="1:6" ht="15" thickBot="1" x14ac:dyDescent="0.4">
      <c r="A31" s="7">
        <v>20</v>
      </c>
      <c r="B31" s="683"/>
      <c r="C31" s="679"/>
      <c r="D31" s="680"/>
      <c r="E31" s="681"/>
      <c r="F31" s="269" t="str">
        <f>IF(D31=0," ",IF(D31="Grant","Grant",IF(Transportation!$F$4-D31&gt;(E31*30),"Depreciated",(C31/E31)*12)))</f>
        <v xml:space="preserve"> </v>
      </c>
    </row>
    <row r="32" spans="1:6" ht="15" thickTop="1" x14ac:dyDescent="0.35">
      <c r="A32" s="7">
        <v>21</v>
      </c>
      <c r="B32" s="682"/>
      <c r="C32" s="669"/>
      <c r="D32" s="670"/>
      <c r="E32" s="671"/>
      <c r="F32" s="267" t="str">
        <f>IF(D32=0," ",IF(D32="Grant","Grant",IF(Transportation!$F$4-D32&gt;(E32*30),"Depreciated",(C32/E32)*12)))</f>
        <v xml:space="preserve"> </v>
      </c>
    </row>
    <row r="33" spans="1:6" x14ac:dyDescent="0.35">
      <c r="A33" s="7">
        <v>22</v>
      </c>
      <c r="B33" s="672"/>
      <c r="C33" s="673"/>
      <c r="D33" s="674"/>
      <c r="E33" s="675"/>
      <c r="F33" s="268" t="str">
        <f>IF(D33=0," ",IF(D33="Grant","Grant",IF(Transportation!$F$4-D33&gt;(E33*30),"Depreciated",(C33/E33)*12)))</f>
        <v xml:space="preserve"> </v>
      </c>
    </row>
    <row r="34" spans="1:6" x14ac:dyDescent="0.35">
      <c r="A34" s="7">
        <v>23</v>
      </c>
      <c r="B34" s="672"/>
      <c r="C34" s="673"/>
      <c r="D34" s="674"/>
      <c r="E34" s="675"/>
      <c r="F34" s="268" t="str">
        <f>IF(D34=0," ",IF(D34="Grant","Grant",IF(Transportation!$F$4-D34&gt;(E34*30),"Depreciated",(C34/E34)*12)))</f>
        <v xml:space="preserve"> </v>
      </c>
    </row>
    <row r="35" spans="1:6" x14ac:dyDescent="0.35">
      <c r="A35" s="7">
        <v>24</v>
      </c>
      <c r="B35" s="672"/>
      <c r="C35" s="673"/>
      <c r="D35" s="674"/>
      <c r="E35" s="675"/>
      <c r="F35" s="268" t="str">
        <f>IF(D35=0," ",IF(D35="Grant","Grant",IF(Transportation!$F$4-D35&gt;(E35*30),"Depreciated",(C35/E35)*12)))</f>
        <v xml:space="preserve"> </v>
      </c>
    </row>
    <row r="36" spans="1:6" ht="15" thickBot="1" x14ac:dyDescent="0.4">
      <c r="A36" s="7">
        <v>25</v>
      </c>
      <c r="B36" s="684"/>
      <c r="C36" s="679"/>
      <c r="D36" s="680"/>
      <c r="E36" s="681"/>
      <c r="F36" s="269" t="str">
        <f>IF(D36=0," ",IF(D36="Grant","Grant",IF(Transportation!$F$4-D36&gt;(E36*30),"Depreciated",(C36/E36)*12)))</f>
        <v xml:space="preserve"> </v>
      </c>
    </row>
    <row r="37" spans="1:6" ht="15" thickTop="1" x14ac:dyDescent="0.35">
      <c r="A37" s="7">
        <v>26</v>
      </c>
      <c r="B37" s="685"/>
      <c r="C37" s="669"/>
      <c r="D37" s="670"/>
      <c r="E37" s="671"/>
      <c r="F37" s="267" t="str">
        <f>IF(D37=0," ",IF(D37="Grant","Grant",IF(Transportation!$F$4-D37&gt;(E37*30),"Depreciated",(C37/E37)*12)))</f>
        <v xml:space="preserve"> </v>
      </c>
    </row>
    <row r="38" spans="1:6" x14ac:dyDescent="0.35">
      <c r="A38" s="7">
        <v>27</v>
      </c>
      <c r="B38" s="672"/>
      <c r="C38" s="673"/>
      <c r="D38" s="674"/>
      <c r="E38" s="675"/>
      <c r="F38" s="268" t="str">
        <f>IF(D38=0," ",IF(D38="Grant","Grant",IF(Transportation!$F$4-D38&gt;(E38*30),"Depreciated",(C38/E38)*12)))</f>
        <v xml:space="preserve"> </v>
      </c>
    </row>
    <row r="39" spans="1:6" x14ac:dyDescent="0.35">
      <c r="A39" s="7">
        <v>28</v>
      </c>
      <c r="B39" s="672"/>
      <c r="C39" s="673"/>
      <c r="D39" s="674"/>
      <c r="E39" s="675"/>
      <c r="F39" s="268" t="str">
        <f>IF(D39=0," ",IF(D39="Grant","Grant",IF(Transportation!$F$4-D39&gt;(E39*30),"Depreciated",(C39/E39)*12)))</f>
        <v xml:space="preserve"> </v>
      </c>
    </row>
    <row r="40" spans="1:6" x14ac:dyDescent="0.35">
      <c r="A40" s="7">
        <v>29</v>
      </c>
      <c r="B40" s="676"/>
      <c r="C40" s="673"/>
      <c r="D40" s="674"/>
      <c r="E40" s="675"/>
      <c r="F40" s="268" t="str">
        <f>IF(D40=0," ",IF(D40="Grant","Grant",IF(Transportation!$F$4-D40&gt;(E40*30),"Depreciated",(C40/E40)*12)))</f>
        <v xml:space="preserve"> </v>
      </c>
    </row>
    <row r="41" spans="1:6" ht="15" thickBot="1" x14ac:dyDescent="0.4">
      <c r="A41" s="7">
        <v>30</v>
      </c>
      <c r="B41" s="678"/>
      <c r="C41" s="679"/>
      <c r="D41" s="680"/>
      <c r="E41" s="681"/>
      <c r="F41" s="269" t="str">
        <f>IF(D41=0," ",IF(D41="Grant","Grant",IF(Transportation!$F$4-D41&gt;(E41*30),"Depreciated",(C41/E41)*12)))</f>
        <v xml:space="preserve"> </v>
      </c>
    </row>
    <row r="42" spans="1:6" ht="15" thickTop="1" x14ac:dyDescent="0.35">
      <c r="A42" s="7">
        <v>31</v>
      </c>
      <c r="B42" s="685"/>
      <c r="C42" s="669"/>
      <c r="D42" s="670"/>
      <c r="E42" s="671"/>
      <c r="F42" s="267" t="str">
        <f>IF(D42=0," ",IF(D42="Grant","Grant",IF(Transportation!$F$4-D42&gt;(E42*30),"Depreciated",(C42/E42)*12)))</f>
        <v xml:space="preserve"> </v>
      </c>
    </row>
    <row r="43" spans="1:6" x14ac:dyDescent="0.35">
      <c r="A43" s="7">
        <v>32</v>
      </c>
      <c r="B43" s="676"/>
      <c r="C43" s="673"/>
      <c r="D43" s="674"/>
      <c r="E43" s="675"/>
      <c r="F43" s="268" t="str">
        <f>IF(D43=0," ",IF(D43="Grant","Grant",IF(Transportation!$F$4-D43&gt;(E43*30),"Depreciated",(C43/E43)*12)))</f>
        <v xml:space="preserve"> </v>
      </c>
    </row>
    <row r="44" spans="1:6" x14ac:dyDescent="0.35">
      <c r="A44" s="7">
        <v>33</v>
      </c>
      <c r="B44" s="672"/>
      <c r="C44" s="673"/>
      <c r="D44" s="674"/>
      <c r="E44" s="675"/>
      <c r="F44" s="268" t="str">
        <f>IF(D44=0," ",IF(D44="Grant","Grant",IF(Transportation!$F$4-D44&gt;(E44*30),"Depreciated",(C44/E44)*12)))</f>
        <v xml:space="preserve"> </v>
      </c>
    </row>
    <row r="45" spans="1:6" x14ac:dyDescent="0.35">
      <c r="A45" s="7">
        <v>34</v>
      </c>
      <c r="B45" s="672"/>
      <c r="C45" s="673"/>
      <c r="D45" s="674"/>
      <c r="E45" s="675"/>
      <c r="F45" s="268" t="str">
        <f>IF(D45=0," ",IF(D45="Grant","Grant",IF(Transportation!$F$4-D45&gt;(E45*30),"Depreciated",(C45/E45)*12)))</f>
        <v xml:space="preserve"> </v>
      </c>
    </row>
    <row r="46" spans="1:6" ht="15" thickBot="1" x14ac:dyDescent="0.4">
      <c r="A46" s="7">
        <v>35</v>
      </c>
      <c r="B46" s="684"/>
      <c r="C46" s="679"/>
      <c r="D46" s="680"/>
      <c r="E46" s="681"/>
      <c r="F46" s="269" t="str">
        <f>IF(D46=0," ",IF(D46="Grant","Grant",IF(Transportation!$F$4-D46&gt;(E46*30),"Depreciated",(C46/E46)*12)))</f>
        <v xml:space="preserve"> </v>
      </c>
    </row>
    <row r="47" spans="1:6" ht="15" thickTop="1" x14ac:dyDescent="0.35">
      <c r="A47" s="7">
        <v>36</v>
      </c>
      <c r="B47" s="682"/>
      <c r="C47" s="669"/>
      <c r="D47" s="670"/>
      <c r="E47" s="671"/>
      <c r="F47" s="267" t="str">
        <f>IF(D47=0," ",IF(D47="Grant","Grant",IF(Transportation!$F$4-D47&gt;(E47*30),"Depreciated",(C47/E47)*12)))</f>
        <v xml:space="preserve"> </v>
      </c>
    </row>
    <row r="48" spans="1:6" x14ac:dyDescent="0.35">
      <c r="A48" s="7">
        <v>37</v>
      </c>
      <c r="B48" s="676"/>
      <c r="C48" s="673"/>
      <c r="D48" s="674"/>
      <c r="E48" s="675"/>
      <c r="F48" s="268" t="str">
        <f>IF(D48=0," ",IF(D48="Grant","Grant",IF(Transportation!$F$4-D48&gt;(E48*30),"Depreciated",(C48/E48)*12)))</f>
        <v xml:space="preserve"> </v>
      </c>
    </row>
    <row r="49" spans="1:6" x14ac:dyDescent="0.35">
      <c r="A49" s="7">
        <v>38</v>
      </c>
      <c r="B49" s="672"/>
      <c r="C49" s="673"/>
      <c r="D49" s="674"/>
      <c r="E49" s="675"/>
      <c r="F49" s="268" t="str">
        <f>IF(D49=0," ",IF(D49="Grant","Grant",IF(Transportation!$F$4-D49&gt;(E49*30),"Depreciated",(C49/E49)*12)))</f>
        <v xml:space="preserve"> </v>
      </c>
    </row>
    <row r="50" spans="1:6" x14ac:dyDescent="0.35">
      <c r="A50" s="7">
        <v>39</v>
      </c>
      <c r="B50" s="677"/>
      <c r="C50" s="673"/>
      <c r="D50" s="674"/>
      <c r="E50" s="675"/>
      <c r="F50" s="268" t="str">
        <f>IF(D50=0," ",IF(D50="Grant","Grant",IF(Transportation!$F$4-D50&gt;(E50*30),"Depreciated",(C50/E50)*12)))</f>
        <v xml:space="preserve"> </v>
      </c>
    </row>
    <row r="51" spans="1:6" ht="15" thickBot="1" x14ac:dyDescent="0.4">
      <c r="A51" s="7">
        <v>40</v>
      </c>
      <c r="B51" s="684"/>
      <c r="C51" s="679"/>
      <c r="D51" s="680"/>
      <c r="E51" s="681"/>
      <c r="F51" s="269" t="str">
        <f>IF(D51=0," ",IF(D51="Grant","Grant",IF(Transportation!$F$4-D51&gt;(E51*30),"Depreciated",(C51/E51)*12)))</f>
        <v xml:space="preserve"> </v>
      </c>
    </row>
    <row r="52" spans="1:6" ht="15" thickTop="1" x14ac:dyDescent="0.35">
      <c r="A52" s="7">
        <v>41</v>
      </c>
      <c r="B52" s="682"/>
      <c r="C52" s="669"/>
      <c r="D52" s="670"/>
      <c r="E52" s="671"/>
      <c r="F52" s="267" t="str">
        <f>IF(D52=0," ",IF(D52="Grant","Grant",IF(Transportation!$F$4-D52&gt;(E52*30),"Depreciated",(C52/E52)*12)))</f>
        <v xml:space="preserve"> </v>
      </c>
    </row>
    <row r="53" spans="1:6" x14ac:dyDescent="0.35">
      <c r="A53" s="7">
        <v>42</v>
      </c>
      <c r="B53" s="672"/>
      <c r="C53" s="673"/>
      <c r="D53" s="674"/>
      <c r="E53" s="675"/>
      <c r="F53" s="268" t="str">
        <f>IF(D53=0," ",IF(D53="Grant","Grant",IF(Transportation!$F$4-D53&gt;(E53*30),"Depreciated",(C53/E53)*12)))</f>
        <v xml:space="preserve"> </v>
      </c>
    </row>
    <row r="54" spans="1:6" x14ac:dyDescent="0.35">
      <c r="A54" s="7">
        <v>43</v>
      </c>
      <c r="B54" s="676"/>
      <c r="C54" s="673"/>
      <c r="D54" s="674"/>
      <c r="E54" s="675"/>
      <c r="F54" s="268" t="str">
        <f>IF(D54=0," ",IF(D54="Grant","Grant",IF(Transportation!$F$4-D54&gt;(E54*30),"Depreciated",(C54/E54)*12)))</f>
        <v xml:space="preserve"> </v>
      </c>
    </row>
    <row r="55" spans="1:6" x14ac:dyDescent="0.35">
      <c r="A55" s="7">
        <v>44</v>
      </c>
      <c r="B55" s="672"/>
      <c r="C55" s="686"/>
      <c r="D55" s="687"/>
      <c r="E55" s="688"/>
      <c r="F55" s="270" t="str">
        <f>IF(D55=0," ",IF(D55="Grant","Grant",IF(Transportation!$F$4-D55&gt;(E55*30),"Depreciated",(C55/E55)*12)))</f>
        <v xml:space="preserve"> </v>
      </c>
    </row>
    <row r="56" spans="1:6" ht="15" thickBot="1" x14ac:dyDescent="0.4">
      <c r="A56" s="7">
        <v>45</v>
      </c>
      <c r="B56" s="684"/>
      <c r="C56" s="689"/>
      <c r="D56" s="690"/>
      <c r="E56" s="691"/>
      <c r="F56" s="271" t="str">
        <f>IF(D56=0," ",IF(D56="Grant","Grant",IF(Transportation!$F$4-D56&gt;(E56*30),"Depreciated",(C56/E56)*12)))</f>
        <v xml:space="preserve"> </v>
      </c>
    </row>
    <row r="57" spans="1:6" ht="15" thickTop="1" x14ac:dyDescent="0.35">
      <c r="A57" s="7">
        <v>46</v>
      </c>
      <c r="B57" s="682"/>
      <c r="C57" s="692"/>
      <c r="D57" s="693"/>
      <c r="E57" s="694"/>
      <c r="F57" s="272" t="str">
        <f>IF(D57=0," ",IF(D57="Grant","Grant",IF(Transportation!$F$4-D57&gt;(E57*30),"Depreciated",(C57/E57)*12)))</f>
        <v xml:space="preserve"> </v>
      </c>
    </row>
    <row r="58" spans="1:6" x14ac:dyDescent="0.35">
      <c r="A58" s="7">
        <v>47</v>
      </c>
      <c r="B58" s="672"/>
      <c r="C58" s="686"/>
      <c r="D58" s="687"/>
      <c r="E58" s="688"/>
      <c r="F58" s="270" t="str">
        <f>IF(D58=0," ",IF(D58="Grant","Grant",IF(Transportation!$F$4-D58&gt;(E58*30),"Depreciated",(C58/E58)*12)))</f>
        <v xml:space="preserve"> </v>
      </c>
    </row>
    <row r="59" spans="1:6" x14ac:dyDescent="0.35">
      <c r="A59" s="7">
        <v>48</v>
      </c>
      <c r="B59" s="672"/>
      <c r="C59" s="686"/>
      <c r="D59" s="687"/>
      <c r="E59" s="688"/>
      <c r="F59" s="270" t="str">
        <f>IF(D59=0," ",IF(D59="Grant","Grant",IF(Transportation!$F$4-D59&gt;(E59*30),"Depreciated",(C59/E59)*12)))</f>
        <v xml:space="preserve"> </v>
      </c>
    </row>
    <row r="60" spans="1:6" x14ac:dyDescent="0.35">
      <c r="A60" s="7">
        <v>49</v>
      </c>
      <c r="B60" s="672"/>
      <c r="C60" s="686"/>
      <c r="D60" s="687"/>
      <c r="E60" s="688"/>
      <c r="F60" s="270" t="str">
        <f>IF(D60=0," ",IF(D60="Grant","Grant",IF(Transportation!$F$4-D60&gt;(E60*30),"Depreciated",(C60/E60)*12)))</f>
        <v xml:space="preserve"> </v>
      </c>
    </row>
    <row r="61" spans="1:6" ht="15" thickBot="1" x14ac:dyDescent="0.4">
      <c r="A61" s="7">
        <v>50</v>
      </c>
      <c r="B61" s="684"/>
      <c r="C61" s="689"/>
      <c r="D61" s="690"/>
      <c r="E61" s="691"/>
      <c r="F61" s="271" t="str">
        <f>IF(D61=0," ",IF(D61="Grant","Grant",IF(Transportation!$F$4-D61&gt;(E61*30),"Depreciated",(C61/E61)*12)))</f>
        <v xml:space="preserve"> </v>
      </c>
    </row>
    <row r="62" spans="1:6" ht="15" thickTop="1" x14ac:dyDescent="0.35">
      <c r="A62" s="7">
        <v>51</v>
      </c>
      <c r="B62" s="682"/>
      <c r="C62" s="692"/>
      <c r="D62" s="693"/>
      <c r="E62" s="694"/>
      <c r="F62" s="272" t="str">
        <f>IF(D62=0," ",IF(D62="Grant","Grant",IF(Transportation!$F$4-D62&gt;(E62*30),"Depreciated",(C62/E62)*12)))</f>
        <v xml:space="preserve"> </v>
      </c>
    </row>
    <row r="63" spans="1:6" x14ac:dyDescent="0.35">
      <c r="A63" s="7">
        <v>52</v>
      </c>
      <c r="B63" s="672"/>
      <c r="C63" s="686"/>
      <c r="D63" s="687"/>
      <c r="E63" s="688"/>
      <c r="F63" s="270" t="str">
        <f>IF(D63=0," ",IF(D63="Grant","Grant",IF(Transportation!$F$4-D63&gt;(E63*30),"Depreciated",(C63/E63)*12)))</f>
        <v xml:space="preserve"> </v>
      </c>
    </row>
    <row r="64" spans="1:6" x14ac:dyDescent="0.35">
      <c r="A64" s="7">
        <v>53</v>
      </c>
      <c r="B64" s="672"/>
      <c r="C64" s="686"/>
      <c r="D64" s="687"/>
      <c r="E64" s="688"/>
      <c r="F64" s="270" t="str">
        <f>IF(D64=0," ",IF(D64="Grant","Grant",IF(Transportation!$F$4-D64&gt;(E64*30),"Depreciated",(C64/E64)*12)))</f>
        <v xml:space="preserve"> </v>
      </c>
    </row>
    <row r="65" spans="1:6" x14ac:dyDescent="0.35">
      <c r="A65" s="7">
        <v>54</v>
      </c>
      <c r="B65" s="672"/>
      <c r="C65" s="686"/>
      <c r="D65" s="687"/>
      <c r="E65" s="688"/>
      <c r="F65" s="270" t="str">
        <f>IF(D65=0," ",IF(D65="Grant","Grant",IF(Transportation!$F$4-D65&gt;(E65*30),"Depreciated",(C65/E65)*12)))</f>
        <v xml:space="preserve"> </v>
      </c>
    </row>
    <row r="66" spans="1:6" ht="15" thickBot="1" x14ac:dyDescent="0.4">
      <c r="A66" s="7">
        <v>55</v>
      </c>
      <c r="B66" s="684"/>
      <c r="C66" s="689"/>
      <c r="D66" s="690"/>
      <c r="E66" s="691"/>
      <c r="F66" s="271" t="str">
        <f>IF(D66=0," ",IF(D66="Grant","Grant",IF(Transportation!$F$4-D66&gt;(E66*30),"Depreciated",(C66/E66)*12)))</f>
        <v xml:space="preserve"> </v>
      </c>
    </row>
    <row r="67" spans="1:6" ht="15" thickTop="1" x14ac:dyDescent="0.35">
      <c r="A67" s="7">
        <v>56</v>
      </c>
      <c r="B67" s="695"/>
      <c r="C67" s="692"/>
      <c r="D67" s="693"/>
      <c r="E67" s="694"/>
      <c r="F67" s="272" t="str">
        <f>IF(D67=0," ",IF(D67="Grant","Grant",IF(Transportation!$F$4-D67&gt;(E67*30),"Depreciated",(C67/E67)*12)))</f>
        <v xml:space="preserve"> </v>
      </c>
    </row>
    <row r="68" spans="1:6" x14ac:dyDescent="0.35">
      <c r="A68" s="7">
        <v>57</v>
      </c>
      <c r="B68" s="672"/>
      <c r="C68" s="686"/>
      <c r="D68" s="687"/>
      <c r="E68" s="688"/>
      <c r="F68" s="270" t="str">
        <f>IF(D68=0," ",IF(D68="Grant","Grant",IF(Transportation!$F$4-D68&gt;(E68*30),"Depreciated",(C68/E68)*12)))</f>
        <v xml:space="preserve"> </v>
      </c>
    </row>
    <row r="69" spans="1:6" x14ac:dyDescent="0.35">
      <c r="A69" s="7">
        <v>58</v>
      </c>
      <c r="B69" s="672"/>
      <c r="C69" s="686"/>
      <c r="D69" s="687"/>
      <c r="E69" s="688"/>
      <c r="F69" s="270" t="str">
        <f>IF(D69=0," ",IF(D69="Grant","Grant",IF(Transportation!$F$4-D69&gt;(E69*30),"Depreciated",(C69/E69)*12)))</f>
        <v xml:space="preserve"> </v>
      </c>
    </row>
    <row r="70" spans="1:6" x14ac:dyDescent="0.35">
      <c r="A70" s="7">
        <v>59</v>
      </c>
      <c r="B70" s="672"/>
      <c r="C70" s="686"/>
      <c r="D70" s="687"/>
      <c r="E70" s="688"/>
      <c r="F70" s="270" t="str">
        <f>IF(D70=0," ",IF(D70="Grant","Grant",IF(Transportation!$F$4-D70&gt;(E70*30),"Depreciated",(C70/E70)*12)))</f>
        <v xml:space="preserve"> </v>
      </c>
    </row>
    <row r="71" spans="1:6" ht="15" thickBot="1" x14ac:dyDescent="0.4">
      <c r="A71" s="7">
        <v>60</v>
      </c>
      <c r="B71" s="684"/>
      <c r="C71" s="689"/>
      <c r="D71" s="690"/>
      <c r="E71" s="691"/>
      <c r="F71" s="271" t="str">
        <f>IF(D71=0," ",IF(D71="Grant","Grant",IF(Transportation!$F$4-D71&gt;(E71*30),"Depreciated",(C71/E71)*12)))</f>
        <v xml:space="preserve"> </v>
      </c>
    </row>
    <row r="72" spans="1:6" ht="15" thickTop="1" x14ac:dyDescent="0.35">
      <c r="A72" s="7">
        <v>61</v>
      </c>
      <c r="B72" s="682"/>
      <c r="C72" s="692"/>
      <c r="D72" s="693"/>
      <c r="E72" s="694"/>
      <c r="F72" s="272" t="str">
        <f>IF(D72=0," ",IF(D72="Grant","Grant",IF(Transportation!$F$4-D72&gt;(E72*30),"Depreciated",(C72/E72)*12)))</f>
        <v xml:space="preserve"> </v>
      </c>
    </row>
    <row r="73" spans="1:6" x14ac:dyDescent="0.35">
      <c r="A73" s="7">
        <v>62</v>
      </c>
      <c r="B73" s="672"/>
      <c r="C73" s="686"/>
      <c r="D73" s="687"/>
      <c r="E73" s="688"/>
      <c r="F73" s="270" t="str">
        <f>IF(D73=0," ",IF(D73="Grant","Grant",IF(Transportation!$F$4-D73&gt;(E73*30),"Depreciated",(C73/E73)*12)))</f>
        <v xml:space="preserve"> </v>
      </c>
    </row>
    <row r="74" spans="1:6" x14ac:dyDescent="0.35">
      <c r="A74" s="7">
        <v>63</v>
      </c>
      <c r="B74" s="672"/>
      <c r="C74" s="686"/>
      <c r="D74" s="687"/>
      <c r="E74" s="688"/>
      <c r="F74" s="270" t="str">
        <f>IF(D74=0," ",IF(D74="Grant","Grant",IF(Transportation!$F$4-D74&gt;(E74*30),"Depreciated",(C74/E74)*12)))</f>
        <v xml:space="preserve"> </v>
      </c>
    </row>
    <row r="75" spans="1:6" x14ac:dyDescent="0.35">
      <c r="A75" s="7">
        <v>64</v>
      </c>
      <c r="B75" s="672"/>
      <c r="C75" s="686"/>
      <c r="D75" s="687"/>
      <c r="E75" s="688"/>
      <c r="F75" s="270" t="str">
        <f>IF(D75=0," ",IF(D75="Grant","Grant",IF(Transportation!$F$4-D75&gt;(E75*30),"Depreciated",(C75/E75)*12)))</f>
        <v xml:space="preserve"> </v>
      </c>
    </row>
    <row r="76" spans="1:6" ht="15" thickBot="1" x14ac:dyDescent="0.4">
      <c r="A76" s="7">
        <v>65</v>
      </c>
      <c r="B76" s="684"/>
      <c r="C76" s="689"/>
      <c r="D76" s="690"/>
      <c r="E76" s="691"/>
      <c r="F76" s="271" t="str">
        <f>IF(D76=0," ",IF(D76="Grant","Grant",IF(Transportation!$F$4-D76&gt;(E76*30),"Depreciated",(C76/E76)*12)))</f>
        <v xml:space="preserve"> </v>
      </c>
    </row>
    <row r="77" spans="1:6" ht="15" thickTop="1" x14ac:dyDescent="0.35">
      <c r="A77" s="7">
        <v>66</v>
      </c>
      <c r="B77" s="682"/>
      <c r="C77" s="692"/>
      <c r="D77" s="693"/>
      <c r="E77" s="694"/>
      <c r="F77" s="272" t="str">
        <f>IF(D77=0," ",IF(D77="Grant","Grant",IF(Transportation!$F$4-D77&gt;(E77*30),"Depreciated",(C77/E77)*12)))</f>
        <v xml:space="preserve"> </v>
      </c>
    </row>
    <row r="78" spans="1:6" x14ac:dyDescent="0.35">
      <c r="A78" s="7">
        <v>67</v>
      </c>
      <c r="B78" s="672"/>
      <c r="C78" s="686"/>
      <c r="D78" s="687"/>
      <c r="E78" s="688"/>
      <c r="F78" s="270" t="str">
        <f>IF(D78=0," ",IF(D78="Grant","Grant",IF(Transportation!$F$4-D78&gt;(E78*30),"Depreciated",(C78/E78)*12)))</f>
        <v xml:space="preserve"> </v>
      </c>
    </row>
    <row r="79" spans="1:6" x14ac:dyDescent="0.35">
      <c r="A79" s="7">
        <v>68</v>
      </c>
      <c r="B79" s="672"/>
      <c r="C79" s="686"/>
      <c r="D79" s="687"/>
      <c r="E79" s="688"/>
      <c r="F79" s="270" t="str">
        <f>IF(D79=0," ",IF(D79="Grant","Grant",IF(Transportation!$F$4-D79&gt;(E79*30),"Depreciated",(C79/E79)*12)))</f>
        <v xml:space="preserve"> </v>
      </c>
    </row>
    <row r="80" spans="1:6" x14ac:dyDescent="0.35">
      <c r="A80" s="7">
        <v>69</v>
      </c>
      <c r="B80" s="672"/>
      <c r="C80" s="686"/>
      <c r="D80" s="687"/>
      <c r="E80" s="688"/>
      <c r="F80" s="270" t="str">
        <f>IF(D80=0," ",IF(D80="Grant","Grant",IF(Transportation!$F$4-D80&gt;(E80*30),"Depreciated",(C80/E80)*12)))</f>
        <v xml:space="preserve"> </v>
      </c>
    </row>
    <row r="81" spans="1:6" ht="15" thickBot="1" x14ac:dyDescent="0.4">
      <c r="A81" s="7">
        <v>70</v>
      </c>
      <c r="B81" s="684"/>
      <c r="C81" s="689"/>
      <c r="D81" s="690"/>
      <c r="E81" s="691"/>
      <c r="F81" s="271" t="str">
        <f>IF(D81=0," ",IF(D81="Grant","Grant",IF(Transportation!$F$4-D81&gt;(E81*30),"Depreciated",(C81/E81)*12)))</f>
        <v xml:space="preserve"> </v>
      </c>
    </row>
    <row r="82" spans="1:6" ht="15" thickTop="1" x14ac:dyDescent="0.35">
      <c r="A82" s="7">
        <v>71</v>
      </c>
      <c r="B82" s="682"/>
      <c r="C82" s="692"/>
      <c r="D82" s="693"/>
      <c r="E82" s="694"/>
      <c r="F82" s="272" t="str">
        <f>IF(D82=0," ",IF(D82="Grant","Grant",IF(Transportation!$F$4-D82&gt;(E82*30),"Depreciated",(C82/E82)*12)))</f>
        <v xml:space="preserve"> </v>
      </c>
    </row>
    <row r="83" spans="1:6" x14ac:dyDescent="0.35">
      <c r="A83" s="7">
        <v>72</v>
      </c>
      <c r="B83" s="672"/>
      <c r="C83" s="686"/>
      <c r="D83" s="687"/>
      <c r="E83" s="688"/>
      <c r="F83" s="270" t="str">
        <f>IF(D83=0," ",IF(D83="Grant","Grant",IF(Transportation!$F$4-D83&gt;(E83*30),"Depreciated",(C83/E83)*12)))</f>
        <v xml:space="preserve"> </v>
      </c>
    </row>
    <row r="84" spans="1:6" x14ac:dyDescent="0.35">
      <c r="A84" s="7">
        <v>73</v>
      </c>
      <c r="B84" s="672"/>
      <c r="C84" s="686"/>
      <c r="D84" s="687"/>
      <c r="E84" s="688"/>
      <c r="F84" s="270" t="str">
        <f>IF(D84=0," ",IF(D84="Grant","Grant",IF(Transportation!$F$4-D84&gt;(E84*30),"Depreciated",(C84/E84)*12)))</f>
        <v xml:space="preserve"> </v>
      </c>
    </row>
    <row r="85" spans="1:6" x14ac:dyDescent="0.35">
      <c r="A85" s="7">
        <v>74</v>
      </c>
      <c r="B85" s="672"/>
      <c r="C85" s="686"/>
      <c r="D85" s="687"/>
      <c r="E85" s="688"/>
      <c r="F85" s="270" t="str">
        <f>IF(D85=0," ",IF(D85="Grant","Grant",IF(Transportation!$F$4-D85&gt;(E85*30),"Depreciated",(C85/E85)*12)))</f>
        <v xml:space="preserve"> </v>
      </c>
    </row>
    <row r="86" spans="1:6" ht="15" thickBot="1" x14ac:dyDescent="0.4">
      <c r="A86" s="7">
        <v>75</v>
      </c>
      <c r="B86" s="684"/>
      <c r="C86" s="689"/>
      <c r="D86" s="690"/>
      <c r="E86" s="691"/>
      <c r="F86" s="271" t="str">
        <f>IF(D86=0," ",IF(D86="Grant","Grant",IF(Transportation!$F$4-D86&gt;(E86*30),"Depreciated",(C86/E86)*12)))</f>
        <v xml:space="preserve"> </v>
      </c>
    </row>
    <row r="87" spans="1:6" ht="15" thickTop="1" x14ac:dyDescent="0.35">
      <c r="A87" s="7">
        <v>76</v>
      </c>
      <c r="B87" s="682"/>
      <c r="C87" s="692"/>
      <c r="D87" s="693"/>
      <c r="E87" s="694"/>
      <c r="F87" s="272" t="str">
        <f>IF(D87=0," ",IF(D87="Grant","Grant",IF(Transportation!$F$4-D87&gt;(E87*30),"Depreciated",(C87/E87)*12)))</f>
        <v xml:space="preserve"> </v>
      </c>
    </row>
    <row r="88" spans="1:6" x14ac:dyDescent="0.35">
      <c r="A88" s="7">
        <v>77</v>
      </c>
      <c r="B88" s="672"/>
      <c r="C88" s="686"/>
      <c r="D88" s="687"/>
      <c r="E88" s="688"/>
      <c r="F88" s="270" t="str">
        <f>IF(D88=0," ",IF(D88="Grant","Grant",IF(Transportation!$F$4-D88&gt;(E88*30),"Depreciated",(C88/E88)*12)))</f>
        <v xml:space="preserve"> </v>
      </c>
    </row>
    <row r="89" spans="1:6" x14ac:dyDescent="0.35">
      <c r="A89" s="7">
        <v>78</v>
      </c>
      <c r="B89" s="672"/>
      <c r="C89" s="686"/>
      <c r="D89" s="687"/>
      <c r="E89" s="688"/>
      <c r="F89" s="270" t="str">
        <f>IF(D89=0," ",IF(D89="Grant","Grant",IF(Transportation!$F$4-D89&gt;(E89*30),"Depreciated",(C89/E89)*12)))</f>
        <v xml:space="preserve"> </v>
      </c>
    </row>
    <row r="90" spans="1:6" x14ac:dyDescent="0.35">
      <c r="A90" s="7">
        <v>79</v>
      </c>
      <c r="B90" s="672"/>
      <c r="C90" s="686"/>
      <c r="D90" s="687"/>
      <c r="E90" s="688"/>
      <c r="F90" s="270" t="str">
        <f>IF(D90=0," ",IF(D90="Grant","Grant",IF(Transportation!$F$4-D90&gt;(E90*30),"Depreciated",(C90/E90)*12)))</f>
        <v xml:space="preserve"> </v>
      </c>
    </row>
    <row r="91" spans="1:6" ht="15" thickBot="1" x14ac:dyDescent="0.4">
      <c r="A91" s="7">
        <v>80</v>
      </c>
      <c r="B91" s="684"/>
      <c r="C91" s="689"/>
      <c r="D91" s="690"/>
      <c r="E91" s="691"/>
      <c r="F91" s="271" t="str">
        <f>IF(D91=0," ",IF(D91="Grant","Grant",IF(Transportation!$F$4-D91&gt;(E91*30),"Depreciated",(C91/E91)*12)))</f>
        <v xml:space="preserve"> </v>
      </c>
    </row>
    <row r="92" spans="1:6" ht="15" thickTop="1" x14ac:dyDescent="0.35">
      <c r="A92" s="7">
        <v>81</v>
      </c>
      <c r="B92" s="682"/>
      <c r="C92" s="692"/>
      <c r="D92" s="693"/>
      <c r="E92" s="694"/>
      <c r="F92" s="272" t="str">
        <f>IF(D92=0," ",IF(D92="Grant","Grant",IF(Transportation!$F$4-D92&gt;(E92*30),"Depreciated",(C92/E92)*12)))</f>
        <v xml:space="preserve"> </v>
      </c>
    </row>
    <row r="93" spans="1:6" x14ac:dyDescent="0.35">
      <c r="A93" s="7">
        <v>82</v>
      </c>
      <c r="B93" s="672"/>
      <c r="C93" s="686"/>
      <c r="D93" s="687"/>
      <c r="E93" s="688"/>
      <c r="F93" s="270" t="str">
        <f>IF(D93=0," ",IF(D93="Grant","Grant",IF(Transportation!$F$4-D93&gt;(E93*30),"Depreciated",(C93/E93)*12)))</f>
        <v xml:space="preserve"> </v>
      </c>
    </row>
    <row r="94" spans="1:6" x14ac:dyDescent="0.35">
      <c r="A94" s="7">
        <v>83</v>
      </c>
      <c r="B94" s="672"/>
      <c r="C94" s="686"/>
      <c r="D94" s="687"/>
      <c r="E94" s="688"/>
      <c r="F94" s="270" t="str">
        <f>IF(D94=0," ",IF(D94="Grant","Grant",IF(Transportation!$F$4-D94&gt;(E94*30),"Depreciated",(C94/E94)*12)))</f>
        <v xml:space="preserve"> </v>
      </c>
    </row>
    <row r="95" spans="1:6" x14ac:dyDescent="0.35">
      <c r="A95" s="7">
        <v>84</v>
      </c>
      <c r="B95" s="672"/>
      <c r="C95" s="686"/>
      <c r="D95" s="687"/>
      <c r="E95" s="688"/>
      <c r="F95" s="270" t="str">
        <f>IF(D95=0," ",IF(D95="Grant","Grant",IF(Transportation!$F$4-D95&gt;(E95*30),"Depreciated",(C95/E95)*12)))</f>
        <v xml:space="preserve"> </v>
      </c>
    </row>
    <row r="96" spans="1:6" ht="15" thickBot="1" x14ac:dyDescent="0.4">
      <c r="A96" s="7">
        <v>85</v>
      </c>
      <c r="B96" s="696"/>
      <c r="C96" s="697"/>
      <c r="D96" s="698"/>
      <c r="E96" s="699"/>
      <c r="F96" s="273" t="str">
        <f>IF(D96=0," ",IF(D96="Grant","Grant",IF(Transportation!$F$4-D96&gt;(E96*30),"Depreciated",(C96/E96)*12)))</f>
        <v xml:space="preserve"> </v>
      </c>
    </row>
    <row r="97" ht="15" thickTop="1" x14ac:dyDescent="0.35"/>
  </sheetData>
  <sheetProtection algorithmName="SHA-512" hashValue="PeCMPlSZ9Qeqj5Rdb7t9XYLdMHANZRsmtueUpLgtwA7i3bu88wyHTNgXgUMs3B/NjQA1WyLKQpswZLHAcIVB5Q==" saltValue="tZgAIt0pDOJP2DMRyDMYRg==" spinCount="100000" sheet="1" objects="1" scenarios="1"/>
  <mergeCells count="4">
    <mergeCell ref="C7:D7"/>
    <mergeCell ref="C5:D5"/>
    <mergeCell ref="C3:D3"/>
    <mergeCell ref="B1:F1"/>
  </mergeCells>
  <conditionalFormatting sqref="B12:E96">
    <cfRule type="cellIs" dxfId="85" priority="3" operator="greaterThan">
      <formula>0</formula>
    </cfRule>
  </conditionalFormatting>
  <hyperlinks>
    <hyperlink ref="H2" location="'kt info'!C3" display="Contract Information" xr:uid="{6EC02272-B40A-4666-B81F-A66FA764F0D9}"/>
    <hyperlink ref="H3" location="'Overhead &amp; Margin'!D10" display="Overhead &amp; Margin" xr:uid="{E51EDF48-8285-490F-A8B8-453396F95734}"/>
    <hyperlink ref="H9" location="'Monthly Janitorial'!B21" display="Monthly Janitorial" xr:uid="{32B8FFEB-F529-4B1B-BADD-4B8DD9D58C4A}"/>
    <hyperlink ref="H10" location="Periodics!B22" display="Periodical Services(Carpets, Hard Floors, Windows, Blinds, other periodical services" xr:uid="{0C89DF5F-440A-410C-A31B-D5356A61C93C}"/>
    <hyperlink ref="H11" location="'Except,Emer&amp;Day Porter'!H4" display="Exceptional, Emergency and Day Porter Services" xr:uid="{20FD015B-1331-4D73-8A34-4EC9F11BD12E}"/>
    <hyperlink ref="H5" location="Supplies!B13" display="Supplies" xr:uid="{C9250D26-F073-4A5D-8A7E-CB8F0AAD1C20}"/>
    <hyperlink ref="H6" location="'Equipment List'!B12" display="Equipment" xr:uid="{4242EE3C-90DD-4D56-A037-108D560D28CC}"/>
    <hyperlink ref="H13" location="'Price Approval'!A1" display="Price Approval" xr:uid="{B4AEDA42-EDFF-4924-9B50-F9534E5A2319}"/>
    <hyperlink ref="H7" location="Subcontractors!B15" display="Subcontractors" xr:uid="{52A9F9EA-9EC9-4A4A-85FD-88FB3A486CBE}"/>
    <hyperlink ref="H4" location="'Pay &amp; Benefits'!C10" display="Wages and Benefits (includes Unemployment and Worker's Compensation" xr:uid="{D2BE0F99-6035-4B7F-86FE-A2EC447A0123}"/>
    <hyperlink ref="H8" location="Transportation!B6" display="Transportation" xr:uid="{365F9E10-6AEB-4EA5-910B-19E183AF045C}"/>
    <hyperlink ref="H12" location="'Summary-pricing'!A1" display="Summary-Pricing" xr:uid="{8A67E627-AD65-43C7-9BCA-23A7444D3577}"/>
  </hyperlink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A6540-A03D-4770-880D-DA72A553AAA9}">
  <dimension ref="A1:H39"/>
  <sheetViews>
    <sheetView showGridLines="0" showZeros="0" workbookViewId="0">
      <selection activeCell="B15" sqref="B15"/>
    </sheetView>
  </sheetViews>
  <sheetFormatPr defaultRowHeight="14.5" x14ac:dyDescent="0.35"/>
  <cols>
    <col min="2" max="3" width="27.453125" customWidth="1"/>
    <col min="4" max="4" width="24.54296875" customWidth="1"/>
    <col min="5" max="5" width="15.1796875" customWidth="1"/>
    <col min="6" max="6" width="19.453125" customWidth="1"/>
    <col min="7" max="7" width="17.1796875" customWidth="1"/>
    <col min="8" max="8" width="15.453125" customWidth="1"/>
  </cols>
  <sheetData>
    <row r="1" spans="1:8" ht="31.5" customHeight="1" x14ac:dyDescent="0.35">
      <c r="A1" s="610"/>
      <c r="B1" s="707" t="s">
        <v>177</v>
      </c>
      <c r="C1" s="707"/>
      <c r="D1" s="707"/>
      <c r="E1" s="707"/>
      <c r="F1" s="707"/>
      <c r="G1" s="707"/>
    </row>
    <row r="2" spans="1:8" x14ac:dyDescent="0.35">
      <c r="C2" s="609" t="str">
        <f>'kt info'!B12</f>
        <v>Form date: 10/24/25</v>
      </c>
      <c r="G2" s="20" t="s">
        <v>133</v>
      </c>
      <c r="H2" s="56" t="s">
        <v>134</v>
      </c>
    </row>
    <row r="3" spans="1:8" x14ac:dyDescent="0.35">
      <c r="B3" t="s">
        <v>109</v>
      </c>
      <c r="C3" s="741">
        <f>IF('kt info'!C3="Fill in Name of OFC"," ",'kt info'!C3)</f>
        <v>0</v>
      </c>
      <c r="D3" s="743"/>
      <c r="F3" s="20"/>
      <c r="H3" s="56" t="s">
        <v>259</v>
      </c>
    </row>
    <row r="4" spans="1:8" x14ac:dyDescent="0.35">
      <c r="C4" s="100"/>
      <c r="D4" s="100"/>
      <c r="H4" s="56" t="s">
        <v>260</v>
      </c>
    </row>
    <row r="5" spans="1:8" x14ac:dyDescent="0.35">
      <c r="B5" t="s">
        <v>110</v>
      </c>
      <c r="C5" s="741">
        <f>IF('kt info'!C5="Contract Name or Number"," ",'kt info'!C5)</f>
        <v>0</v>
      </c>
      <c r="D5" s="743"/>
      <c r="H5" s="56" t="s">
        <v>80</v>
      </c>
    </row>
    <row r="6" spans="1:8" x14ac:dyDescent="0.35">
      <c r="C6" s="100"/>
      <c r="D6" s="100"/>
      <c r="H6" s="56" t="s">
        <v>15</v>
      </c>
    </row>
    <row r="7" spans="1:8" x14ac:dyDescent="0.35">
      <c r="B7" t="s">
        <v>135</v>
      </c>
      <c r="C7" s="741">
        <f>IF('kt info'!C7="Fill in Public Agency Name"," ",'kt info'!C7)</f>
        <v>0</v>
      </c>
      <c r="D7" s="743"/>
      <c r="H7" s="56" t="s">
        <v>201</v>
      </c>
    </row>
    <row r="8" spans="1:8" x14ac:dyDescent="0.35">
      <c r="H8" s="56" t="s">
        <v>89</v>
      </c>
    </row>
    <row r="9" spans="1:8" x14ac:dyDescent="0.35">
      <c r="B9" s="56" t="s">
        <v>119</v>
      </c>
      <c r="H9" s="56" t="s">
        <v>2</v>
      </c>
    </row>
    <row r="10" spans="1:8" x14ac:dyDescent="0.35">
      <c r="H10" s="56" t="s">
        <v>230</v>
      </c>
    </row>
    <row r="11" spans="1:8" x14ac:dyDescent="0.35">
      <c r="H11" s="56" t="s">
        <v>231</v>
      </c>
    </row>
    <row r="12" spans="1:8" ht="15" thickBot="1" x14ac:dyDescent="0.4">
      <c r="H12" s="56" t="s">
        <v>261</v>
      </c>
    </row>
    <row r="13" spans="1:8" ht="15" thickTop="1" x14ac:dyDescent="0.35">
      <c r="B13" s="744" t="s">
        <v>100</v>
      </c>
      <c r="C13" s="745"/>
      <c r="D13" s="745"/>
      <c r="E13" s="746"/>
      <c r="F13" s="7"/>
      <c r="G13" s="222"/>
      <c r="H13" s="56" t="s">
        <v>232</v>
      </c>
    </row>
    <row r="14" spans="1:8" ht="26.5" x14ac:dyDescent="0.35">
      <c r="B14" s="219" t="s">
        <v>102</v>
      </c>
      <c r="C14" s="220" t="s">
        <v>103</v>
      </c>
      <c r="D14" s="221" t="s">
        <v>196</v>
      </c>
      <c r="E14" s="153" t="s">
        <v>101</v>
      </c>
      <c r="G14" s="222"/>
      <c r="H14" s="56"/>
    </row>
    <row r="15" spans="1:8" x14ac:dyDescent="0.35">
      <c r="B15" s="154"/>
      <c r="C15" s="600"/>
      <c r="D15" s="47"/>
      <c r="E15" s="155"/>
    </row>
    <row r="16" spans="1:8" x14ac:dyDescent="0.35">
      <c r="B16" s="154"/>
      <c r="C16" s="600"/>
      <c r="D16" s="47"/>
      <c r="E16" s="155"/>
    </row>
    <row r="17" spans="2:8" x14ac:dyDescent="0.35">
      <c r="B17" s="156"/>
      <c r="C17" s="601"/>
      <c r="D17" s="48"/>
      <c r="E17" s="155"/>
    </row>
    <row r="18" spans="2:8" x14ac:dyDescent="0.35">
      <c r="B18" s="154"/>
      <c r="C18" s="600"/>
      <c r="D18" s="47"/>
      <c r="E18" s="155"/>
    </row>
    <row r="19" spans="2:8" x14ac:dyDescent="0.35">
      <c r="B19" s="154"/>
      <c r="C19" s="47"/>
      <c r="D19" s="47"/>
      <c r="E19" s="155"/>
    </row>
    <row r="20" spans="2:8" x14ac:dyDescent="0.35">
      <c r="B20" s="154"/>
      <c r="C20" s="47"/>
      <c r="D20" s="47"/>
      <c r="E20" s="155"/>
    </row>
    <row r="21" spans="2:8" x14ac:dyDescent="0.35">
      <c r="B21" s="154"/>
      <c r="C21" s="47"/>
      <c r="D21" s="47"/>
      <c r="E21" s="155"/>
    </row>
    <row r="22" spans="2:8" x14ac:dyDescent="0.35">
      <c r="B22" s="154"/>
      <c r="C22" s="47"/>
      <c r="D22" s="47"/>
      <c r="E22" s="155"/>
    </row>
    <row r="23" spans="2:8" x14ac:dyDescent="0.35">
      <c r="B23" s="154"/>
      <c r="C23" s="47"/>
      <c r="D23" s="47"/>
      <c r="E23" s="155"/>
    </row>
    <row r="24" spans="2:8" x14ac:dyDescent="0.35">
      <c r="B24" s="154"/>
      <c r="C24" s="47"/>
      <c r="D24" s="47"/>
      <c r="E24" s="155"/>
    </row>
    <row r="25" spans="2:8" ht="15" thickBot="1" x14ac:dyDescent="0.4">
      <c r="B25" s="157"/>
      <c r="C25" s="158"/>
      <c r="D25" s="158"/>
      <c r="E25" s="159"/>
    </row>
    <row r="26" spans="2:8" ht="15" thickTop="1" x14ac:dyDescent="0.35">
      <c r="B26" s="151"/>
      <c r="C26" s="151"/>
      <c r="D26" s="151"/>
      <c r="E26" s="151"/>
      <c r="F26" s="151"/>
      <c r="G26" s="151"/>
      <c r="H26" s="152"/>
    </row>
    <row r="38" spans="2:2" x14ac:dyDescent="0.35">
      <c r="B38" s="68" t="s">
        <v>121</v>
      </c>
    </row>
    <row r="39" spans="2:2" x14ac:dyDescent="0.35">
      <c r="B39" s="68" t="s">
        <v>122</v>
      </c>
    </row>
  </sheetData>
  <sheetProtection algorithmName="SHA-512" hashValue="2acC1LlfFN26u0vwqBf7r4AFFEDHrvOMR8ieOSuCqxjrv6nrFFTFy/m/EIqkWzvWmu0uc447M2iqxjRHfwYqbQ==" saltValue="W2wFgzKATO6K0WYBDcrIpQ==" spinCount="100000" sheet="1" objects="1" scenarios="1"/>
  <mergeCells count="5">
    <mergeCell ref="C3:D3"/>
    <mergeCell ref="C5:D5"/>
    <mergeCell ref="C7:D7"/>
    <mergeCell ref="B1:G1"/>
    <mergeCell ref="B13:E13"/>
  </mergeCells>
  <conditionalFormatting sqref="B15:E25">
    <cfRule type="cellIs" dxfId="84" priority="1" operator="greaterThan">
      <formula>0</formula>
    </cfRule>
  </conditionalFormatting>
  <dataValidations count="1">
    <dataValidation type="list" allowBlank="1" showInputMessage="1" showErrorMessage="1" sqref="D15:D25" xr:uid="{3BCE8356-D42E-41B1-A135-16DAD1E0B175}">
      <formula1>$B$38:$B$39</formula1>
    </dataValidation>
  </dataValidations>
  <hyperlinks>
    <hyperlink ref="H2" location="'kt info'!C3" display="Contract Information" xr:uid="{A7A7B4E2-7D2A-4D24-A0C4-E9D0EBB7DEB0}"/>
    <hyperlink ref="H3" location="'Overhead &amp; Margin'!D10" display="Overhead &amp; Margin" xr:uid="{4523BCB3-B1D0-4E8F-A12F-D94C391FAA96}"/>
    <hyperlink ref="H9" location="'Monthly Janitorial'!B21" display="Monthly Janitorial" xr:uid="{9508F206-E37F-4590-BB38-F88473675A49}"/>
    <hyperlink ref="H10" location="Periodics!B22" display="Periodical Services(Carpets, Hard Floors, Windows, Blinds, other periodical services" xr:uid="{1CD7B4BC-D913-47D1-B84D-1C41CB967041}"/>
    <hyperlink ref="H11" location="'Except,Emer&amp;Day Porter'!H4" display="Exceptional, Emergency and Day Porter Services" xr:uid="{F5BC4DEC-37E9-4BF9-8FAD-C043D378F091}"/>
    <hyperlink ref="H5" location="Supplies!B13" display="Supplies" xr:uid="{30987709-0227-44C7-B218-4B0E097AFE89}"/>
    <hyperlink ref="H6" location="'Equipment List'!B12" display="Equipment" xr:uid="{D2BE8684-C84D-4634-9AFB-21A605DC1244}"/>
    <hyperlink ref="H13" location="'Price Approval'!A1" display="Price Approval" xr:uid="{9DCF66B5-C60D-4151-92A3-8E2A1A939457}"/>
    <hyperlink ref="H7" location="Subcontractors!B15" display="Subcontractors" xr:uid="{B82EAAB2-65F4-44EB-8691-72531D48AEE6}"/>
    <hyperlink ref="H4" location="'Pay &amp; Benefits'!C10" display="Wages and Benefits (includes Unemployment and Worker's Compensation" xr:uid="{ADC71D6F-5B6C-4FD7-8DE8-5095154D11F1}"/>
    <hyperlink ref="H8" location="Transportation!B6" display="Transportation" xr:uid="{40E059AC-945E-4076-B964-6FE961567855}"/>
    <hyperlink ref="H12" location="'Summary-pricing'!A1" display="Summary-Pricing" xr:uid="{C165B9F6-EA67-4D3E-AD59-0EAF581CFECB}"/>
    <hyperlink ref="B9" location="'Contract Information'!A1" display="Return to Contract and Information" xr:uid="{77AFBF8F-5241-49BD-8BD1-3ADB474B536B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F3AAE9-67B1-41B2-8415-CDBCB1B98DDC}">
  <dimension ref="A1:L39"/>
  <sheetViews>
    <sheetView showGridLines="0" zoomScaleNormal="100" workbookViewId="0">
      <selection activeCell="K25" sqref="K25"/>
    </sheetView>
  </sheetViews>
  <sheetFormatPr defaultRowHeight="14.5" x14ac:dyDescent="0.35"/>
  <cols>
    <col min="2" max="2" width="25" customWidth="1"/>
    <col min="3" max="3" width="18.1796875" customWidth="1"/>
    <col min="4" max="4" width="18.54296875" customWidth="1"/>
    <col min="5" max="5" width="15.54296875" customWidth="1"/>
    <col min="6" max="6" width="14.453125" customWidth="1"/>
    <col min="7" max="7" width="12.453125" customWidth="1"/>
    <col min="8" max="8" width="13.453125" customWidth="1"/>
    <col min="9" max="9" width="16.453125" customWidth="1"/>
    <col min="10" max="10" width="21.81640625" customWidth="1"/>
    <col min="11" max="11" width="15" customWidth="1"/>
    <col min="12" max="12" width="13.54296875" customWidth="1"/>
  </cols>
  <sheetData>
    <row r="1" spans="1:12" ht="30" customHeight="1" x14ac:dyDescent="0.35">
      <c r="A1" s="610"/>
      <c r="B1" s="707" t="s">
        <v>180</v>
      </c>
      <c r="C1" s="707"/>
      <c r="D1" s="707"/>
      <c r="E1" s="707"/>
      <c r="F1" s="707"/>
      <c r="G1" s="707"/>
      <c r="H1" s="707"/>
      <c r="I1" s="707"/>
    </row>
    <row r="2" spans="1:12" x14ac:dyDescent="0.35">
      <c r="D2" s="609" t="str">
        <f>'kt info'!B12</f>
        <v>Form date: 10/24/25</v>
      </c>
    </row>
    <row r="3" spans="1:12" ht="15.5" x14ac:dyDescent="0.35">
      <c r="B3" s="99" t="s">
        <v>89</v>
      </c>
      <c r="D3" s="100" t="s">
        <v>155</v>
      </c>
      <c r="F3" s="100"/>
    </row>
    <row r="4" spans="1:12" ht="15" thickBot="1" x14ac:dyDescent="0.4">
      <c r="B4" s="101" t="s">
        <v>156</v>
      </c>
      <c r="C4" s="102" t="s">
        <v>157</v>
      </c>
      <c r="D4" s="599">
        <v>0.7</v>
      </c>
      <c r="E4" s="103" t="s">
        <v>158</v>
      </c>
      <c r="F4" s="104">
        <f ca="1">IF(D4&lt;&gt;D4, " ", TODAY())</f>
        <v>45954</v>
      </c>
    </row>
    <row r="5" spans="1:12" ht="39.5" thickTop="1" x14ac:dyDescent="0.35">
      <c r="B5" s="105" t="s">
        <v>159</v>
      </c>
      <c r="C5" s="106" t="s">
        <v>160</v>
      </c>
      <c r="D5" s="107" t="s">
        <v>161</v>
      </c>
      <c r="E5" s="107" t="s">
        <v>188</v>
      </c>
      <c r="F5" s="107" t="s">
        <v>197</v>
      </c>
      <c r="G5" s="107" t="s">
        <v>198</v>
      </c>
      <c r="H5" s="107" t="s">
        <v>246</v>
      </c>
      <c r="I5" s="108" t="s">
        <v>163</v>
      </c>
      <c r="J5" s="108" t="s">
        <v>164</v>
      </c>
      <c r="K5" s="107" t="s">
        <v>162</v>
      </c>
      <c r="L5" s="109" t="s">
        <v>165</v>
      </c>
    </row>
    <row r="6" spans="1:12" x14ac:dyDescent="0.35">
      <c r="B6" s="163"/>
      <c r="C6" s="164"/>
      <c r="D6" s="165"/>
      <c r="E6" s="166"/>
      <c r="F6" s="167"/>
      <c r="G6" s="167"/>
      <c r="H6" s="168"/>
      <c r="I6" s="169"/>
      <c r="J6" s="169"/>
      <c r="K6" s="573" t="str">
        <f>IF(B6=0," ",IF(G6="Yes","Grant",IF($F$4-F6&gt;H6*30,"Fully Depreciated",(E6/H6)*12)))</f>
        <v xml:space="preserve"> </v>
      </c>
      <c r="L6" s="574" t="str">
        <f t="shared" ref="L6" si="0">IF(B6=0," ",IF(K6="Grant",(I6+J6)/D6,IF(C6="Typical",$D$4,IF($F$4-F6&gt;H6*30,(I6+J6)/D6,(K6+I6+J6)/D6))))</f>
        <v xml:space="preserve"> </v>
      </c>
    </row>
    <row r="7" spans="1:12" x14ac:dyDescent="0.35">
      <c r="B7" s="163"/>
      <c r="C7" s="164"/>
      <c r="D7" s="165"/>
      <c r="E7" s="166"/>
      <c r="F7" s="167"/>
      <c r="G7" s="167"/>
      <c r="H7" s="168"/>
      <c r="I7" s="169"/>
      <c r="J7" s="169"/>
      <c r="K7" s="573" t="str">
        <f t="shared" ref="K7:K16" si="1">IF(B7=0," ",IF(G7="Yes","Grant",IF($F$4-F7&gt;H7*30,"Fully Depreciated",(E7/H7)*12)))</f>
        <v xml:space="preserve"> </v>
      </c>
      <c r="L7" s="574" t="str">
        <f>IF(B7=0," ",IF(K7="Grant",(I7+J7)/D7,IF(C7="Typical",$D$4,IF($F$4-F7&gt;H7*30,(I7+J7)/D7,(K7+I7+J7)/D7))))</f>
        <v xml:space="preserve"> </v>
      </c>
    </row>
    <row r="8" spans="1:12" x14ac:dyDescent="0.35">
      <c r="B8" s="163"/>
      <c r="C8" s="164"/>
      <c r="D8" s="165"/>
      <c r="E8" s="166"/>
      <c r="F8" s="167"/>
      <c r="G8" s="167"/>
      <c r="H8" s="168"/>
      <c r="I8" s="169"/>
      <c r="J8" s="169"/>
      <c r="K8" s="573" t="str">
        <f t="shared" si="1"/>
        <v xml:space="preserve"> </v>
      </c>
      <c r="L8" s="574" t="str">
        <f t="shared" ref="L8:L16" si="2">IF(B8=0," ",IF(K8="Grant",(I8+J8)/D8,IF(C8="Typical",$D$4,IF($F$4-F8&gt;H8*30,(I8+J8)/D8,(K8+I8+J8)/D8))))</f>
        <v xml:space="preserve"> </v>
      </c>
    </row>
    <row r="9" spans="1:12" x14ac:dyDescent="0.35">
      <c r="B9" s="163"/>
      <c r="C9" s="164"/>
      <c r="D9" s="165"/>
      <c r="E9" s="166"/>
      <c r="F9" s="167"/>
      <c r="G9" s="167"/>
      <c r="H9" s="168"/>
      <c r="I9" s="169"/>
      <c r="J9" s="169"/>
      <c r="K9" s="573" t="str">
        <f t="shared" si="1"/>
        <v xml:space="preserve"> </v>
      </c>
      <c r="L9" s="574" t="str">
        <f t="shared" si="2"/>
        <v xml:space="preserve"> </v>
      </c>
    </row>
    <row r="10" spans="1:12" x14ac:dyDescent="0.35">
      <c r="B10" s="163"/>
      <c r="C10" s="164"/>
      <c r="D10" s="165"/>
      <c r="E10" s="166"/>
      <c r="F10" s="167"/>
      <c r="G10" s="167"/>
      <c r="H10" s="168"/>
      <c r="I10" s="169"/>
      <c r="J10" s="169"/>
      <c r="K10" s="573" t="str">
        <f t="shared" si="1"/>
        <v xml:space="preserve"> </v>
      </c>
      <c r="L10" s="574" t="str">
        <f t="shared" si="2"/>
        <v xml:space="preserve"> </v>
      </c>
    </row>
    <row r="11" spans="1:12" x14ac:dyDescent="0.35">
      <c r="B11" s="163"/>
      <c r="C11" s="164"/>
      <c r="D11" s="165"/>
      <c r="E11" s="166"/>
      <c r="F11" s="167"/>
      <c r="G11" s="167"/>
      <c r="H11" s="168"/>
      <c r="I11" s="169"/>
      <c r="J11" s="169"/>
      <c r="K11" s="573" t="str">
        <f t="shared" si="1"/>
        <v xml:space="preserve"> </v>
      </c>
      <c r="L11" s="574" t="str">
        <f t="shared" si="2"/>
        <v xml:space="preserve"> </v>
      </c>
    </row>
    <row r="12" spans="1:12" x14ac:dyDescent="0.35">
      <c r="B12" s="163"/>
      <c r="C12" s="164"/>
      <c r="D12" s="165"/>
      <c r="E12" s="166"/>
      <c r="F12" s="167"/>
      <c r="G12" s="167"/>
      <c r="H12" s="168"/>
      <c r="I12" s="169"/>
      <c r="J12" s="169"/>
      <c r="K12" s="573" t="str">
        <f t="shared" si="1"/>
        <v xml:space="preserve"> </v>
      </c>
      <c r="L12" s="574" t="str">
        <f t="shared" si="2"/>
        <v xml:space="preserve"> </v>
      </c>
    </row>
    <row r="13" spans="1:12" x14ac:dyDescent="0.35">
      <c r="B13" s="163"/>
      <c r="C13" s="164"/>
      <c r="D13" s="165"/>
      <c r="E13" s="166"/>
      <c r="F13" s="167"/>
      <c r="G13" s="167"/>
      <c r="H13" s="168"/>
      <c r="I13" s="169"/>
      <c r="J13" s="169"/>
      <c r="K13" s="573" t="str">
        <f t="shared" si="1"/>
        <v xml:space="preserve"> </v>
      </c>
      <c r="L13" s="574" t="str">
        <f t="shared" si="2"/>
        <v xml:space="preserve"> </v>
      </c>
    </row>
    <row r="14" spans="1:12" x14ac:dyDescent="0.35">
      <c r="B14" s="163"/>
      <c r="C14" s="164"/>
      <c r="D14" s="165"/>
      <c r="E14" s="166"/>
      <c r="F14" s="167"/>
      <c r="G14" s="167"/>
      <c r="H14" s="168"/>
      <c r="I14" s="169"/>
      <c r="J14" s="169"/>
      <c r="K14" s="573" t="str">
        <f t="shared" si="1"/>
        <v xml:space="preserve"> </v>
      </c>
      <c r="L14" s="574" t="str">
        <f t="shared" si="2"/>
        <v xml:space="preserve"> </v>
      </c>
    </row>
    <row r="15" spans="1:12" x14ac:dyDescent="0.35">
      <c r="B15" s="163"/>
      <c r="C15" s="164"/>
      <c r="D15" s="165"/>
      <c r="E15" s="166"/>
      <c r="F15" s="167"/>
      <c r="G15" s="167"/>
      <c r="H15" s="168"/>
      <c r="I15" s="169"/>
      <c r="J15" s="169"/>
      <c r="K15" s="573" t="str">
        <f t="shared" si="1"/>
        <v xml:space="preserve"> </v>
      </c>
      <c r="L15" s="574" t="str">
        <f t="shared" si="2"/>
        <v xml:space="preserve"> </v>
      </c>
    </row>
    <row r="16" spans="1:12" ht="15" thickBot="1" x14ac:dyDescent="0.4">
      <c r="B16" s="170"/>
      <c r="C16" s="171"/>
      <c r="D16" s="172"/>
      <c r="E16" s="173"/>
      <c r="F16" s="174"/>
      <c r="G16" s="174"/>
      <c r="H16" s="175"/>
      <c r="I16" s="176"/>
      <c r="J16" s="176"/>
      <c r="K16" s="575" t="str">
        <f t="shared" si="1"/>
        <v xml:space="preserve"> </v>
      </c>
      <c r="L16" s="576" t="str">
        <f t="shared" si="2"/>
        <v xml:space="preserve"> </v>
      </c>
    </row>
    <row r="17" spans="2:3" ht="15" thickTop="1" x14ac:dyDescent="0.35"/>
    <row r="18" spans="2:3" x14ac:dyDescent="0.35">
      <c r="B18" s="20" t="s">
        <v>133</v>
      </c>
      <c r="C18" s="56" t="s">
        <v>134</v>
      </c>
    </row>
    <row r="19" spans="2:3" x14ac:dyDescent="0.35">
      <c r="C19" s="56" t="s">
        <v>259</v>
      </c>
    </row>
    <row r="20" spans="2:3" x14ac:dyDescent="0.35">
      <c r="C20" s="56" t="s">
        <v>260</v>
      </c>
    </row>
    <row r="21" spans="2:3" x14ac:dyDescent="0.35">
      <c r="C21" s="56" t="s">
        <v>80</v>
      </c>
    </row>
    <row r="22" spans="2:3" x14ac:dyDescent="0.35">
      <c r="C22" s="56" t="s">
        <v>15</v>
      </c>
    </row>
    <row r="23" spans="2:3" x14ac:dyDescent="0.35">
      <c r="C23" s="56" t="s">
        <v>201</v>
      </c>
    </row>
    <row r="24" spans="2:3" x14ac:dyDescent="0.35">
      <c r="C24" s="56" t="s">
        <v>89</v>
      </c>
    </row>
    <row r="25" spans="2:3" x14ac:dyDescent="0.35">
      <c r="C25" s="56" t="s">
        <v>2</v>
      </c>
    </row>
    <row r="26" spans="2:3" x14ac:dyDescent="0.35">
      <c r="C26" s="56" t="s">
        <v>230</v>
      </c>
    </row>
    <row r="27" spans="2:3" x14ac:dyDescent="0.35">
      <c r="C27" s="56" t="s">
        <v>231</v>
      </c>
    </row>
    <row r="28" spans="2:3" x14ac:dyDescent="0.35">
      <c r="C28" s="56" t="s">
        <v>261</v>
      </c>
    </row>
    <row r="29" spans="2:3" x14ac:dyDescent="0.35">
      <c r="B29" s="222"/>
      <c r="C29" s="56" t="s">
        <v>232</v>
      </c>
    </row>
    <row r="35" spans="2:2" x14ac:dyDescent="0.35">
      <c r="B35" s="298" t="s">
        <v>121</v>
      </c>
    </row>
    <row r="36" spans="2:2" x14ac:dyDescent="0.35">
      <c r="B36" s="298" t="s">
        <v>122</v>
      </c>
    </row>
    <row r="37" spans="2:2" x14ac:dyDescent="0.35">
      <c r="B37" s="298"/>
    </row>
    <row r="38" spans="2:2" x14ac:dyDescent="0.35">
      <c r="B38" s="299" t="s">
        <v>166</v>
      </c>
    </row>
    <row r="39" spans="2:2" x14ac:dyDescent="0.35">
      <c r="B39" s="299" t="s">
        <v>167</v>
      </c>
    </row>
  </sheetData>
  <sheetProtection algorithmName="SHA-512" hashValue="6NA00g9d4BQsUc8F4P6swwPC1b54t3pzzHy3ygpzYwFVmboqWOo/iAUqR3YR/cwuWZsknf1LuSAy3n+2ayIL4w==" saltValue="RkDWokOLrlAbUv7T0EzPSw==" spinCount="100000" sheet="1" objects="1" scenarios="1"/>
  <dataConsolidate/>
  <mergeCells count="1">
    <mergeCell ref="B1:I1"/>
  </mergeCells>
  <conditionalFormatting sqref="B6:J16">
    <cfRule type="cellIs" dxfId="83" priority="3" operator="greaterThan">
      <formula>0</formula>
    </cfRule>
  </conditionalFormatting>
  <conditionalFormatting sqref="D4">
    <cfRule type="cellIs" dxfId="82" priority="15" operator="equal">
      <formula>0</formula>
    </cfRule>
  </conditionalFormatting>
  <conditionalFormatting sqref="D6:K6">
    <cfRule type="expression" dxfId="81" priority="14">
      <formula>$C6="Typical"</formula>
    </cfRule>
  </conditionalFormatting>
  <conditionalFormatting sqref="D7:K7">
    <cfRule type="expression" dxfId="80" priority="13">
      <formula>$C$7="Typical"</formula>
    </cfRule>
  </conditionalFormatting>
  <conditionalFormatting sqref="D8:K8">
    <cfRule type="expression" dxfId="79" priority="4">
      <formula>$C$8="Typical"</formula>
    </cfRule>
  </conditionalFormatting>
  <conditionalFormatting sqref="D9:K9">
    <cfRule type="expression" dxfId="78" priority="12">
      <formula>$C$9="Typical"</formula>
    </cfRule>
  </conditionalFormatting>
  <conditionalFormatting sqref="D10:K10">
    <cfRule type="expression" dxfId="77" priority="11">
      <formula>$C$10="Typical"</formula>
    </cfRule>
  </conditionalFormatting>
  <conditionalFormatting sqref="D11:K11">
    <cfRule type="expression" dxfId="76" priority="10">
      <formula>$C$11="Typical"</formula>
    </cfRule>
  </conditionalFormatting>
  <conditionalFormatting sqref="D12:K12">
    <cfRule type="expression" dxfId="75" priority="9">
      <formula>$C$12="Typical"</formula>
    </cfRule>
  </conditionalFormatting>
  <conditionalFormatting sqref="D13:K13">
    <cfRule type="expression" dxfId="74" priority="8">
      <formula>$C$13="Typical"</formula>
    </cfRule>
  </conditionalFormatting>
  <conditionalFormatting sqref="D14:K14">
    <cfRule type="expression" dxfId="73" priority="7">
      <formula>$C$14="Typical"</formula>
    </cfRule>
  </conditionalFormatting>
  <conditionalFormatting sqref="D15:K15">
    <cfRule type="expression" dxfId="72" priority="6">
      <formula>$C$15="Typical"</formula>
    </cfRule>
  </conditionalFormatting>
  <conditionalFormatting sqref="D16:K16">
    <cfRule type="expression" dxfId="71" priority="5">
      <formula>$C$16="Typical"</formula>
    </cfRule>
  </conditionalFormatting>
  <dataValidations count="2">
    <dataValidation type="list" allowBlank="1" showInputMessage="1" showErrorMessage="1" sqref="C6:C16" xr:uid="{BEE3394F-B58A-43DC-8D18-6E62E9CD3228}">
      <formula1>$B$38:$B$39</formula1>
    </dataValidation>
    <dataValidation type="list" allowBlank="1" showInputMessage="1" showErrorMessage="1" sqref="G6:G16" xr:uid="{87B62E2B-F63B-416B-9FBB-9EB0274018D6}">
      <formula1>$B$35:$B$36</formula1>
    </dataValidation>
  </dataValidations>
  <hyperlinks>
    <hyperlink ref="C4" r:id="rId1" location="tab--pov-mileage" xr:uid="{D082B05A-20A6-4BFD-8A07-6BD7BAB04589}"/>
    <hyperlink ref="C18" location="'kt info'!C3" display="Contract Information" xr:uid="{8E9D06E5-658D-4BC3-B1D6-273A05127A53}"/>
    <hyperlink ref="C19" location="'Overhead &amp; Margin'!D10" display="Overhead &amp; Margin" xr:uid="{978AC080-F9C6-46DC-8C37-43169A055E40}"/>
    <hyperlink ref="C25" location="'Monthly Janitorial'!B21" display="Monthly Janitorial" xr:uid="{923492E7-3EB6-4E61-8838-2AEED7371E5C}"/>
    <hyperlink ref="C26" location="Periodics!B22" display="Periodical Services(Carpets, Hard Floors, Windows, Blinds, other periodical services" xr:uid="{F9F09A45-AB3F-4FC9-A314-6140BDC6D6BB}"/>
    <hyperlink ref="C27" location="'Except,Emer&amp;Day Porter'!H4" display="Exceptional, Emergency and Day Porter Services" xr:uid="{C0A640BD-68E5-4376-AB65-C30610A6D59B}"/>
    <hyperlink ref="C21" location="Supplies!B13" display="Supplies" xr:uid="{3434C94C-CE4F-44A4-B1F5-62FA04D0D831}"/>
    <hyperlink ref="C22" location="'Equipment List'!B12" display="Equipment" xr:uid="{00D30594-2FF7-4E1A-AA6D-94361B5AD4A7}"/>
    <hyperlink ref="C29" location="'Price Approval'!A1" display="Price Approval" xr:uid="{7DF46A0D-DCBD-4E8B-B115-F97F53845350}"/>
    <hyperlink ref="C23" location="Subcontractors!B15" display="Subcontractors" xr:uid="{7A89B0F2-61DE-4F26-9A38-F598615D2F49}"/>
    <hyperlink ref="C20" location="'Pay &amp; Benefits'!C10" display="Wages and Benefits (includes Unemployment and Worker's Compensation" xr:uid="{75DFA786-1482-470A-AC79-367252662DD3}"/>
    <hyperlink ref="C24" location="Transportation!B6" display="Transportation" xr:uid="{532090EB-BF07-4D54-93F5-7FA88BF7C966}"/>
    <hyperlink ref="C28" location="'Summary-pricing'!A1" display="Summary-Pricing" xr:uid="{7A85BBBA-6556-4F59-BB42-C49F18D1B101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70DD2F-BF19-4595-B01E-E17ACE6E59F3}">
  <dimension ref="A1:R91"/>
  <sheetViews>
    <sheetView showGridLines="0" showZeros="0" tabSelected="1" zoomScaleNormal="100" workbookViewId="0">
      <selection activeCell="C14" sqref="C14:D14"/>
    </sheetView>
  </sheetViews>
  <sheetFormatPr defaultRowHeight="14.5" x14ac:dyDescent="0.35"/>
  <cols>
    <col min="1" max="1" width="4.453125" customWidth="1"/>
    <col min="2" max="2" width="35.81640625" customWidth="1"/>
    <col min="3" max="3" width="10.54296875" customWidth="1"/>
    <col min="4" max="4" width="13.54296875" customWidth="1"/>
    <col min="5" max="5" width="14.453125" customWidth="1"/>
    <col min="6" max="6" width="10.81640625" customWidth="1"/>
    <col min="7" max="7" width="3.81640625" customWidth="1"/>
    <col min="8" max="8" width="13.54296875" customWidth="1"/>
    <col min="9" max="9" width="12.54296875" customWidth="1"/>
    <col min="10" max="11" width="13.453125" bestFit="1" customWidth="1"/>
    <col min="12" max="12" width="13.54296875" customWidth="1"/>
    <col min="13" max="13" width="14.54296875" customWidth="1"/>
    <col min="14" max="14" width="14.453125" customWidth="1"/>
    <col min="15" max="15" width="12.54296875" bestFit="1" customWidth="1"/>
  </cols>
  <sheetData>
    <row r="1" spans="1:13" ht="30" customHeight="1" x14ac:dyDescent="0.35">
      <c r="A1" s="610"/>
      <c r="B1" s="707" t="s">
        <v>171</v>
      </c>
      <c r="C1" s="707"/>
      <c r="D1" s="707"/>
      <c r="E1" s="707"/>
      <c r="F1" s="707"/>
      <c r="G1" s="707"/>
      <c r="H1" s="707"/>
      <c r="I1" s="707"/>
      <c r="J1" s="707"/>
      <c r="K1" s="707"/>
      <c r="L1" s="707"/>
      <c r="M1" s="707"/>
    </row>
    <row r="2" spans="1:13" x14ac:dyDescent="0.35">
      <c r="D2" s="609" t="str">
        <f>'kt info'!B12</f>
        <v>Form date: 10/24/25</v>
      </c>
    </row>
    <row r="3" spans="1:13" x14ac:dyDescent="0.35">
      <c r="B3" t="s">
        <v>109</v>
      </c>
      <c r="C3" s="735">
        <f>'kt info'!$C$3</f>
        <v>0</v>
      </c>
      <c r="D3" s="735"/>
      <c r="E3" s="736"/>
      <c r="F3" s="737"/>
      <c r="H3" s="20"/>
      <c r="I3" s="97"/>
      <c r="J3" s="20" t="s">
        <v>133</v>
      </c>
      <c r="K3" s="56" t="s">
        <v>134</v>
      </c>
    </row>
    <row r="4" spans="1:13" x14ac:dyDescent="0.35">
      <c r="C4" s="100"/>
      <c r="D4" s="100"/>
      <c r="E4" s="100"/>
      <c r="F4" s="100"/>
      <c r="I4" s="56"/>
      <c r="K4" s="56" t="s">
        <v>259</v>
      </c>
    </row>
    <row r="5" spans="1:13" x14ac:dyDescent="0.35">
      <c r="B5" t="s">
        <v>110</v>
      </c>
      <c r="C5" s="735">
        <f>'kt info'!$C$5</f>
        <v>0</v>
      </c>
      <c r="D5" s="735"/>
      <c r="E5" s="737"/>
      <c r="F5" s="737"/>
      <c r="K5" s="56" t="s">
        <v>260</v>
      </c>
    </row>
    <row r="6" spans="1:13" x14ac:dyDescent="0.35">
      <c r="C6" s="100"/>
      <c r="D6" s="100"/>
      <c r="E6" s="100"/>
      <c r="F6" s="100"/>
      <c r="K6" s="56" t="s">
        <v>80</v>
      </c>
    </row>
    <row r="7" spans="1:13" x14ac:dyDescent="0.35">
      <c r="B7" t="s">
        <v>135</v>
      </c>
      <c r="C7" s="735">
        <f>'kt info'!$C$7</f>
        <v>0</v>
      </c>
      <c r="D7" s="735"/>
      <c r="E7" s="737"/>
      <c r="F7" s="737"/>
      <c r="K7" s="56" t="s">
        <v>15</v>
      </c>
    </row>
    <row r="8" spans="1:13" x14ac:dyDescent="0.35">
      <c r="K8" s="56" t="s">
        <v>201</v>
      </c>
    </row>
    <row r="9" spans="1:13" s="19" customFormat="1" ht="15" thickBot="1" x14ac:dyDescent="0.4">
      <c r="H9" s="249" t="s">
        <v>245</v>
      </c>
      <c r="I9" s="250" t="s">
        <v>244</v>
      </c>
      <c r="J9"/>
      <c r="K9" s="56" t="s">
        <v>89</v>
      </c>
    </row>
    <row r="10" spans="1:13" ht="15" thickTop="1" x14ac:dyDescent="0.35">
      <c r="E10" s="780" t="s">
        <v>79</v>
      </c>
      <c r="F10" s="806"/>
      <c r="G10" s="806"/>
      <c r="H10" s="515">
        <f>IF(SUM(M22:M41)&gt;0,SUM(M22:M41),0)</f>
        <v>0</v>
      </c>
      <c r="I10" s="251"/>
      <c r="K10" s="56" t="s">
        <v>2</v>
      </c>
    </row>
    <row r="11" spans="1:13" x14ac:dyDescent="0.35">
      <c r="B11" s="250" t="s">
        <v>78</v>
      </c>
      <c r="E11" s="780" t="s">
        <v>37</v>
      </c>
      <c r="F11" s="806"/>
      <c r="G11" s="806"/>
      <c r="H11" s="253">
        <f>IF(SUM(L22:L41)&gt;0,SUM(L22:L41),0)</f>
        <v>0</v>
      </c>
      <c r="I11" s="252">
        <f>IF(SUM($H$11:$H$17)=0,0,H11/SUM($H$11:$H$17))</f>
        <v>0</v>
      </c>
      <c r="K11" s="56" t="s">
        <v>230</v>
      </c>
    </row>
    <row r="12" spans="1:13" x14ac:dyDescent="0.35">
      <c r="B12" s="20" t="s">
        <v>96</v>
      </c>
      <c r="C12" s="807">
        <f>'kt info'!E13</f>
        <v>0</v>
      </c>
      <c r="D12" s="808"/>
      <c r="E12" s="780" t="s">
        <v>80</v>
      </c>
      <c r="F12" s="806"/>
      <c r="G12" s="806"/>
      <c r="H12" s="253">
        <f>IF(SUM(E46:E85)&gt;0,SUM(E46:E85)*12,0)</f>
        <v>0</v>
      </c>
      <c r="I12" s="252">
        <f>IF(SUM($H$11:$H$17)=0,0,H12/SUM($H$11:$H$17))</f>
        <v>0</v>
      </c>
      <c r="K12" s="56" t="s">
        <v>231</v>
      </c>
    </row>
    <row r="13" spans="1:13" x14ac:dyDescent="0.35">
      <c r="E13" s="780" t="s">
        <v>81</v>
      </c>
      <c r="F13" s="806"/>
      <c r="G13" s="806"/>
      <c r="H13" s="253">
        <f>IF(SUM(L46:L65)&gt;0,SUM(L46:L65)*12,0)</f>
        <v>0</v>
      </c>
      <c r="I13" s="252">
        <f>IF(SUM($H$11:$H$17)=0,0,H13/SUM($H$11:$H$17))</f>
        <v>0</v>
      </c>
      <c r="K13" s="56" t="s">
        <v>261</v>
      </c>
    </row>
    <row r="14" spans="1:13" x14ac:dyDescent="0.35">
      <c r="B14" s="20" t="s">
        <v>190</v>
      </c>
      <c r="C14" s="809">
        <f>ROUND(IF(SUM(H11:H17)&gt;0,SUM(H11:H17)/12,0),0)</f>
        <v>0</v>
      </c>
      <c r="D14" s="808"/>
      <c r="E14" s="780" t="s">
        <v>89</v>
      </c>
      <c r="F14" s="747"/>
      <c r="G14" s="747"/>
      <c r="H14" s="253">
        <f>IF(SUM(M70:M75)&gt;0,SUM(M70:M75),0)</f>
        <v>0</v>
      </c>
      <c r="I14" s="252">
        <f>IF(SUM($H$11:$H$17)=0,0,H14/SUM($H$11:$H$17))</f>
        <v>0</v>
      </c>
      <c r="J14" s="222"/>
      <c r="K14" s="56" t="s">
        <v>232</v>
      </c>
    </row>
    <row r="15" spans="1:13" x14ac:dyDescent="0.35">
      <c r="B15" s="177" t="s">
        <v>237</v>
      </c>
      <c r="C15" s="810" t="str">
        <f>IF('kt info'!G13=0," ",IF(SUM(M22:M41)=0," ",ROUND('kt info'!E13/(SUM(M22:M41)/('kt info'!G13)),0)))</f>
        <v xml:space="preserve"> </v>
      </c>
      <c r="D15" s="785"/>
      <c r="G15" s="178" t="s">
        <v>201</v>
      </c>
      <c r="H15" s="254">
        <f>IF(SUM(M80:M83)=0,0,SUM(M80:M83))</f>
        <v>0</v>
      </c>
      <c r="I15" s="252">
        <f>IF(SUM($H$11:$H$17)=0,0,H15/SUM($H$11:$H$17))</f>
        <v>0</v>
      </c>
    </row>
    <row r="16" spans="1:13" x14ac:dyDescent="0.35">
      <c r="B16" s="20" t="s">
        <v>97</v>
      </c>
      <c r="C16" s="809">
        <f>IF(C12&gt;0,C14/C12,0)</f>
        <v>0</v>
      </c>
      <c r="D16" s="808"/>
      <c r="E16" s="780" t="s">
        <v>87</v>
      </c>
      <c r="F16" s="806"/>
      <c r="G16" s="806"/>
      <c r="H16" s="253">
        <f>($H$11+$H$12+$H$13+$H$14+$H$15)*'Overhead &amp; Margin'!$D$10/(1-('Overhead &amp; Margin'!$D$10))</f>
        <v>0</v>
      </c>
      <c r="I16" s="252">
        <f>IF(SUM($H$11:$H$17)=0,0,IF(H16=" "," ",H16/SUM($H$11:$H$17)))</f>
        <v>0</v>
      </c>
    </row>
    <row r="17" spans="1:18" ht="15" thickBot="1" x14ac:dyDescent="0.4">
      <c r="E17" s="780" t="s">
        <v>88</v>
      </c>
      <c r="F17" s="747"/>
      <c r="G17" s="747"/>
      <c r="H17" s="701">
        <f>($H$11+$H$12+$H$13+$H$14+$H$15+$H$16)*'Overhead &amp; Margin'!$G$10/(1-('Overhead &amp; Margin'!$G$10))</f>
        <v>0</v>
      </c>
      <c r="I17" s="702">
        <f>IF(SUM($H$11:$H$17)=0,0,IF(H17=0," ",H17/SUM($H$11:$H$17)))</f>
        <v>0</v>
      </c>
    </row>
    <row r="18" spans="1:18" ht="15" thickBot="1" x14ac:dyDescent="0.4">
      <c r="E18" s="700"/>
      <c r="F18" s="747" t="s">
        <v>309</v>
      </c>
      <c r="G18" s="747"/>
      <c r="H18" s="703">
        <f>SUM(H11:H17)</f>
        <v>0</v>
      </c>
      <c r="I18" s="704"/>
    </row>
    <row r="19" spans="1:18" ht="15" thickBot="1" x14ac:dyDescent="0.4">
      <c r="B19" s="2" t="s">
        <v>104</v>
      </c>
    </row>
    <row r="20" spans="1:18" ht="15" thickTop="1" x14ac:dyDescent="0.35">
      <c r="B20" s="180" t="s">
        <v>18</v>
      </c>
      <c r="C20" s="182" t="s">
        <v>19</v>
      </c>
      <c r="D20" s="182" t="s">
        <v>25</v>
      </c>
      <c r="E20" s="182" t="s">
        <v>20</v>
      </c>
      <c r="F20" s="786" t="s">
        <v>22</v>
      </c>
      <c r="G20" s="787"/>
      <c r="H20" s="182" t="s">
        <v>23</v>
      </c>
      <c r="I20" s="182" t="s">
        <v>21</v>
      </c>
      <c r="J20" s="182" t="s">
        <v>24</v>
      </c>
      <c r="K20" s="182" t="s">
        <v>77</v>
      </c>
      <c r="L20" s="201" t="s">
        <v>26</v>
      </c>
      <c r="M20" s="181" t="s">
        <v>27</v>
      </c>
      <c r="N20" s="183" t="s">
        <v>125</v>
      </c>
      <c r="R20" t="s">
        <v>99</v>
      </c>
    </row>
    <row r="21" spans="1:18" ht="15" thickBot="1" x14ac:dyDescent="0.4">
      <c r="B21" s="184" t="s">
        <v>306</v>
      </c>
      <c r="C21" s="23" t="s">
        <v>28</v>
      </c>
      <c r="D21" s="23" t="s">
        <v>33</v>
      </c>
      <c r="E21" s="23" t="s">
        <v>29</v>
      </c>
      <c r="F21" s="788" t="s">
        <v>30</v>
      </c>
      <c r="G21" s="789"/>
      <c r="H21" s="23" t="s">
        <v>31</v>
      </c>
      <c r="I21" s="23"/>
      <c r="J21" s="23" t="s">
        <v>38</v>
      </c>
      <c r="K21" s="23" t="s">
        <v>37</v>
      </c>
      <c r="L21" s="51" t="s">
        <v>0</v>
      </c>
      <c r="M21" s="6" t="s">
        <v>0</v>
      </c>
      <c r="N21" s="185" t="s">
        <v>0</v>
      </c>
    </row>
    <row r="22" spans="1:18" x14ac:dyDescent="0.35">
      <c r="A22" s="7">
        <v>1</v>
      </c>
      <c r="B22" s="202"/>
      <c r="C22" s="516"/>
      <c r="D22" s="244"/>
      <c r="E22" s="59">
        <f>IF(B22=0,0,VLOOKUP(B22,WageBeneTable5[#All],2,FALSE))</f>
        <v>0</v>
      </c>
      <c r="F22" s="790">
        <f>IF($E22=0,0,'Pay &amp; Benefits'!$C$10)</f>
        <v>0</v>
      </c>
      <c r="G22" s="791"/>
      <c r="H22" s="78">
        <f>IF($E22=0,0,'Pay &amp; Benefits'!$C$11)</f>
        <v>0</v>
      </c>
      <c r="I22" s="71">
        <f t="shared" ref="I22:I37" si="0">IF(E22=0,0,0.0765)</f>
        <v>0</v>
      </c>
      <c r="J22" s="60">
        <f>IF(B22=0,0,VLOOKUP(B22,WageBeneTable5[],3,FALSE))</f>
        <v>0</v>
      </c>
      <c r="K22" s="59" t="str">
        <f>IF(E22=0," ",C22*E22*(1+I22+F22+H22+J22))</f>
        <v xml:space="preserve"> </v>
      </c>
      <c r="L22" s="59">
        <f t="shared" ref="L22:L37" si="1">IF(K22=" ",0,K22*D22)</f>
        <v>0</v>
      </c>
      <c r="M22" s="61" t="str">
        <f>IF(B22=0," ",C22*D22)</f>
        <v xml:space="preserve"> </v>
      </c>
      <c r="N22" s="196">
        <f t="shared" ref="N22:N37" si="2">L22/12</f>
        <v>0</v>
      </c>
    </row>
    <row r="23" spans="1:18" x14ac:dyDescent="0.35">
      <c r="A23" s="7">
        <v>2</v>
      </c>
      <c r="B23" s="114"/>
      <c r="C23" s="510"/>
      <c r="D23" s="245"/>
      <c r="E23" s="58">
        <f>IF(B23=0,0,VLOOKUP(B23,WageBeneTable5[#All],2,FALSE))</f>
        <v>0</v>
      </c>
      <c r="F23" s="783">
        <f>IF($E23=0,0,'Pay &amp; Benefits'!$C$10)</f>
        <v>0</v>
      </c>
      <c r="G23" s="784"/>
      <c r="H23" s="79">
        <f>IF($E23=0,0,'Pay &amp; Benefits'!$C$11)</f>
        <v>0</v>
      </c>
      <c r="I23" s="72">
        <f t="shared" si="0"/>
        <v>0</v>
      </c>
      <c r="J23" s="62">
        <f>IF(B23=0,0,VLOOKUP(B23,WageBeneTable5[],3,FALSE))</f>
        <v>0</v>
      </c>
      <c r="K23" s="58" t="str">
        <f t="shared" ref="K23:K41" si="3">IF(E23=0," ",C23*E23*(1+I23+F23+H23+J23))</f>
        <v xml:space="preserve"> </v>
      </c>
      <c r="L23" s="58">
        <f t="shared" si="1"/>
        <v>0</v>
      </c>
      <c r="M23" s="63" t="str">
        <f t="shared" ref="M23:M41" si="4">IF(B23=0," ",C23*D23)</f>
        <v xml:space="preserve"> </v>
      </c>
      <c r="N23" s="203">
        <f t="shared" si="2"/>
        <v>0</v>
      </c>
    </row>
    <row r="24" spans="1:18" x14ac:dyDescent="0.35">
      <c r="A24" s="7">
        <v>3</v>
      </c>
      <c r="B24" s="114"/>
      <c r="C24" s="510"/>
      <c r="D24" s="245"/>
      <c r="E24" s="58">
        <f>IF(B24=0,0,VLOOKUP(B24,WageBeneTable5[#All],2,FALSE))</f>
        <v>0</v>
      </c>
      <c r="F24" s="783">
        <f>IF($E24=0,0,'Pay &amp; Benefits'!$C$10)</f>
        <v>0</v>
      </c>
      <c r="G24" s="784"/>
      <c r="H24" s="79">
        <f>IF($E24=0,0,'Pay &amp; Benefits'!$C$11)</f>
        <v>0</v>
      </c>
      <c r="I24" s="72">
        <f t="shared" si="0"/>
        <v>0</v>
      </c>
      <c r="J24" s="62">
        <f>IF(B24=0,0,VLOOKUP(B24,WageBeneTable5[],3,FALSE))</f>
        <v>0</v>
      </c>
      <c r="K24" s="58" t="str">
        <f t="shared" si="3"/>
        <v xml:space="preserve"> </v>
      </c>
      <c r="L24" s="58">
        <f t="shared" si="1"/>
        <v>0</v>
      </c>
      <c r="M24" s="63" t="str">
        <f t="shared" si="4"/>
        <v xml:space="preserve"> </v>
      </c>
      <c r="N24" s="203">
        <f t="shared" si="2"/>
        <v>0</v>
      </c>
    </row>
    <row r="25" spans="1:18" x14ac:dyDescent="0.35">
      <c r="A25" s="7">
        <v>4</v>
      </c>
      <c r="B25" s="114"/>
      <c r="C25" s="510"/>
      <c r="D25" s="245"/>
      <c r="E25" s="58">
        <f>IF(B25=0,0,VLOOKUP(B25,WageBeneTable5[#All],2,FALSE))</f>
        <v>0</v>
      </c>
      <c r="F25" s="783">
        <f>IF($E25=0,0,'Pay &amp; Benefits'!$C$10)</f>
        <v>0</v>
      </c>
      <c r="G25" s="784"/>
      <c r="H25" s="79">
        <f>IF($E25=0,0,'Pay &amp; Benefits'!$C$11)</f>
        <v>0</v>
      </c>
      <c r="I25" s="72">
        <f t="shared" si="0"/>
        <v>0</v>
      </c>
      <c r="J25" s="62">
        <f>IF(B25=0,0,VLOOKUP(B25,WageBeneTable5[],3,FALSE))</f>
        <v>0</v>
      </c>
      <c r="K25" s="58" t="str">
        <f t="shared" si="3"/>
        <v xml:space="preserve"> </v>
      </c>
      <c r="L25" s="58">
        <f t="shared" si="1"/>
        <v>0</v>
      </c>
      <c r="M25" s="63" t="str">
        <f t="shared" si="4"/>
        <v xml:space="preserve"> </v>
      </c>
      <c r="N25" s="203">
        <f t="shared" si="2"/>
        <v>0</v>
      </c>
    </row>
    <row r="26" spans="1:18" ht="15" thickBot="1" x14ac:dyDescent="0.4">
      <c r="A26" s="7">
        <v>5</v>
      </c>
      <c r="B26" s="204"/>
      <c r="C26" s="511"/>
      <c r="D26" s="246"/>
      <c r="E26" s="26">
        <f>IF(B26=0,0,VLOOKUP(B26,WageBeneTable5[#All],2,FALSE))</f>
        <v>0</v>
      </c>
      <c r="F26" s="799">
        <f>IF($E26=0,0,'Pay &amp; Benefits'!$C$10)</f>
        <v>0</v>
      </c>
      <c r="G26" s="803"/>
      <c r="H26" s="80">
        <f>IF($E26=0,0,'Pay &amp; Benefits'!$C$11)</f>
        <v>0</v>
      </c>
      <c r="I26" s="73">
        <f t="shared" si="0"/>
        <v>0</v>
      </c>
      <c r="J26" s="54">
        <f>IF(B26=0,0,VLOOKUP(B26,WageBeneTable5[],3,FALSE))</f>
        <v>0</v>
      </c>
      <c r="K26" s="26" t="str">
        <f t="shared" si="3"/>
        <v xml:space="preserve"> </v>
      </c>
      <c r="L26" s="26">
        <f t="shared" si="1"/>
        <v>0</v>
      </c>
      <c r="M26" s="27" t="str">
        <f t="shared" si="4"/>
        <v xml:space="preserve"> </v>
      </c>
      <c r="N26" s="198">
        <f t="shared" si="2"/>
        <v>0</v>
      </c>
    </row>
    <row r="27" spans="1:18" x14ac:dyDescent="0.35">
      <c r="A27" s="7">
        <v>6</v>
      </c>
      <c r="B27" s="202"/>
      <c r="C27" s="512"/>
      <c r="D27" s="247"/>
      <c r="E27" s="24">
        <f>IF(B27=0,0,VLOOKUP(B27,WageBeneTable5[#All],2,FALSE))</f>
        <v>0</v>
      </c>
      <c r="F27" s="804">
        <f>IF($E27=0,0,'Pay &amp; Benefits'!$C$10)</f>
        <v>0</v>
      </c>
      <c r="G27" s="805"/>
      <c r="H27" s="81">
        <f>IF($E27=0,0,'Pay &amp; Benefits'!$C$11)</f>
        <v>0</v>
      </c>
      <c r="I27" s="74">
        <f t="shared" si="0"/>
        <v>0</v>
      </c>
      <c r="J27" s="53">
        <f>IF(B27=0,0,VLOOKUP(B27,WageBeneTable5[],3,FALSE))</f>
        <v>0</v>
      </c>
      <c r="K27" s="24" t="str">
        <f t="shared" si="3"/>
        <v xml:space="preserve"> </v>
      </c>
      <c r="L27" s="24">
        <f t="shared" si="1"/>
        <v>0</v>
      </c>
      <c r="M27" s="25" t="str">
        <f t="shared" si="4"/>
        <v xml:space="preserve"> </v>
      </c>
      <c r="N27" s="197">
        <f t="shared" si="2"/>
        <v>0</v>
      </c>
    </row>
    <row r="28" spans="1:18" x14ac:dyDescent="0.35">
      <c r="A28" s="7">
        <v>7</v>
      </c>
      <c r="B28" s="114"/>
      <c r="C28" s="510"/>
      <c r="D28" s="247"/>
      <c r="E28" s="24">
        <f>IF(B28=0,0,VLOOKUP(B28,WageBeneTable5[#All],2,FALSE))</f>
        <v>0</v>
      </c>
      <c r="F28" s="783">
        <f>IF($E28=0,0,'Pay &amp; Benefits'!$C$10)</f>
        <v>0</v>
      </c>
      <c r="G28" s="784"/>
      <c r="H28" s="81">
        <f>IF($E28=0,0,'Pay &amp; Benefits'!$C$11)</f>
        <v>0</v>
      </c>
      <c r="I28" s="74">
        <f t="shared" si="0"/>
        <v>0</v>
      </c>
      <c r="J28" s="53">
        <f>IF(B28=0,0,VLOOKUP(B28,WageBeneTable5[],3,FALSE))</f>
        <v>0</v>
      </c>
      <c r="K28" s="24" t="str">
        <f t="shared" si="3"/>
        <v xml:space="preserve"> </v>
      </c>
      <c r="L28" s="24">
        <f t="shared" si="1"/>
        <v>0</v>
      </c>
      <c r="M28" s="25" t="str">
        <f t="shared" si="4"/>
        <v xml:space="preserve"> </v>
      </c>
      <c r="N28" s="197">
        <f t="shared" si="2"/>
        <v>0</v>
      </c>
    </row>
    <row r="29" spans="1:18" x14ac:dyDescent="0.35">
      <c r="A29" s="7">
        <v>8</v>
      </c>
      <c r="B29" s="114"/>
      <c r="C29" s="510"/>
      <c r="D29" s="247"/>
      <c r="E29" s="24">
        <f>IF(B29=0,0,VLOOKUP(B29,WageBeneTable5[#All],2,FALSE))</f>
        <v>0</v>
      </c>
      <c r="F29" s="783">
        <f>IF($E29=0,0,'Pay &amp; Benefits'!$C$10)</f>
        <v>0</v>
      </c>
      <c r="G29" s="785"/>
      <c r="H29" s="81">
        <f>IF($E29=0,0,'Pay &amp; Benefits'!$C$11)</f>
        <v>0</v>
      </c>
      <c r="I29" s="74">
        <f t="shared" si="0"/>
        <v>0</v>
      </c>
      <c r="J29" s="53">
        <f>IF(B29=0,0,VLOOKUP(B29,WageBeneTable5[],3,FALSE))</f>
        <v>0</v>
      </c>
      <c r="K29" s="24" t="str">
        <f t="shared" si="3"/>
        <v xml:space="preserve"> </v>
      </c>
      <c r="L29" s="24">
        <f t="shared" si="1"/>
        <v>0</v>
      </c>
      <c r="M29" s="25" t="str">
        <f t="shared" si="4"/>
        <v xml:space="preserve"> </v>
      </c>
      <c r="N29" s="197">
        <f t="shared" si="2"/>
        <v>0</v>
      </c>
    </row>
    <row r="30" spans="1:18" x14ac:dyDescent="0.35">
      <c r="A30" s="7">
        <v>9</v>
      </c>
      <c r="B30" s="114"/>
      <c r="C30" s="510"/>
      <c r="D30" s="247"/>
      <c r="E30" s="24">
        <f>IF(B30=0,0,VLOOKUP(B30,WageBeneTable5[#All],2,FALSE))</f>
        <v>0</v>
      </c>
      <c r="F30" s="783">
        <f>IF($E30=0,0,'Pay &amp; Benefits'!$C$10)</f>
        <v>0</v>
      </c>
      <c r="G30" s="785"/>
      <c r="H30" s="81">
        <f>IF($E30=0,0,'Pay &amp; Benefits'!$C$11)</f>
        <v>0</v>
      </c>
      <c r="I30" s="74">
        <f t="shared" si="0"/>
        <v>0</v>
      </c>
      <c r="J30" s="53">
        <f>IF(B30=0,0,VLOOKUP(B30,WageBeneTable5[],3,FALSE))</f>
        <v>0</v>
      </c>
      <c r="K30" s="24" t="str">
        <f t="shared" si="3"/>
        <v xml:space="preserve"> </v>
      </c>
      <c r="L30" s="24">
        <f t="shared" si="1"/>
        <v>0</v>
      </c>
      <c r="M30" s="25" t="str">
        <f t="shared" si="4"/>
        <v xml:space="preserve"> </v>
      </c>
      <c r="N30" s="197">
        <f t="shared" si="2"/>
        <v>0</v>
      </c>
    </row>
    <row r="31" spans="1:18" ht="15" thickBot="1" x14ac:dyDescent="0.4">
      <c r="A31" s="7">
        <v>10</v>
      </c>
      <c r="B31" s="204"/>
      <c r="C31" s="511"/>
      <c r="D31" s="246"/>
      <c r="E31" s="26">
        <f>IF(B31=0,0,VLOOKUP(B31,WageBeneTable5[#All],2,FALSE))</f>
        <v>0</v>
      </c>
      <c r="F31" s="799">
        <f>IF($E31=0,0,'Pay &amp; Benefits'!$C$10)</f>
        <v>0</v>
      </c>
      <c r="G31" s="800"/>
      <c r="H31" s="80">
        <f>IF($E31=0,0,'Pay &amp; Benefits'!$C$11)</f>
        <v>0</v>
      </c>
      <c r="I31" s="73">
        <f t="shared" si="0"/>
        <v>0</v>
      </c>
      <c r="J31" s="54">
        <f>IF(B31=0,0,VLOOKUP(B31,WageBeneTable5[],3,FALSE))</f>
        <v>0</v>
      </c>
      <c r="K31" s="24" t="str">
        <f t="shared" si="3"/>
        <v xml:space="preserve"> </v>
      </c>
      <c r="L31" s="26">
        <f t="shared" si="1"/>
        <v>0</v>
      </c>
      <c r="M31" s="27" t="str">
        <f t="shared" si="4"/>
        <v xml:space="preserve"> </v>
      </c>
      <c r="N31" s="198">
        <f t="shared" si="2"/>
        <v>0</v>
      </c>
    </row>
    <row r="32" spans="1:18" x14ac:dyDescent="0.35">
      <c r="A32" s="7">
        <v>11</v>
      </c>
      <c r="B32" s="202"/>
      <c r="C32" s="513"/>
      <c r="D32" s="244"/>
      <c r="E32" s="59">
        <f>IF(B32=0,0,VLOOKUP(B32,WageBeneTable5[#All],2,FALSE))</f>
        <v>0</v>
      </c>
      <c r="F32" s="790">
        <f>IF($E32=0,0,'Pay &amp; Benefits'!$C$10)</f>
        <v>0</v>
      </c>
      <c r="G32" s="791"/>
      <c r="H32" s="78">
        <f>IF($E32=0,0,'Pay &amp; Benefits'!$C$11)</f>
        <v>0</v>
      </c>
      <c r="I32" s="71">
        <f t="shared" si="0"/>
        <v>0</v>
      </c>
      <c r="J32" s="60">
        <f>IF(B32=0,0,VLOOKUP(B32,WageBeneTable5[],3,FALSE))</f>
        <v>0</v>
      </c>
      <c r="K32" s="59" t="str">
        <f t="shared" si="3"/>
        <v xml:space="preserve"> </v>
      </c>
      <c r="L32" s="59">
        <f t="shared" si="1"/>
        <v>0</v>
      </c>
      <c r="M32" s="61" t="str">
        <f t="shared" si="4"/>
        <v xml:space="preserve"> </v>
      </c>
      <c r="N32" s="196">
        <f t="shared" si="2"/>
        <v>0</v>
      </c>
      <c r="O32" s="55"/>
    </row>
    <row r="33" spans="1:15" x14ac:dyDescent="0.35">
      <c r="A33" s="7">
        <v>12</v>
      </c>
      <c r="B33" s="114"/>
      <c r="C33" s="510"/>
      <c r="D33" s="245"/>
      <c r="E33" s="58">
        <f>IF(B33=0,0,VLOOKUP(B33,WageBeneTable5[#All],2,FALSE))</f>
        <v>0</v>
      </c>
      <c r="F33" s="783">
        <f>IF($E33=0,0,'Pay &amp; Benefits'!$C$10)</f>
        <v>0</v>
      </c>
      <c r="G33" s="784"/>
      <c r="H33" s="79">
        <f>IF($E33=0,0,'Pay &amp; Benefits'!$C$11)</f>
        <v>0</v>
      </c>
      <c r="I33" s="72">
        <f t="shared" si="0"/>
        <v>0</v>
      </c>
      <c r="J33" s="62">
        <f>IF(B33=0,0,VLOOKUP(B33,WageBeneTable5[],3,FALSE))</f>
        <v>0</v>
      </c>
      <c r="K33" s="58" t="str">
        <f t="shared" si="3"/>
        <v xml:space="preserve"> </v>
      </c>
      <c r="L33" s="58">
        <f t="shared" si="1"/>
        <v>0</v>
      </c>
      <c r="M33" s="63" t="str">
        <f t="shared" si="4"/>
        <v xml:space="preserve"> </v>
      </c>
      <c r="N33" s="203">
        <f t="shared" si="2"/>
        <v>0</v>
      </c>
      <c r="O33" s="55"/>
    </row>
    <row r="34" spans="1:15" x14ac:dyDescent="0.35">
      <c r="A34" s="7">
        <v>13</v>
      </c>
      <c r="B34" s="114"/>
      <c r="C34" s="510"/>
      <c r="D34" s="245"/>
      <c r="E34" s="58">
        <f>IF(B34=0,0,VLOOKUP(B34,WageBeneTable5[#All],2,FALSE))</f>
        <v>0</v>
      </c>
      <c r="F34" s="783">
        <f>IF($E34=0,0,'Pay &amp; Benefits'!$C$10)</f>
        <v>0</v>
      </c>
      <c r="G34" s="784"/>
      <c r="H34" s="79">
        <f>IF($E34=0,0,'Pay &amp; Benefits'!$C$11)</f>
        <v>0</v>
      </c>
      <c r="I34" s="72">
        <f t="shared" si="0"/>
        <v>0</v>
      </c>
      <c r="J34" s="62">
        <f>IF(B34=0,0,VLOOKUP(B34,WageBeneTable5[],3,FALSE))</f>
        <v>0</v>
      </c>
      <c r="K34" s="58" t="str">
        <f t="shared" si="3"/>
        <v xml:space="preserve"> </v>
      </c>
      <c r="L34" s="58">
        <f t="shared" si="1"/>
        <v>0</v>
      </c>
      <c r="M34" s="63" t="str">
        <f t="shared" si="4"/>
        <v xml:space="preserve"> </v>
      </c>
      <c r="N34" s="203">
        <f t="shared" si="2"/>
        <v>0</v>
      </c>
      <c r="O34" s="7"/>
    </row>
    <row r="35" spans="1:15" x14ac:dyDescent="0.35">
      <c r="A35" s="7">
        <v>14</v>
      </c>
      <c r="B35" s="114"/>
      <c r="C35" s="510"/>
      <c r="D35" s="245"/>
      <c r="E35" s="58">
        <f>IF(B35=0,0,VLOOKUP(B35,WageBeneTable5[#All],2,FALSE))</f>
        <v>0</v>
      </c>
      <c r="F35" s="783">
        <f>IF($E35=0,0,'Pay &amp; Benefits'!$C$10)</f>
        <v>0</v>
      </c>
      <c r="G35" s="784"/>
      <c r="H35" s="79">
        <f>IF($E35=0,0,'Pay &amp; Benefits'!$C$11)</f>
        <v>0</v>
      </c>
      <c r="I35" s="72">
        <f t="shared" si="0"/>
        <v>0</v>
      </c>
      <c r="J35" s="62">
        <f>IF(B35=0,0,VLOOKUP(B35,WageBeneTable5[],3,FALSE))</f>
        <v>0</v>
      </c>
      <c r="K35" s="58" t="str">
        <f t="shared" si="3"/>
        <v xml:space="preserve"> </v>
      </c>
      <c r="L35" s="58">
        <f t="shared" si="1"/>
        <v>0</v>
      </c>
      <c r="M35" s="63" t="str">
        <f t="shared" si="4"/>
        <v xml:space="preserve"> </v>
      </c>
      <c r="N35" s="203">
        <f t="shared" si="2"/>
        <v>0</v>
      </c>
      <c r="O35" s="44"/>
    </row>
    <row r="36" spans="1:15" ht="15" thickBot="1" x14ac:dyDescent="0.4">
      <c r="A36" s="7">
        <v>15</v>
      </c>
      <c r="B36" s="204"/>
      <c r="C36" s="511"/>
      <c r="D36" s="246"/>
      <c r="E36" s="26">
        <f>IF(B36=0,0,VLOOKUP(B36,WageBeneTable5[#All],2,FALSE))</f>
        <v>0</v>
      </c>
      <c r="F36" s="799">
        <f>IF($E36=0,0,'Pay &amp; Benefits'!$C$10)</f>
        <v>0</v>
      </c>
      <c r="G36" s="803"/>
      <c r="H36" s="80">
        <f>IF($E36=0,0,'Pay &amp; Benefits'!$C$11)</f>
        <v>0</v>
      </c>
      <c r="I36" s="73">
        <f t="shared" si="0"/>
        <v>0</v>
      </c>
      <c r="J36" s="54">
        <f>IF(B36=0,0,VLOOKUP(B36,WageBeneTable5[],3,FALSE))</f>
        <v>0</v>
      </c>
      <c r="K36" s="26" t="str">
        <f t="shared" si="3"/>
        <v xml:space="preserve"> </v>
      </c>
      <c r="L36" s="26">
        <f t="shared" si="1"/>
        <v>0</v>
      </c>
      <c r="M36" s="27" t="str">
        <f t="shared" si="4"/>
        <v xml:space="preserve"> </v>
      </c>
      <c r="N36" s="198">
        <f t="shared" si="2"/>
        <v>0</v>
      </c>
    </row>
    <row r="37" spans="1:15" x14ac:dyDescent="0.35">
      <c r="A37" s="7">
        <v>16</v>
      </c>
      <c r="B37" s="117"/>
      <c r="C37" s="512"/>
      <c r="D37" s="247"/>
      <c r="E37" s="24">
        <f>IF(B37=0,0,VLOOKUP(B37,WageBeneTable5[#All],2,FALSE))</f>
        <v>0</v>
      </c>
      <c r="F37" s="804">
        <f>IF($E37=0,0,'Pay &amp; Benefits'!$C$10)</f>
        <v>0</v>
      </c>
      <c r="G37" s="805"/>
      <c r="H37" s="81">
        <f>IF($E37=0,0,'Pay &amp; Benefits'!$C$11)</f>
        <v>0</v>
      </c>
      <c r="I37" s="74">
        <f t="shared" si="0"/>
        <v>0</v>
      </c>
      <c r="J37" s="53">
        <f>IF(B37=0,0,VLOOKUP(B37,WageBeneTable5[],3,FALSE))</f>
        <v>0</v>
      </c>
      <c r="K37" s="24" t="str">
        <f t="shared" si="3"/>
        <v xml:space="preserve"> </v>
      </c>
      <c r="L37" s="24">
        <f t="shared" si="1"/>
        <v>0</v>
      </c>
      <c r="M37" s="25" t="str">
        <f t="shared" si="4"/>
        <v xml:space="preserve"> </v>
      </c>
      <c r="N37" s="197">
        <f t="shared" si="2"/>
        <v>0</v>
      </c>
    </row>
    <row r="38" spans="1:15" x14ac:dyDescent="0.35">
      <c r="A38" s="7">
        <v>17</v>
      </c>
      <c r="B38" s="114"/>
      <c r="C38" s="510"/>
      <c r="D38" s="247"/>
      <c r="E38" s="24">
        <f>IF(B38=0,0,VLOOKUP(B38,WageBeneTable5[#All],2,FALSE))</f>
        <v>0</v>
      </c>
      <c r="F38" s="783">
        <f>IF($E38=0,0,'Pay &amp; Benefits'!$C$10)</f>
        <v>0</v>
      </c>
      <c r="G38" s="784"/>
      <c r="H38" s="81">
        <f>IF($E38=0,0,'Pay &amp; Benefits'!$C$11)</f>
        <v>0</v>
      </c>
      <c r="I38" s="74">
        <f t="shared" ref="I38" si="5">IF(E38=0,0,0.0765)</f>
        <v>0</v>
      </c>
      <c r="J38" s="53">
        <f>IF(B38=0,0,VLOOKUP(B38,WageBeneTable5[],3,FALSE))</f>
        <v>0</v>
      </c>
      <c r="K38" s="24" t="str">
        <f t="shared" si="3"/>
        <v xml:space="preserve"> </v>
      </c>
      <c r="L38" s="24">
        <f t="shared" ref="L38" si="6">IF(K38=" ",0,K38*D38)</f>
        <v>0</v>
      </c>
      <c r="M38" s="25" t="str">
        <f t="shared" si="4"/>
        <v xml:space="preserve"> </v>
      </c>
      <c r="N38" s="197">
        <f t="shared" ref="N38" si="7">L38/12</f>
        <v>0</v>
      </c>
    </row>
    <row r="39" spans="1:15" x14ac:dyDescent="0.35">
      <c r="A39" s="7">
        <v>18</v>
      </c>
      <c r="B39" s="114"/>
      <c r="C39" s="510"/>
      <c r="D39" s="247"/>
      <c r="E39" s="24">
        <f>IF(B39=0,0,VLOOKUP(B39,WageBeneTable5[#All],2,FALSE))</f>
        <v>0</v>
      </c>
      <c r="F39" s="783">
        <f>IF($E39=0,0,'Pay &amp; Benefits'!$C$10)</f>
        <v>0</v>
      </c>
      <c r="G39" s="785"/>
      <c r="H39" s="81">
        <f>IF($E39=0,0,'Pay &amp; Benefits'!$C$11)</f>
        <v>0</v>
      </c>
      <c r="I39" s="74">
        <f t="shared" ref="I39:I41" si="8">IF(E39=0,0,0.0765)</f>
        <v>0</v>
      </c>
      <c r="J39" s="53">
        <f>IF(B39=0,0,VLOOKUP(B39,WageBeneTable5[],3,FALSE))</f>
        <v>0</v>
      </c>
      <c r="K39" s="24" t="str">
        <f t="shared" si="3"/>
        <v xml:space="preserve"> </v>
      </c>
      <c r="L39" s="24">
        <f t="shared" ref="L39:L41" si="9">IF(K39=" ",0,K39*D39)</f>
        <v>0</v>
      </c>
      <c r="M39" s="25" t="str">
        <f t="shared" si="4"/>
        <v xml:space="preserve"> </v>
      </c>
      <c r="N39" s="197">
        <f t="shared" ref="N39:N41" si="10">L39/12</f>
        <v>0</v>
      </c>
    </row>
    <row r="40" spans="1:15" x14ac:dyDescent="0.35">
      <c r="A40" s="7">
        <v>19</v>
      </c>
      <c r="B40" s="114"/>
      <c r="C40" s="510"/>
      <c r="D40" s="247"/>
      <c r="E40" s="24">
        <f>IF(B40=0,0,VLOOKUP(B40,WageBeneTable5[#All],2,FALSE))</f>
        <v>0</v>
      </c>
      <c r="F40" s="783">
        <f>IF($E40=0,0,'Pay &amp; Benefits'!$C$10)</f>
        <v>0</v>
      </c>
      <c r="G40" s="785"/>
      <c r="H40" s="81">
        <f>IF($E40=0,0,'Pay &amp; Benefits'!$C$11)</f>
        <v>0</v>
      </c>
      <c r="I40" s="74">
        <f t="shared" si="8"/>
        <v>0</v>
      </c>
      <c r="J40" s="53">
        <f>IF(B40=0,0,VLOOKUP(B40,WageBeneTable5[],3,FALSE))</f>
        <v>0</v>
      </c>
      <c r="K40" s="24" t="str">
        <f t="shared" si="3"/>
        <v xml:space="preserve"> </v>
      </c>
      <c r="L40" s="24">
        <f t="shared" si="9"/>
        <v>0</v>
      </c>
      <c r="M40" s="25" t="str">
        <f t="shared" si="4"/>
        <v xml:space="preserve"> </v>
      </c>
      <c r="N40" s="197">
        <f t="shared" si="10"/>
        <v>0</v>
      </c>
    </row>
    <row r="41" spans="1:15" ht="15" thickBot="1" x14ac:dyDescent="0.4">
      <c r="A41" s="7">
        <v>20</v>
      </c>
      <c r="B41" s="115"/>
      <c r="C41" s="514"/>
      <c r="D41" s="248"/>
      <c r="E41" s="205">
        <f>IF(B41=0,0,VLOOKUP(B41,WageBeneTable5[#All],2,FALSE))</f>
        <v>0</v>
      </c>
      <c r="F41" s="801">
        <f>IF($E41=0,0,'Pay &amp; Benefits'!$C$10)</f>
        <v>0</v>
      </c>
      <c r="G41" s="802"/>
      <c r="H41" s="206">
        <f>IF($E41=0,0,'Pay &amp; Benefits'!$C$11)</f>
        <v>0</v>
      </c>
      <c r="I41" s="207">
        <f t="shared" si="8"/>
        <v>0</v>
      </c>
      <c r="J41" s="208">
        <f>IF(B41=0,0,VLOOKUP(B41,WageBeneTable5[],3,FALSE))</f>
        <v>0</v>
      </c>
      <c r="K41" s="205" t="str">
        <f t="shared" si="3"/>
        <v xml:space="preserve"> </v>
      </c>
      <c r="L41" s="205">
        <f t="shared" si="9"/>
        <v>0</v>
      </c>
      <c r="M41" s="209" t="str">
        <f t="shared" si="4"/>
        <v xml:space="preserve"> </v>
      </c>
      <c r="N41" s="200">
        <f t="shared" si="10"/>
        <v>0</v>
      </c>
    </row>
    <row r="42" spans="1:15" ht="15" thickTop="1" x14ac:dyDescent="0.35">
      <c r="K42" s="7"/>
      <c r="L42" s="29"/>
      <c r="M42" s="1"/>
    </row>
    <row r="43" spans="1:15" ht="15" thickBot="1" x14ac:dyDescent="0.4">
      <c r="B43" s="30" t="s">
        <v>105</v>
      </c>
      <c r="E43" s="31"/>
      <c r="H43" s="2" t="s">
        <v>106</v>
      </c>
    </row>
    <row r="44" spans="1:15" ht="15" thickTop="1" x14ac:dyDescent="0.35">
      <c r="B44" s="125" t="s">
        <v>123</v>
      </c>
      <c r="C44" s="192" t="s">
        <v>14</v>
      </c>
      <c r="D44" s="192" t="s">
        <v>9</v>
      </c>
      <c r="E44" s="193" t="s">
        <v>1</v>
      </c>
      <c r="H44" s="792" t="s">
        <v>15</v>
      </c>
      <c r="I44" s="793"/>
      <c r="J44" s="121" t="s">
        <v>85</v>
      </c>
      <c r="K44" s="121" t="s">
        <v>16</v>
      </c>
      <c r="L44" s="122" t="s">
        <v>83</v>
      </c>
    </row>
    <row r="45" spans="1:15" ht="15" thickBot="1" x14ac:dyDescent="0.4">
      <c r="B45" s="127" t="s">
        <v>124</v>
      </c>
      <c r="C45" s="34" t="s">
        <v>11</v>
      </c>
      <c r="D45" s="34" t="s">
        <v>10</v>
      </c>
      <c r="E45" s="194" t="s">
        <v>12</v>
      </c>
      <c r="H45" s="781" t="s">
        <v>13</v>
      </c>
      <c r="I45" s="794"/>
      <c r="J45" s="35" t="s">
        <v>86</v>
      </c>
      <c r="K45" s="35" t="s">
        <v>17</v>
      </c>
      <c r="L45" s="124" t="s">
        <v>187</v>
      </c>
    </row>
    <row r="46" spans="1:15" x14ac:dyDescent="0.35">
      <c r="A46" s="7">
        <v>1</v>
      </c>
      <c r="B46" s="262"/>
      <c r="C46" s="64"/>
      <c r="D46" s="231" t="str">
        <f>IF(B46=0," ",VLOOKUP(B46,Supplies!$B$13:$C$97,2,FALSE))</f>
        <v xml:space="preserve"> </v>
      </c>
      <c r="E46" s="227" t="str">
        <f t="shared" ref="E46:E85" si="11">IF(D46=" "," ",D46*C46)</f>
        <v xml:space="preserve"> </v>
      </c>
      <c r="G46" s="7">
        <v>1</v>
      </c>
      <c r="H46" s="779"/>
      <c r="I46" s="795"/>
      <c r="J46" s="131"/>
      <c r="K46" s="57"/>
      <c r="L46" s="196" t="str">
        <f>IF(K46=0," ",IF(VLOOKUP(H46,'Equipment List'!$B$12:$F$96,5,FALSE)="Grant",0,IF(VLOOKUP(H46,'Equipment List'!$B$12:$F$96,5,FALSE)="Depreciated",0,J46*K46*VLOOKUP(H46,'Equipment List'!$B$12:$F$96,5,FALSE)/12)))</f>
        <v xml:space="preserve"> </v>
      </c>
    </row>
    <row r="47" spans="1:15" x14ac:dyDescent="0.35">
      <c r="A47" s="7">
        <v>2</v>
      </c>
      <c r="B47" s="263"/>
      <c r="C47" s="65"/>
      <c r="D47" s="232" t="str">
        <f>IF(B47=0," ",VLOOKUP(B47,Supplies!$B$13:$C$97,2,FALSE))</f>
        <v xml:space="preserve"> </v>
      </c>
      <c r="E47" s="228" t="str">
        <f t="shared" si="11"/>
        <v xml:space="preserve"> </v>
      </c>
      <c r="G47" s="7">
        <v>2</v>
      </c>
      <c r="H47" s="773"/>
      <c r="I47" s="796"/>
      <c r="J47" s="132"/>
      <c r="K47" s="41"/>
      <c r="L47" s="197" t="str">
        <f>IF(K47=0," ",IF(VLOOKUP(H47,'Equipment List'!$B$12:$F$96,5,FALSE)="Grant",0,IF(VLOOKUP(H47,'Equipment List'!$B$12:$F$96,5,FALSE)="Depreciated",0,J47*K47*VLOOKUP(H47,'Equipment List'!$B$12:$F$96,5,FALSE)/12)))</f>
        <v xml:space="preserve"> </v>
      </c>
    </row>
    <row r="48" spans="1:15" x14ac:dyDescent="0.35">
      <c r="A48" s="7">
        <v>3</v>
      </c>
      <c r="B48" s="263"/>
      <c r="C48" s="65"/>
      <c r="D48" s="232" t="str">
        <f>IF(B48=0," ",VLOOKUP(B48,Supplies!$B$13:$C$97,2,FALSE))</f>
        <v xml:space="preserve"> </v>
      </c>
      <c r="E48" s="228" t="str">
        <f t="shared" si="11"/>
        <v xml:space="preserve"> </v>
      </c>
      <c r="G48" s="7">
        <v>3</v>
      </c>
      <c r="H48" s="773"/>
      <c r="I48" s="760"/>
      <c r="J48" s="132"/>
      <c r="K48" s="41"/>
      <c r="L48" s="197" t="str">
        <f>IF(K48=0," ",IF(VLOOKUP(H48,'Equipment List'!$B$12:$F$96,5,FALSE)="Grant",0,IF(VLOOKUP(H48,'Equipment List'!$B$12:$F$96,5,FALSE)="Depreciated",0,J48*K48*VLOOKUP(H48,'Equipment List'!$B$12:$F$96,5,FALSE)/12)))</f>
        <v xml:space="preserve"> </v>
      </c>
    </row>
    <row r="49" spans="1:12" x14ac:dyDescent="0.35">
      <c r="A49" s="7">
        <v>4</v>
      </c>
      <c r="B49" s="263"/>
      <c r="C49" s="65"/>
      <c r="D49" s="232" t="str">
        <f>IF(B49=0," ",VLOOKUP(B49,Supplies!$B$13:$C$97,2,FALSE))</f>
        <v xml:space="preserve"> </v>
      </c>
      <c r="E49" s="228" t="str">
        <f t="shared" si="11"/>
        <v xml:space="preserve"> </v>
      </c>
      <c r="G49" s="7">
        <v>4</v>
      </c>
      <c r="H49" s="773"/>
      <c r="I49" s="760"/>
      <c r="J49" s="132"/>
      <c r="K49" s="41"/>
      <c r="L49" s="197" t="str">
        <f>IF(K49=0," ",IF(VLOOKUP(H49,'Equipment List'!$B$12:$F$96,5,FALSE)="Grant",0,IF(VLOOKUP(H49,'Equipment List'!$B$12:$F$96,5,FALSE)="Depreciated",0,J49*K49*VLOOKUP(H49,'Equipment List'!$B$12:$F$96,5,FALSE)/12)))</f>
        <v xml:space="preserve"> </v>
      </c>
    </row>
    <row r="50" spans="1:12" ht="15" thickBot="1" x14ac:dyDescent="0.4">
      <c r="A50" s="7">
        <v>5</v>
      </c>
      <c r="B50" s="264"/>
      <c r="C50" s="66"/>
      <c r="D50" s="233" t="str">
        <f>IF(B50=0," ",VLOOKUP(B50,Supplies!$B$13:$C$97,2,FALSE))</f>
        <v xml:space="preserve"> </v>
      </c>
      <c r="E50" s="229" t="str">
        <f t="shared" si="11"/>
        <v xml:space="preserve"> </v>
      </c>
      <c r="G50" s="7">
        <v>5</v>
      </c>
      <c r="H50" s="774"/>
      <c r="I50" s="775"/>
      <c r="J50" s="133"/>
      <c r="K50" s="42"/>
      <c r="L50" s="198" t="str">
        <f>IF(K50=0," ",IF(VLOOKUP(H50,'Equipment List'!$B$12:$F$96,5,FALSE)="Grant",0,IF(VLOOKUP(H50,'Equipment List'!$B$12:$F$96,5,FALSE)="Depreciated",0,J50*K50*VLOOKUP(H50,'Equipment List'!$B$12:$F$96,5,FALSE)/12)))</f>
        <v xml:space="preserve"> </v>
      </c>
    </row>
    <row r="51" spans="1:12" x14ac:dyDescent="0.35">
      <c r="A51" s="7">
        <v>6</v>
      </c>
      <c r="B51" s="265"/>
      <c r="C51" s="67"/>
      <c r="D51" s="232" t="str">
        <f>IF(B51=0," ",VLOOKUP(B51,Supplies!$B$13:$C$97,2,FALSE))</f>
        <v xml:space="preserve"> </v>
      </c>
      <c r="E51" s="228" t="str">
        <f t="shared" si="11"/>
        <v xml:space="preserve"> </v>
      </c>
      <c r="G51" s="7">
        <v>6</v>
      </c>
      <c r="H51" s="776"/>
      <c r="I51" s="777"/>
      <c r="J51" s="134"/>
      <c r="K51" s="43"/>
      <c r="L51" s="197" t="str">
        <f>IF(K51=0," ",IF(VLOOKUP(H51,'Equipment List'!$B$12:$F$96,5,FALSE)="Grant",0,IF(VLOOKUP(H51,'Equipment List'!$B$12:$F$96,5,FALSE)="Depreciated",0,J51*K51*VLOOKUP(H51,'Equipment List'!$B$12:$F$96,5,FALSE)/12)))</f>
        <v xml:space="preserve"> </v>
      </c>
    </row>
    <row r="52" spans="1:12" x14ac:dyDescent="0.35">
      <c r="A52" s="7">
        <v>7</v>
      </c>
      <c r="B52" s="263"/>
      <c r="C52" s="65"/>
      <c r="D52" s="232" t="str">
        <f>IF(B52=0," ",VLOOKUP(B52,Supplies!$B$13:$C$97,2,FALSE))</f>
        <v xml:space="preserve"> </v>
      </c>
      <c r="E52" s="228" t="str">
        <f t="shared" si="11"/>
        <v xml:space="preserve"> </v>
      </c>
      <c r="G52" s="7">
        <v>7</v>
      </c>
      <c r="H52" s="759"/>
      <c r="I52" s="760"/>
      <c r="J52" s="132"/>
      <c r="K52" s="41"/>
      <c r="L52" s="197" t="str">
        <f>IF(K52=0," ",IF(VLOOKUP(H52,'Equipment List'!$B$12:$F$96,5,FALSE)="Grant",0,IF(VLOOKUP(H52,'Equipment List'!$B$12:$F$96,5,FALSE)="Depreciated",0,J52*K52*VLOOKUP(H52,'Equipment List'!$B$12:$F$96,5,FALSE)/12)))</f>
        <v xml:space="preserve"> </v>
      </c>
    </row>
    <row r="53" spans="1:12" x14ac:dyDescent="0.35">
      <c r="A53" s="7">
        <v>8</v>
      </c>
      <c r="B53" s="263"/>
      <c r="C53" s="65"/>
      <c r="D53" s="232" t="str">
        <f>IF(B53=0," ",VLOOKUP(B53,Supplies!$B$13:$C$97,2,FALSE))</f>
        <v xml:space="preserve"> </v>
      </c>
      <c r="E53" s="228" t="str">
        <f t="shared" si="11"/>
        <v xml:space="preserve"> </v>
      </c>
      <c r="G53" s="7">
        <v>8</v>
      </c>
      <c r="H53" s="759"/>
      <c r="I53" s="760"/>
      <c r="J53" s="132"/>
      <c r="K53" s="41"/>
      <c r="L53" s="197" t="str">
        <f>IF(K53=0," ",IF(VLOOKUP(H53,'Equipment List'!$B$12:$F$96,5,FALSE)="Grant",0,IF(VLOOKUP(H53,'Equipment List'!$B$12:$F$96,5,FALSE)="Depreciated",0,J53*K53*VLOOKUP(H53,'Equipment List'!$B$12:$F$96,5,FALSE)/12)))</f>
        <v xml:space="preserve"> </v>
      </c>
    </row>
    <row r="54" spans="1:12" x14ac:dyDescent="0.35">
      <c r="A54" s="7">
        <v>9</v>
      </c>
      <c r="B54" s="263"/>
      <c r="C54" s="65"/>
      <c r="D54" s="232" t="str">
        <f>IF(B54=0," ",VLOOKUP(B54,Supplies!$B$13:$C$97,2,FALSE))</f>
        <v xml:space="preserve"> </v>
      </c>
      <c r="E54" s="228" t="str">
        <f t="shared" si="11"/>
        <v xml:space="preserve"> </v>
      </c>
      <c r="G54" s="7">
        <v>9</v>
      </c>
      <c r="H54" s="759"/>
      <c r="I54" s="760"/>
      <c r="J54" s="132"/>
      <c r="K54" s="41"/>
      <c r="L54" s="197" t="str">
        <f>IF(K54=0," ",IF(VLOOKUP(H54,'Equipment List'!$B$12:$F$96,5,FALSE)="Grant",0,IF(VLOOKUP(H54,'Equipment List'!$B$12:$F$96,5,FALSE)="Depreciated",0,J54*K54*VLOOKUP(H54,'Equipment List'!$B$12:$F$96,5,FALSE)/12)))</f>
        <v xml:space="preserve"> </v>
      </c>
    </row>
    <row r="55" spans="1:12" ht="15" thickBot="1" x14ac:dyDescent="0.4">
      <c r="A55" s="7">
        <v>10</v>
      </c>
      <c r="B55" s="264"/>
      <c r="C55" s="66"/>
      <c r="D55" s="233" t="str">
        <f>IF(B55=0," ",VLOOKUP(B55,Supplies!$B$13:$C$97,2,FALSE))</f>
        <v xml:space="preserve"> </v>
      </c>
      <c r="E55" s="229" t="str">
        <f t="shared" si="11"/>
        <v xml:space="preserve"> </v>
      </c>
      <c r="G55" s="7">
        <v>10</v>
      </c>
      <c r="H55" s="778"/>
      <c r="I55" s="775"/>
      <c r="J55" s="133"/>
      <c r="K55" s="42"/>
      <c r="L55" s="198" t="str">
        <f>IF(K55=0," ",IF(VLOOKUP(H55,'Equipment List'!$B$12:$F$96,5,FALSE)="Grant",0,IF(VLOOKUP(H55,'Equipment List'!$B$12:$F$96,5,FALSE)="Depreciated",0,J55*K55*VLOOKUP(H55,'Equipment List'!$B$12:$F$96,5,FALSE)/12)))</f>
        <v xml:space="preserve"> </v>
      </c>
    </row>
    <row r="56" spans="1:12" x14ac:dyDescent="0.35">
      <c r="A56" s="7">
        <v>11</v>
      </c>
      <c r="B56" s="262"/>
      <c r="C56" s="64"/>
      <c r="D56" s="231" t="str">
        <f>IF(B56=0," ",VLOOKUP(B56,Supplies!$B$13:$C$97,2,FALSE))</f>
        <v xml:space="preserve"> </v>
      </c>
      <c r="E56" s="227" t="str">
        <f t="shared" si="11"/>
        <v xml:space="preserve"> </v>
      </c>
      <c r="G56" s="7">
        <v>11</v>
      </c>
      <c r="H56" s="779"/>
      <c r="I56" s="777"/>
      <c r="J56" s="131"/>
      <c r="K56" s="57"/>
      <c r="L56" s="196" t="str">
        <f>IF(K56=0," ",IF(VLOOKUP(H56,'Equipment List'!$B$12:$F$96,5,FALSE)="Grant",0,IF(VLOOKUP(H56,'Equipment List'!$B$12:$F$96,5,FALSE)="Depreciated",0,J56*K56*VLOOKUP(H56,'Equipment List'!$B$12:$F$96,5,FALSE)/12)))</f>
        <v xml:space="preserve"> </v>
      </c>
    </row>
    <row r="57" spans="1:12" x14ac:dyDescent="0.35">
      <c r="A57" s="7">
        <v>12</v>
      </c>
      <c r="B57" s="263"/>
      <c r="C57" s="65"/>
      <c r="D57" s="232" t="str">
        <f>IF(B57=0," ",VLOOKUP(B57,Supplies!$B$13:$C$97,2,FALSE))</f>
        <v xml:space="preserve"> </v>
      </c>
      <c r="E57" s="228" t="str">
        <f t="shared" si="11"/>
        <v xml:space="preserve"> </v>
      </c>
      <c r="G57" s="7">
        <v>12</v>
      </c>
      <c r="H57" s="773"/>
      <c r="I57" s="760"/>
      <c r="J57" s="132"/>
      <c r="K57" s="41"/>
      <c r="L57" s="197" t="str">
        <f>IF(K57=0," ",IF(VLOOKUP(H57,'Equipment List'!$B$12:$F$96,5,FALSE)="Grant",0,IF(VLOOKUP(H57,'Equipment List'!$B$12:$F$96,5,FALSE)="Depreciated",0,J57*K57*VLOOKUP(H57,'Equipment List'!$B$12:$F$96,5,FALSE)/12)))</f>
        <v xml:space="preserve"> </v>
      </c>
    </row>
    <row r="58" spans="1:12" x14ac:dyDescent="0.35">
      <c r="A58" s="7">
        <v>13</v>
      </c>
      <c r="B58" s="263"/>
      <c r="C58" s="65"/>
      <c r="D58" s="232" t="str">
        <f>IF(B58=0," ",VLOOKUP(B58,Supplies!$B$13:$C$97,2,FALSE))</f>
        <v xml:space="preserve"> </v>
      </c>
      <c r="E58" s="228" t="str">
        <f t="shared" si="11"/>
        <v xml:space="preserve"> </v>
      </c>
      <c r="G58" s="7">
        <v>13</v>
      </c>
      <c r="H58" s="773"/>
      <c r="I58" s="760"/>
      <c r="J58" s="132"/>
      <c r="K58" s="41"/>
      <c r="L58" s="197" t="str">
        <f>IF(K58=0," ",IF(VLOOKUP(H58,'Equipment List'!$B$12:$F$96,5,FALSE)="Grant",0,IF(VLOOKUP(H58,'Equipment List'!$B$12:$F$96,5,FALSE)="Depreciated",0,J58*K58*VLOOKUP(H58,'Equipment List'!$B$12:$F$96,5,FALSE)/12)))</f>
        <v xml:space="preserve"> </v>
      </c>
    </row>
    <row r="59" spans="1:12" x14ac:dyDescent="0.35">
      <c r="A59" s="7">
        <v>14</v>
      </c>
      <c r="B59" s="263"/>
      <c r="C59" s="65"/>
      <c r="D59" s="232" t="str">
        <f>IF(B59=0," ",VLOOKUP(B59,Supplies!$B$13:$C$97,2,FALSE))</f>
        <v xml:space="preserve"> </v>
      </c>
      <c r="E59" s="228" t="str">
        <f t="shared" si="11"/>
        <v xml:space="preserve"> </v>
      </c>
      <c r="G59" s="7">
        <v>14</v>
      </c>
      <c r="H59" s="773"/>
      <c r="I59" s="760"/>
      <c r="J59" s="132"/>
      <c r="K59" s="41"/>
      <c r="L59" s="197" t="str">
        <f>IF(K59=0," ",IF(VLOOKUP(H59,'Equipment List'!$B$12:$F$96,5,FALSE)="Grant",0,IF(VLOOKUP(H59,'Equipment List'!$B$12:$F$96,5,FALSE)="Depreciated",0,J59*K59*VLOOKUP(H59,'Equipment List'!$B$12:$F$96,5,FALSE)/12)))</f>
        <v xml:space="preserve"> </v>
      </c>
    </row>
    <row r="60" spans="1:12" ht="15" thickBot="1" x14ac:dyDescent="0.4">
      <c r="A60" s="7">
        <v>15</v>
      </c>
      <c r="B60" s="264"/>
      <c r="C60" s="66"/>
      <c r="D60" s="233" t="str">
        <f>IF(B60=0," ",VLOOKUP(B60,Supplies!$B$13:$C$97,2,FALSE))</f>
        <v xml:space="preserve"> </v>
      </c>
      <c r="E60" s="229" t="str">
        <f t="shared" si="11"/>
        <v xml:space="preserve"> </v>
      </c>
      <c r="G60" s="7">
        <v>15</v>
      </c>
      <c r="H60" s="774"/>
      <c r="I60" s="775"/>
      <c r="J60" s="133"/>
      <c r="K60" s="42"/>
      <c r="L60" s="198" t="str">
        <f>IF(K60=0," ",IF(VLOOKUP(H60,'Equipment List'!$B$12:$F$96,5,FALSE)="Grant",0,IF(VLOOKUP(H60,'Equipment List'!$B$12:$F$96,5,FALSE)="Depreciated",0,J60*K60*VLOOKUP(H60,'Equipment List'!$B$12:$F$96,5,FALSE)/12)))</f>
        <v xml:space="preserve"> </v>
      </c>
    </row>
    <row r="61" spans="1:12" x14ac:dyDescent="0.35">
      <c r="A61" s="7">
        <v>16</v>
      </c>
      <c r="B61" s="265"/>
      <c r="C61" s="67"/>
      <c r="D61" s="232" t="str">
        <f>IF(B61=0," ",VLOOKUP(B61,Supplies!$B$13:$C$97,2,FALSE))</f>
        <v xml:space="preserve"> </v>
      </c>
      <c r="E61" s="228" t="str">
        <f t="shared" si="11"/>
        <v xml:space="preserve"> </v>
      </c>
      <c r="G61" s="7">
        <v>16</v>
      </c>
      <c r="H61" s="776"/>
      <c r="I61" s="777"/>
      <c r="J61" s="134"/>
      <c r="K61" s="43"/>
      <c r="L61" s="197" t="str">
        <f>IF(K61=0," ",IF(VLOOKUP(H61,'Equipment List'!$B$12:$F$96,5,FALSE)="Grant",0,IF(VLOOKUP(H61,'Equipment List'!$B$12:$F$96,5,FALSE)="Depreciated",0,J61*K61*VLOOKUP(H61,'Equipment List'!$B$12:$F$96,5,FALSE)/12)))</f>
        <v xml:space="preserve"> </v>
      </c>
    </row>
    <row r="62" spans="1:12" x14ac:dyDescent="0.35">
      <c r="A62" s="7">
        <v>17</v>
      </c>
      <c r="B62" s="263"/>
      <c r="C62" s="65"/>
      <c r="D62" s="232" t="str">
        <f>IF(B62=0," ",VLOOKUP(B62,Supplies!$B$13:$C$97,2,FALSE))</f>
        <v xml:space="preserve"> </v>
      </c>
      <c r="E62" s="228" t="str">
        <f t="shared" si="11"/>
        <v xml:space="preserve"> </v>
      </c>
      <c r="G62" s="7">
        <v>17</v>
      </c>
      <c r="H62" s="759"/>
      <c r="I62" s="760"/>
      <c r="J62" s="132"/>
      <c r="K62" s="41"/>
      <c r="L62" s="197" t="str">
        <f>IF(K62=0," ",IF(VLOOKUP(H62,'Equipment List'!$B$12:$F$96,5,FALSE)="Grant",0,IF(VLOOKUP(H62,'Equipment List'!$B$12:$F$96,5,FALSE)="Depreciated",0,J62*K62*VLOOKUP(H62,'Equipment List'!$B$12:$F$96,5,FALSE)/12)))</f>
        <v xml:space="preserve"> </v>
      </c>
    </row>
    <row r="63" spans="1:12" x14ac:dyDescent="0.35">
      <c r="A63" s="7">
        <v>18</v>
      </c>
      <c r="B63" s="263"/>
      <c r="C63" s="65"/>
      <c r="D63" s="232" t="str">
        <f>IF(B63=0," ",VLOOKUP(B63,Supplies!$B$13:$C$97,2,FALSE))</f>
        <v xml:space="preserve"> </v>
      </c>
      <c r="E63" s="228" t="str">
        <f t="shared" si="11"/>
        <v xml:space="preserve"> </v>
      </c>
      <c r="G63" s="7">
        <v>18</v>
      </c>
      <c r="H63" s="759"/>
      <c r="I63" s="760"/>
      <c r="J63" s="132"/>
      <c r="K63" s="41"/>
      <c r="L63" s="197" t="str">
        <f>IF(K63=0," ",IF(VLOOKUP(H63,'Equipment List'!$B$12:$F$96,5,FALSE)="Grant",0,IF(VLOOKUP(H63,'Equipment List'!$B$12:$F$96,5,FALSE)="Depreciated",0,J63*K63*VLOOKUP(H63,'Equipment List'!$B$12:$F$96,5,FALSE)/12)))</f>
        <v xml:space="preserve"> </v>
      </c>
    </row>
    <row r="64" spans="1:12" x14ac:dyDescent="0.35">
      <c r="A64" s="7">
        <v>19</v>
      </c>
      <c r="B64" s="263"/>
      <c r="C64" s="65"/>
      <c r="D64" s="232" t="str">
        <f>IF(B64=0," ",VLOOKUP(B64,Supplies!$B$13:$C$97,2,FALSE))</f>
        <v xml:space="preserve"> </v>
      </c>
      <c r="E64" s="228" t="str">
        <f t="shared" si="11"/>
        <v xml:space="preserve"> </v>
      </c>
      <c r="G64" s="7">
        <v>19</v>
      </c>
      <c r="H64" s="759"/>
      <c r="I64" s="760"/>
      <c r="J64" s="132"/>
      <c r="K64" s="41"/>
      <c r="L64" s="197" t="str">
        <f>IF(K64=0," ",IF(VLOOKUP(H64,'Equipment List'!$B$12:$F$96,5,FALSE)="Grant",0,IF(VLOOKUP(H64,'Equipment List'!$B$12:$F$96,5,FALSE)="Depreciated",0,J64*K64*VLOOKUP(H64,'Equipment List'!$B$12:$F$96,5,FALSE)/12)))</f>
        <v xml:space="preserve"> </v>
      </c>
    </row>
    <row r="65" spans="1:13" ht="15" thickBot="1" x14ac:dyDescent="0.4">
      <c r="A65" s="7">
        <v>20</v>
      </c>
      <c r="B65" s="264"/>
      <c r="C65" s="66"/>
      <c r="D65" s="233" t="str">
        <f>IF(B65=0," ",VLOOKUP(B65,Supplies!$B$13:$C$97,2,FALSE))</f>
        <v xml:space="preserve"> </v>
      </c>
      <c r="E65" s="229" t="str">
        <f t="shared" si="11"/>
        <v xml:space="preserve"> </v>
      </c>
      <c r="G65" s="7">
        <v>20</v>
      </c>
      <c r="H65" s="761"/>
      <c r="I65" s="762"/>
      <c r="J65" s="199"/>
      <c r="K65" s="116"/>
      <c r="L65" s="200" t="str">
        <f>IF(K65=0," ",IF(VLOOKUP(H65,'Equipment List'!$B$12:$F$96,5,FALSE)="Grant",0,IF(VLOOKUP(H65,'Equipment List'!$B$12:$F$96,5,FALSE)="Depreciated",0,J65*K65*VLOOKUP(H65,'Equipment List'!$B$12:$F$96,5,FALSE)/12)))</f>
        <v xml:space="preserve"> </v>
      </c>
    </row>
    <row r="66" spans="1:13" x14ac:dyDescent="0.35">
      <c r="A66" s="7">
        <v>21</v>
      </c>
      <c r="B66" s="265"/>
      <c r="C66" s="67"/>
      <c r="D66" s="232" t="str">
        <f>IF(B66=0," ",VLOOKUP(B66,Supplies!$B$13:$C$97,2,FALSE))</f>
        <v xml:space="preserve"> </v>
      </c>
      <c r="E66" s="228" t="str">
        <f t="shared" si="11"/>
        <v xml:space="preserve"> </v>
      </c>
    </row>
    <row r="67" spans="1:13" ht="15" thickBot="1" x14ac:dyDescent="0.4">
      <c r="A67" s="7">
        <v>22</v>
      </c>
      <c r="B67" s="263"/>
      <c r="C67" s="65"/>
      <c r="D67" s="232" t="str">
        <f>IF(B67=0," ",VLOOKUP(B67,Supplies!$B$13:$C$97,2,FALSE))</f>
        <v xml:space="preserve"> </v>
      </c>
      <c r="E67" s="228" t="str">
        <f t="shared" si="11"/>
        <v xml:space="preserve"> </v>
      </c>
      <c r="H67" s="2" t="s">
        <v>243</v>
      </c>
    </row>
    <row r="68" spans="1:13" ht="15" thickTop="1" x14ac:dyDescent="0.35">
      <c r="A68" s="7">
        <v>23</v>
      </c>
      <c r="B68" s="263"/>
      <c r="C68" s="65"/>
      <c r="D68" s="232" t="str">
        <f>IF(B68=0," ",VLOOKUP(B68,Supplies!$B$13:$C$97,2,FALSE))</f>
        <v xml:space="preserve"> </v>
      </c>
      <c r="E68" s="228" t="str">
        <f t="shared" si="11"/>
        <v xml:space="preserve"> </v>
      </c>
      <c r="H68" s="797" t="s">
        <v>159</v>
      </c>
      <c r="I68" s="798"/>
      <c r="J68" s="181" t="s">
        <v>92</v>
      </c>
      <c r="K68" s="182" t="s">
        <v>168</v>
      </c>
      <c r="L68" s="182" t="s">
        <v>93</v>
      </c>
      <c r="M68" s="183" t="s">
        <v>12</v>
      </c>
    </row>
    <row r="69" spans="1:13" ht="15" thickBot="1" x14ac:dyDescent="0.4">
      <c r="A69" s="7">
        <v>24</v>
      </c>
      <c r="B69" s="263"/>
      <c r="C69" s="65"/>
      <c r="D69" s="232" t="str">
        <f>IF(B69=0," ",VLOOKUP(B69,Supplies!$B$13:$C$97,2,FALSE))</f>
        <v xml:space="preserve"> </v>
      </c>
      <c r="E69" s="228" t="str">
        <f t="shared" si="11"/>
        <v xml:space="preserve"> </v>
      </c>
      <c r="H69" s="781" t="s">
        <v>13</v>
      </c>
      <c r="I69" s="782"/>
      <c r="J69" s="6" t="s">
        <v>84</v>
      </c>
      <c r="K69" s="23" t="s">
        <v>169</v>
      </c>
      <c r="L69" s="23" t="s">
        <v>94</v>
      </c>
      <c r="M69" s="185" t="s">
        <v>240</v>
      </c>
    </row>
    <row r="70" spans="1:13" ht="15" thickBot="1" x14ac:dyDescent="0.4">
      <c r="A70" s="7">
        <v>25</v>
      </c>
      <c r="B70" s="264"/>
      <c r="C70" s="39"/>
      <c r="D70" s="233" t="str">
        <f>IF(B70=0," ",VLOOKUP(B70,Supplies!$B$13:$C$97,2,FALSE))</f>
        <v xml:space="preserve"> </v>
      </c>
      <c r="E70" s="229" t="str">
        <f t="shared" si="11"/>
        <v xml:space="preserve"> </v>
      </c>
      <c r="G70" s="7">
        <v>1</v>
      </c>
      <c r="H70" s="767"/>
      <c r="I70" s="768"/>
      <c r="J70" s="37"/>
      <c r="K70" s="142"/>
      <c r="L70" s="110" t="str">
        <f>IF(H70=0," ",VLOOKUP(H70,Transportation!$B$6:$L$16,11,FALSE))</f>
        <v xml:space="preserve"> </v>
      </c>
      <c r="M70" s="186" t="str">
        <f>IF(J70=0," ",(J70*L70*K70))</f>
        <v xml:space="preserve"> </v>
      </c>
    </row>
    <row r="71" spans="1:13" x14ac:dyDescent="0.35">
      <c r="A71" s="7">
        <v>26</v>
      </c>
      <c r="B71" s="265"/>
      <c r="C71" s="40"/>
      <c r="D71" s="232" t="str">
        <f>IF(B71=0," ",VLOOKUP(B71,Supplies!$B$13:$C$97,2,FALSE))</f>
        <v xml:space="preserve"> </v>
      </c>
      <c r="E71" s="228" t="str">
        <f t="shared" si="11"/>
        <v xml:space="preserve"> </v>
      </c>
      <c r="G71" s="7">
        <v>2</v>
      </c>
      <c r="H71" s="769"/>
      <c r="I71" s="770"/>
      <c r="J71" s="37"/>
      <c r="K71" s="142"/>
      <c r="L71" s="111" t="str">
        <f>IF(H71=0," ",VLOOKUP(H71,Transportation!$B$6:$L$16,11,FALSE))</f>
        <v xml:space="preserve"> </v>
      </c>
      <c r="M71" s="187" t="str">
        <f t="shared" ref="M71:M75" si="12">IF(J71=0," ",(J71*L71*K71))</f>
        <v xml:space="preserve"> </v>
      </c>
    </row>
    <row r="72" spans="1:13" x14ac:dyDescent="0.35">
      <c r="A72" s="7">
        <v>27</v>
      </c>
      <c r="B72" s="263"/>
      <c r="C72" s="38"/>
      <c r="D72" s="232" t="str">
        <f>IF(B72=0," ",VLOOKUP(B72,Supplies!$B$13:$C$97,2,FALSE))</f>
        <v xml:space="preserve"> </v>
      </c>
      <c r="E72" s="228" t="str">
        <f t="shared" si="11"/>
        <v xml:space="preserve"> </v>
      </c>
      <c r="G72" s="7">
        <v>3</v>
      </c>
      <c r="H72" s="769"/>
      <c r="I72" s="770"/>
      <c r="J72" s="37"/>
      <c r="K72" s="142"/>
      <c r="L72" s="111" t="str">
        <f>IF(H72=0," ",VLOOKUP(H72,Transportation!$B$6:$L$16,11,FALSE))</f>
        <v xml:space="preserve"> </v>
      </c>
      <c r="M72" s="187" t="str">
        <f t="shared" si="12"/>
        <v xml:space="preserve"> </v>
      </c>
    </row>
    <row r="73" spans="1:13" x14ac:dyDescent="0.35">
      <c r="A73" s="7">
        <v>28</v>
      </c>
      <c r="B73" s="263"/>
      <c r="C73" s="38"/>
      <c r="D73" s="232" t="str">
        <f>IF(B73=0," ",VLOOKUP(B73,Supplies!$B$13:$C$97,2,FALSE))</f>
        <v xml:space="preserve"> </v>
      </c>
      <c r="E73" s="228" t="str">
        <f t="shared" si="11"/>
        <v xml:space="preserve"> </v>
      </c>
      <c r="G73" s="7">
        <v>4</v>
      </c>
      <c r="H73" s="769"/>
      <c r="I73" s="770"/>
      <c r="J73" s="37"/>
      <c r="K73" s="142"/>
      <c r="L73" s="111" t="str">
        <f>IF(H73=0," ",VLOOKUP(H73,Transportation!$B$6:$L$16,11,FALSE))</f>
        <v xml:space="preserve"> </v>
      </c>
      <c r="M73" s="187" t="str">
        <f t="shared" si="12"/>
        <v xml:space="preserve"> </v>
      </c>
    </row>
    <row r="74" spans="1:13" x14ac:dyDescent="0.35">
      <c r="A74" s="7">
        <v>29</v>
      </c>
      <c r="B74" s="263"/>
      <c r="C74" s="38"/>
      <c r="D74" s="232" t="str">
        <f>IF(B74=0," ",VLOOKUP(B74,Supplies!$B$13:$C$97,2,FALSE))</f>
        <v xml:space="preserve"> </v>
      </c>
      <c r="E74" s="228" t="str">
        <f t="shared" si="11"/>
        <v xml:space="preserve"> </v>
      </c>
      <c r="G74" s="7">
        <v>5</v>
      </c>
      <c r="H74" s="769"/>
      <c r="I74" s="770"/>
      <c r="J74" s="37"/>
      <c r="K74" s="142"/>
      <c r="L74" s="111" t="str">
        <f>IF(H74=0," ",VLOOKUP(H74,Transportation!$B$6:$L$16,11,FALSE))</f>
        <v xml:space="preserve"> </v>
      </c>
      <c r="M74" s="187" t="str">
        <f t="shared" si="12"/>
        <v xml:space="preserve"> </v>
      </c>
    </row>
    <row r="75" spans="1:13" ht="15" thickBot="1" x14ac:dyDescent="0.4">
      <c r="A75" s="7">
        <v>30</v>
      </c>
      <c r="B75" s="264"/>
      <c r="C75" s="39"/>
      <c r="D75" s="233" t="str">
        <f>IF(B75=0," ",VLOOKUP(B75,Supplies!$B$13:$C$97,2,FALSE))</f>
        <v xml:space="preserve"> </v>
      </c>
      <c r="E75" s="229" t="str">
        <f t="shared" si="11"/>
        <v xml:space="preserve"> </v>
      </c>
      <c r="G75" s="7">
        <v>6</v>
      </c>
      <c r="H75" s="771"/>
      <c r="I75" s="772"/>
      <c r="J75" s="188"/>
      <c r="K75" s="189"/>
      <c r="L75" s="190" t="str">
        <f>IF(H75=0," ",VLOOKUP(H75,Transportation!$B$6:$L$16,11,FALSE))</f>
        <v xml:space="preserve"> </v>
      </c>
      <c r="M75" s="191" t="str">
        <f t="shared" si="12"/>
        <v xml:space="preserve"> </v>
      </c>
    </row>
    <row r="76" spans="1:13" x14ac:dyDescent="0.35">
      <c r="A76" s="7">
        <v>31</v>
      </c>
      <c r="B76" s="265"/>
      <c r="C76" s="67"/>
      <c r="D76" s="232" t="str">
        <f>IF(B76=0," ",VLOOKUP(B76,Supplies!$B$13:$C$97,2,FALSE))</f>
        <v xml:space="preserve"> </v>
      </c>
      <c r="E76" s="228" t="str">
        <f t="shared" si="11"/>
        <v xml:space="preserve"> </v>
      </c>
    </row>
    <row r="77" spans="1:13" ht="15" thickBot="1" x14ac:dyDescent="0.4">
      <c r="A77" s="7">
        <v>32</v>
      </c>
      <c r="B77" s="263"/>
      <c r="C77" s="65"/>
      <c r="D77" s="232" t="str">
        <f>IF(B77=0," ",VLOOKUP(B77,Supplies!$B$13:$C$97,2,FALSE))</f>
        <v xml:space="preserve"> </v>
      </c>
      <c r="E77" s="228" t="str">
        <f t="shared" si="11"/>
        <v xml:space="preserve"> </v>
      </c>
      <c r="H77" s="179" t="s">
        <v>201</v>
      </c>
    </row>
    <row r="78" spans="1:13" ht="15" thickTop="1" x14ac:dyDescent="0.35">
      <c r="A78" s="7">
        <v>33</v>
      </c>
      <c r="B78" s="263"/>
      <c r="C78" s="65"/>
      <c r="D78" s="232" t="str">
        <f>IF(B78=0," ",VLOOKUP(B78,Supplies!$B$13:$C$97,2,FALSE))</f>
        <v xml:space="preserve"> </v>
      </c>
      <c r="E78" s="228" t="str">
        <f t="shared" si="11"/>
        <v xml:space="preserve"> </v>
      </c>
      <c r="H78" s="763" t="s">
        <v>102</v>
      </c>
      <c r="I78" s="764"/>
      <c r="J78" s="758" t="s">
        <v>236</v>
      </c>
      <c r="K78" s="756" t="s">
        <v>84</v>
      </c>
      <c r="L78" s="756" t="s">
        <v>101</v>
      </c>
      <c r="M78" s="748" t="s">
        <v>235</v>
      </c>
    </row>
    <row r="79" spans="1:13" ht="16.5" customHeight="1" thickBot="1" x14ac:dyDescent="0.4">
      <c r="A79" s="7">
        <v>34</v>
      </c>
      <c r="B79" s="263"/>
      <c r="C79" s="65"/>
      <c r="D79" s="232" t="str">
        <f>IF(B79=0," ",VLOOKUP(B79,Supplies!$B$13:$C$97,2,FALSE))</f>
        <v xml:space="preserve"> </v>
      </c>
      <c r="E79" s="228" t="str">
        <f t="shared" si="11"/>
        <v xml:space="preserve"> </v>
      </c>
      <c r="H79" s="765"/>
      <c r="I79" s="766"/>
      <c r="J79" s="757"/>
      <c r="K79" s="757"/>
      <c r="L79" s="757"/>
      <c r="M79" s="749"/>
    </row>
    <row r="80" spans="1:13" ht="15" thickBot="1" x14ac:dyDescent="0.4">
      <c r="A80" s="7">
        <v>35</v>
      </c>
      <c r="B80" s="264"/>
      <c r="C80" s="39"/>
      <c r="D80" s="233" t="str">
        <f>IF(B80=0," ",VLOOKUP(B80,Supplies!$B$13:$C$97,2,FALSE))</f>
        <v xml:space="preserve"> </v>
      </c>
      <c r="E80" s="229" t="str">
        <f t="shared" si="11"/>
        <v xml:space="preserve"> </v>
      </c>
      <c r="G80">
        <v>1</v>
      </c>
      <c r="H80" s="750"/>
      <c r="I80" s="751"/>
      <c r="J80" s="210"/>
      <c r="K80" s="602" t="str">
        <f>IF($H80=0," ",VLOOKUP($H80,Subcontractors!$B$15:$E$25,2,FALSE))</f>
        <v xml:space="preserve"> </v>
      </c>
      <c r="L80" s="211" t="str">
        <f>IF($H80=0," ",VLOOKUP($H80,Subcontractors!$B$15:$E$25,4,FALSE))</f>
        <v xml:space="preserve"> </v>
      </c>
      <c r="M80" s="216" t="str">
        <f>IF(H80=0," ",J80*L80)</f>
        <v xml:space="preserve"> </v>
      </c>
    </row>
    <row r="81" spans="1:13" x14ac:dyDescent="0.35">
      <c r="A81" s="7">
        <v>36</v>
      </c>
      <c r="B81" s="265"/>
      <c r="C81" s="40"/>
      <c r="D81" s="232" t="str">
        <f>IF(B81=0," ",VLOOKUP(B81,Supplies!$B$13:$C$97,2,FALSE))</f>
        <v xml:space="preserve"> </v>
      </c>
      <c r="E81" s="228" t="str">
        <f t="shared" si="11"/>
        <v xml:space="preserve"> </v>
      </c>
      <c r="G81">
        <v>2</v>
      </c>
      <c r="H81" s="752"/>
      <c r="I81" s="753"/>
      <c r="J81" s="212"/>
      <c r="K81" s="603" t="str">
        <f>IF($H81=0," ",VLOOKUP($H81,Subcontractors!$B$15:$E$25,2,FALSE))</f>
        <v xml:space="preserve"> </v>
      </c>
      <c r="L81" s="213" t="str">
        <f>IF($H81=0," ",VLOOKUP($H81,Subcontractors!$B$15:$E$25,4,FALSE))</f>
        <v xml:space="preserve"> </v>
      </c>
      <c r="M81" s="217" t="str">
        <f>IF(H81=0," ",J81*L81)</f>
        <v xml:space="preserve"> </v>
      </c>
    </row>
    <row r="82" spans="1:13" x14ac:dyDescent="0.35">
      <c r="A82" s="7">
        <v>37</v>
      </c>
      <c r="B82" s="263"/>
      <c r="C82" s="38"/>
      <c r="D82" s="232" t="str">
        <f>IF(B82=0," ",VLOOKUP(B82,Supplies!$B$13:$C$97,2,FALSE))</f>
        <v xml:space="preserve"> </v>
      </c>
      <c r="E82" s="228" t="str">
        <f t="shared" si="11"/>
        <v xml:space="preserve"> </v>
      </c>
      <c r="G82">
        <v>3</v>
      </c>
      <c r="H82" s="752"/>
      <c r="I82" s="753"/>
      <c r="J82" s="212"/>
      <c r="K82" s="603" t="str">
        <f>IF($H82=0," ",VLOOKUP($H82,Subcontractors!$B$15:$E$25,2,FALSE))</f>
        <v xml:space="preserve"> </v>
      </c>
      <c r="L82" s="213" t="str">
        <f>IF($H82=0," ",VLOOKUP($H82,Subcontractors!$B$15:$E$25,4,FALSE))</f>
        <v xml:space="preserve"> </v>
      </c>
      <c r="M82" s="217" t="str">
        <f>IF(H82=0," ",J82*L82)</f>
        <v xml:space="preserve"> </v>
      </c>
    </row>
    <row r="83" spans="1:13" ht="15" thickBot="1" x14ac:dyDescent="0.4">
      <c r="A83" s="7">
        <v>38</v>
      </c>
      <c r="B83" s="263"/>
      <c r="C83" s="38"/>
      <c r="D83" s="232" t="str">
        <f>IF(B83=0," ",VLOOKUP(B83,Supplies!$B$13:$C$97,2,FALSE))</f>
        <v xml:space="preserve"> </v>
      </c>
      <c r="E83" s="228" t="str">
        <f t="shared" si="11"/>
        <v xml:space="preserve"> </v>
      </c>
      <c r="G83">
        <v>4</v>
      </c>
      <c r="H83" s="754"/>
      <c r="I83" s="755"/>
      <c r="J83" s="214"/>
      <c r="K83" s="604" t="str">
        <f>IF($H83=0," ",VLOOKUP($H83,Subcontractors!$B$15:$E$25,2,FALSE))</f>
        <v xml:space="preserve"> </v>
      </c>
      <c r="L83" s="215" t="str">
        <f>IF($H83=0," ",VLOOKUP($H83,Subcontractors!$B$15:$E$25,4,FALSE))</f>
        <v xml:space="preserve"> </v>
      </c>
      <c r="M83" s="218" t="str">
        <f>IF(H83=0," ",J83*L83)</f>
        <v xml:space="preserve"> </v>
      </c>
    </row>
    <row r="84" spans="1:13" ht="15" thickTop="1" x14ac:dyDescent="0.35">
      <c r="A84" s="7">
        <v>39</v>
      </c>
      <c r="B84" s="263"/>
      <c r="C84" s="38"/>
      <c r="D84" s="232" t="str">
        <f>IF(B84=0," ",VLOOKUP(B84,Supplies!$B$13:$C$97,2,FALSE))</f>
        <v xml:space="preserve"> </v>
      </c>
      <c r="E84" s="228" t="str">
        <f t="shared" si="11"/>
        <v xml:space="preserve"> </v>
      </c>
    </row>
    <row r="85" spans="1:13" ht="15" thickBot="1" x14ac:dyDescent="0.4">
      <c r="A85" s="7">
        <v>40</v>
      </c>
      <c r="B85" s="266"/>
      <c r="C85" s="195"/>
      <c r="D85" s="234" t="str">
        <f>IF(B85=0," ",VLOOKUP(B85,Supplies!$B$13:$C$97,2,FALSE))</f>
        <v xml:space="preserve"> </v>
      </c>
      <c r="E85" s="230" t="str">
        <f t="shared" si="11"/>
        <v xml:space="preserve"> </v>
      </c>
    </row>
    <row r="86" spans="1:13" ht="15" thickTop="1" x14ac:dyDescent="0.35"/>
    <row r="90" spans="1:13" x14ac:dyDescent="0.35">
      <c r="K90" s="20"/>
    </row>
    <row r="91" spans="1:13" x14ac:dyDescent="0.35">
      <c r="H91" s="52"/>
    </row>
  </sheetData>
  <mergeCells count="77">
    <mergeCell ref="E12:G12"/>
    <mergeCell ref="E13:G13"/>
    <mergeCell ref="E16:G16"/>
    <mergeCell ref="C12:D12"/>
    <mergeCell ref="C14:D14"/>
    <mergeCell ref="C16:D16"/>
    <mergeCell ref="C15:D15"/>
    <mergeCell ref="C3:F3"/>
    <mergeCell ref="C5:F5"/>
    <mergeCell ref="C7:F7"/>
    <mergeCell ref="E10:G10"/>
    <mergeCell ref="E11:G11"/>
    <mergeCell ref="B1:M1"/>
    <mergeCell ref="F32:G32"/>
    <mergeCell ref="F33:G33"/>
    <mergeCell ref="F34:G34"/>
    <mergeCell ref="H68:I68"/>
    <mergeCell ref="F30:G30"/>
    <mergeCell ref="F31:G31"/>
    <mergeCell ref="F40:G40"/>
    <mergeCell ref="F41:G41"/>
    <mergeCell ref="F35:G35"/>
    <mergeCell ref="F36:G36"/>
    <mergeCell ref="F37:G37"/>
    <mergeCell ref="F38:G38"/>
    <mergeCell ref="F39:G39"/>
    <mergeCell ref="F26:G26"/>
    <mergeCell ref="F27:G27"/>
    <mergeCell ref="E14:G14"/>
    <mergeCell ref="H69:I69"/>
    <mergeCell ref="F28:G28"/>
    <mergeCell ref="F29:G29"/>
    <mergeCell ref="F25:G25"/>
    <mergeCell ref="F20:G20"/>
    <mergeCell ref="F21:G21"/>
    <mergeCell ref="F22:G22"/>
    <mergeCell ref="F23:G23"/>
    <mergeCell ref="F24:G24"/>
    <mergeCell ref="H44:I44"/>
    <mergeCell ref="H45:I45"/>
    <mergeCell ref="H46:I46"/>
    <mergeCell ref="H47:I47"/>
    <mergeCell ref="H48:I48"/>
    <mergeCell ref="H50:I50"/>
    <mergeCell ref="H51:I51"/>
    <mergeCell ref="H52:I52"/>
    <mergeCell ref="H53:I53"/>
    <mergeCell ref="E17:G17"/>
    <mergeCell ref="H83:I83"/>
    <mergeCell ref="L78:L79"/>
    <mergeCell ref="J78:J79"/>
    <mergeCell ref="K78:K79"/>
    <mergeCell ref="H64:I64"/>
    <mergeCell ref="H65:I65"/>
    <mergeCell ref="H78:I79"/>
    <mergeCell ref="H70:I70"/>
    <mergeCell ref="H71:I71"/>
    <mergeCell ref="H74:I74"/>
    <mergeCell ref="H75:I75"/>
    <mergeCell ref="H72:I72"/>
    <mergeCell ref="H73:I73"/>
    <mergeCell ref="F18:G18"/>
    <mergeCell ref="M78:M79"/>
    <mergeCell ref="H80:I80"/>
    <mergeCell ref="H81:I81"/>
    <mergeCell ref="H82:I82"/>
    <mergeCell ref="H59:I59"/>
    <mergeCell ref="H60:I60"/>
    <mergeCell ref="H61:I61"/>
    <mergeCell ref="H62:I62"/>
    <mergeCell ref="H63:I63"/>
    <mergeCell ref="H54:I54"/>
    <mergeCell ref="H55:I55"/>
    <mergeCell ref="H56:I56"/>
    <mergeCell ref="H57:I57"/>
    <mergeCell ref="H58:I58"/>
    <mergeCell ref="H49:I49"/>
  </mergeCells>
  <conditionalFormatting sqref="B22:D41 H46:H65 J46:K65 B46:C85 H70:K75 H80:H83 J80:J83">
    <cfRule type="cellIs" dxfId="70" priority="3" operator="greaterThan">
      <formula>0</formula>
    </cfRule>
  </conditionalFormatting>
  <conditionalFormatting sqref="C22">
    <cfRule type="cellIs" priority="1" operator="greaterThan">
      <formula>0</formula>
    </cfRule>
  </conditionalFormatting>
  <hyperlinks>
    <hyperlink ref="K3" location="'kt info'!C3" display="Contract Information" xr:uid="{DF3835A9-1484-4E9E-B16A-C5A5FA150869}"/>
    <hyperlink ref="K4" location="'Overhead &amp; Margin'!D10" display="Overhead &amp; Margin" xr:uid="{0057A7F4-19CD-48E3-9FD6-5438B87E8A3E}"/>
    <hyperlink ref="K10" location="'Monthly Janitorial'!B21" display="Monthly Janitorial" xr:uid="{EB9A0B9F-2198-4978-8EAD-DF4FA143F5D8}"/>
    <hyperlink ref="K11" location="Periodics!B22" display="Periodical Services(Carpets, Hard Floors, Windows, Blinds, other periodical services" xr:uid="{90BECC0B-58E3-45C2-9972-4A0714880D52}"/>
    <hyperlink ref="K12" location="'Except,Emer&amp;Day Porter'!H4" display="Exceptional, Emergency and Day Porter Services" xr:uid="{51B59912-60FC-46A4-9828-2A926F23215B}"/>
    <hyperlink ref="K6" location="Supplies!B13" display="Supplies" xr:uid="{08581732-4B96-4F14-9AB6-490BBEDFD9E4}"/>
    <hyperlink ref="K7" location="'Equipment List'!B12" display="Equipment" xr:uid="{A55CDA1B-C5F2-45D1-9306-7D3791022651}"/>
    <hyperlink ref="K14" location="'Price Approval'!A1" display="Price Approval" xr:uid="{434AD4A8-E2FC-460E-8C61-84369DA77D2E}"/>
    <hyperlink ref="K8" location="Subcontractors!B15" display="Subcontractors" xr:uid="{050EE8AC-4C14-4F6F-9939-E12E112672F4}"/>
    <hyperlink ref="K5" location="'Pay &amp; Benefits'!C10" display="Wages and Benefits (includes Unemployment and Worker's Compensation" xr:uid="{3530BA57-2661-4425-B10C-8645A85DCBD7}"/>
    <hyperlink ref="K9" location="Transportation!B6" display="Transportation" xr:uid="{C0E1DE53-609D-4791-B135-BF0CD7F64CC0}"/>
    <hyperlink ref="K13" location="'Summary-pricing'!A1" display="Summary-Pricing" xr:uid="{B3AF2764-0CEF-407B-A26E-3ECA112D59D2}"/>
  </hyperlinks>
  <pageMargins left="0.25" right="0.25" top="0.75" bottom="0.75" header="0.3" footer="0.3"/>
  <pageSetup scale="60" orientation="portrait" r:id="rId1"/>
  <headerFooter>
    <oddHeader>&amp;C&amp;"Arial Black,Regular"&amp;A</oddHeader>
  </headerFooter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9B4B2D87-584C-4BB9-8CB0-84A6D07CB535}">
          <x14:formula1>
            <xm:f>Transportation!$B$6:$B$16</xm:f>
          </x14:formula1>
          <xm:sqref>H70:H75</xm:sqref>
        </x14:dataValidation>
        <x14:dataValidation type="list" allowBlank="1" showInputMessage="1" showErrorMessage="1" xr:uid="{05CDEA95-365A-443C-BEA7-69B0B834F57B}">
          <x14:formula1>
            <xm:f>Supplies!$B$13:$B$97</xm:f>
          </x14:formula1>
          <xm:sqref>B46:B85</xm:sqref>
        </x14:dataValidation>
        <x14:dataValidation type="list" allowBlank="1" showInputMessage="1" showErrorMessage="1" xr:uid="{372AAF7E-4B18-4E35-BBC8-AA6F1F9677FD}">
          <x14:formula1>
            <xm:f>'Equipment List'!$B$12:$B$96</xm:f>
          </x14:formula1>
          <xm:sqref>H46:H65</xm:sqref>
        </x14:dataValidation>
        <x14:dataValidation type="list" allowBlank="1" showInputMessage="1" showErrorMessage="1" xr:uid="{B3C20995-09CD-4BCC-9E18-4EE2A13C104C}">
          <x14:formula1>
            <xm:f>Subcontractors!$B$15:$B$25</xm:f>
          </x14:formula1>
          <xm:sqref>H80:H83</xm:sqref>
        </x14:dataValidation>
        <x14:dataValidation type="list" allowBlank="1" showInputMessage="1" showErrorMessage="1" xr:uid="{C14B1A27-08F1-4893-B5D6-311CD41AE8B0}">
          <x14:formula1>
            <xm:f>'Pay &amp; Benefits'!$B$64:$B$78</xm:f>
          </x14:formula1>
          <xm:sqref>B22:B41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15A8F0-A355-4A46-89C6-68B7F47D9632}">
  <dimension ref="A1:T988"/>
  <sheetViews>
    <sheetView showGridLines="0" showZeros="0" zoomScaleNormal="100" workbookViewId="0">
      <selection activeCell="B22" sqref="B22"/>
    </sheetView>
  </sheetViews>
  <sheetFormatPr defaultColWidth="9.1796875" defaultRowHeight="14.5" x14ac:dyDescent="0.35"/>
  <cols>
    <col min="1" max="1" width="4.453125" style="222" customWidth="1"/>
    <col min="2" max="2" width="30.453125" style="222" customWidth="1"/>
    <col min="3" max="3" width="10" style="335" customWidth="1"/>
    <col min="4" max="4" width="12.1796875" style="222" customWidth="1"/>
    <col min="5" max="5" width="12.453125" style="222" customWidth="1"/>
    <col min="6" max="6" width="8.54296875" style="222" customWidth="1"/>
    <col min="7" max="7" width="4.1796875" style="222" customWidth="1"/>
    <col min="8" max="8" width="17.453125" style="334" customWidth="1"/>
    <col min="9" max="9" width="17.81640625" style="222" bestFit="1" customWidth="1"/>
    <col min="10" max="10" width="14.54296875" style="222" customWidth="1"/>
    <col min="11" max="11" width="17" style="222" customWidth="1"/>
    <col min="12" max="12" width="14.54296875" style="222" customWidth="1"/>
    <col min="13" max="13" width="14.453125" style="222" customWidth="1"/>
    <col min="14" max="14" width="12.54296875" style="222" bestFit="1" customWidth="1"/>
    <col min="15" max="16384" width="9.1796875" style="222"/>
  </cols>
  <sheetData>
    <row r="1" spans="1:20" ht="33" customHeight="1" x14ac:dyDescent="0.25">
      <c r="A1" s="610"/>
      <c r="B1" s="707" t="s">
        <v>172</v>
      </c>
      <c r="C1" s="707"/>
      <c r="D1" s="707"/>
      <c r="E1" s="707"/>
      <c r="F1" s="707"/>
      <c r="G1" s="707"/>
      <c r="H1" s="707"/>
      <c r="I1" s="707"/>
      <c r="J1" s="707"/>
      <c r="K1" s="707"/>
      <c r="L1" s="707"/>
      <c r="M1" s="707"/>
    </row>
    <row r="2" spans="1:20" ht="18.5" x14ac:dyDescent="0.35">
      <c r="A2" s="818" t="s">
        <v>193</v>
      </c>
      <c r="B2" s="828"/>
      <c r="C2" s="828"/>
      <c r="D2" s="828"/>
      <c r="E2" s="828"/>
      <c r="F2" s="828"/>
      <c r="G2" s="150" t="str">
        <f>B10</f>
        <v>All Carpets</v>
      </c>
      <c r="H2" s="301"/>
      <c r="I2" s="150"/>
      <c r="J2" s="150"/>
      <c r="K2" s="150"/>
      <c r="L2" s="150"/>
      <c r="M2" s="150"/>
      <c r="N2" s="150"/>
    </row>
    <row r="4" spans="1:20" x14ac:dyDescent="0.35">
      <c r="B4" s="222" t="s">
        <v>109</v>
      </c>
      <c r="C4" s="735">
        <f>'kt info'!$C$3</f>
        <v>0</v>
      </c>
      <c r="D4" s="735"/>
      <c r="E4" s="736"/>
      <c r="F4" s="737"/>
      <c r="H4" s="333"/>
      <c r="J4" s="811" t="s">
        <v>170</v>
      </c>
      <c r="K4" s="811"/>
      <c r="L4" s="811"/>
      <c r="M4" s="811"/>
      <c r="O4" s="812" t="s">
        <v>133</v>
      </c>
      <c r="P4" s="708"/>
      <c r="Q4" s="708"/>
      <c r="R4" s="708"/>
      <c r="S4" s="708"/>
      <c r="T4" s="708"/>
    </row>
    <row r="5" spans="1:20" x14ac:dyDescent="0.35">
      <c r="C5" s="300"/>
      <c r="D5" s="100"/>
      <c r="E5" s="100"/>
      <c r="F5" s="100"/>
      <c r="I5" s="329"/>
      <c r="J5" s="329" t="str">
        <f>$B$10</f>
        <v>All Carpets</v>
      </c>
      <c r="L5" s="336" t="str">
        <f>$B$415</f>
        <v>Enter Periodical Service 1</v>
      </c>
      <c r="O5" s="329" t="s">
        <v>134</v>
      </c>
    </row>
    <row r="6" spans="1:20" x14ac:dyDescent="0.35">
      <c r="B6" s="222" t="s">
        <v>110</v>
      </c>
      <c r="C6" s="735">
        <f>'kt info'!$C$5</f>
        <v>0</v>
      </c>
      <c r="D6" s="735"/>
      <c r="E6" s="737"/>
      <c r="F6" s="737"/>
      <c r="J6" s="329" t="str">
        <f>$B$67</f>
        <v>High Traffic Carpet</v>
      </c>
      <c r="L6" s="336" t="str">
        <f>$B$473</f>
        <v>Enter Periodical Service 2</v>
      </c>
      <c r="O6" s="329" t="s">
        <v>259</v>
      </c>
    </row>
    <row r="7" spans="1:20" x14ac:dyDescent="0.35">
      <c r="C7" s="300"/>
      <c r="D7" s="100"/>
      <c r="E7" s="100"/>
      <c r="F7" s="100"/>
      <c r="J7" s="329" t="str">
        <f>$B$125</f>
        <v>Hard Floor Strip and Wax</v>
      </c>
      <c r="L7" s="336" t="str">
        <f>$B$531</f>
        <v>Enter Periodical Service 3</v>
      </c>
      <c r="O7" s="329" t="s">
        <v>260</v>
      </c>
    </row>
    <row r="8" spans="1:20" x14ac:dyDescent="0.35">
      <c r="B8" s="222" t="s">
        <v>135</v>
      </c>
      <c r="C8" s="735">
        <f>'kt info'!$C$7</f>
        <v>0</v>
      </c>
      <c r="D8" s="735"/>
      <c r="E8" s="737"/>
      <c r="F8" s="737"/>
      <c r="J8" s="329" t="str">
        <f>$B$183</f>
        <v>Hard Floor Scrub and Seal</v>
      </c>
      <c r="L8" s="336" t="str">
        <f>$B$589</f>
        <v>Enter Periodical Service 4</v>
      </c>
      <c r="O8" s="329" t="s">
        <v>80</v>
      </c>
    </row>
    <row r="9" spans="1:20" s="337" customFormat="1" x14ac:dyDescent="0.35">
      <c r="A9" s="222"/>
      <c r="B9" s="222"/>
      <c r="C9" s="335"/>
      <c r="D9" s="222"/>
      <c r="E9" s="222"/>
      <c r="F9" s="222"/>
      <c r="G9" s="222"/>
      <c r="H9" s="334"/>
      <c r="I9" s="222"/>
      <c r="J9" s="336" t="str">
        <f>$B$241</f>
        <v>Window Washing</v>
      </c>
      <c r="K9" s="222"/>
      <c r="L9" s="336" t="str">
        <f>$B$647</f>
        <v>Enter Periodical Service 5</v>
      </c>
      <c r="M9" s="222"/>
      <c r="N9" s="222"/>
      <c r="O9" s="329" t="s">
        <v>15</v>
      </c>
      <c r="P9" s="222"/>
    </row>
    <row r="10" spans="1:20" ht="18.5" x14ac:dyDescent="0.35">
      <c r="A10" s="337"/>
      <c r="B10" s="338" t="str">
        <f>'kt info'!B25</f>
        <v>All Carpets</v>
      </c>
      <c r="C10" s="339"/>
      <c r="D10" s="337"/>
      <c r="E10" s="337"/>
      <c r="F10" s="337"/>
      <c r="G10" s="337"/>
      <c r="H10" s="302" t="s">
        <v>77</v>
      </c>
      <c r="I10" s="236" t="s">
        <v>238</v>
      </c>
      <c r="J10" s="336" t="str">
        <f>$B$299</f>
        <v>Clean Chairs</v>
      </c>
      <c r="L10" s="336" t="str">
        <f>$B$705</f>
        <v>Enter Periodical Service 6</v>
      </c>
      <c r="M10" s="337"/>
      <c r="O10" s="329" t="s">
        <v>201</v>
      </c>
      <c r="P10" s="337"/>
    </row>
    <row r="11" spans="1:20" x14ac:dyDescent="0.35">
      <c r="E11" s="830" t="s">
        <v>79</v>
      </c>
      <c r="F11" s="831"/>
      <c r="G11" s="832"/>
      <c r="H11" s="341">
        <f>IF(SUM(M22:M31)&gt;0,SUM(M22:M31)/'kt info'!$G$25,0)</f>
        <v>0</v>
      </c>
      <c r="I11" s="342">
        <f>H11*'kt info'!$G$25</f>
        <v>0</v>
      </c>
      <c r="J11" s="336" t="str">
        <f>$B$357</f>
        <v>High Dusting</v>
      </c>
      <c r="L11" s="336" t="str">
        <f>$B$763</f>
        <v>Enter Periodical Service 7</v>
      </c>
      <c r="O11" s="329" t="s">
        <v>89</v>
      </c>
    </row>
    <row r="12" spans="1:20" x14ac:dyDescent="0.35">
      <c r="B12" s="343" t="s">
        <v>78</v>
      </c>
      <c r="E12" s="830" t="s">
        <v>189</v>
      </c>
      <c r="F12" s="831"/>
      <c r="G12" s="832"/>
      <c r="H12" s="344">
        <f>IF(SUM(K22:K31)&gt;0,SUM(K22:K31),0)</f>
        <v>0</v>
      </c>
      <c r="I12" s="345">
        <f>H12*'kt info'!$G$25</f>
        <v>0</v>
      </c>
      <c r="J12" s="336"/>
      <c r="L12" s="336" t="str">
        <f>$B$821</f>
        <v>Enter Periodical Service 8</v>
      </c>
      <c r="O12" s="329" t="s">
        <v>2</v>
      </c>
    </row>
    <row r="13" spans="1:20" x14ac:dyDescent="0.35">
      <c r="B13" s="177" t="s">
        <v>96</v>
      </c>
      <c r="C13" s="346">
        <f>'kt info'!E25</f>
        <v>0</v>
      </c>
      <c r="E13" s="830" t="s">
        <v>80</v>
      </c>
      <c r="F13" s="831"/>
      <c r="G13" s="832"/>
      <c r="H13" s="344">
        <f>IF(SUM(E36:E55)&gt;0,SUM(E36:E55),0)</f>
        <v>0</v>
      </c>
      <c r="I13" s="345">
        <f>H13*'kt info'!$G$25</f>
        <v>0</v>
      </c>
      <c r="J13" s="336"/>
      <c r="L13" s="336" t="str">
        <f>$B$879</f>
        <v>Enter Periodical Service 9</v>
      </c>
      <c r="O13" s="329" t="s">
        <v>230</v>
      </c>
    </row>
    <row r="14" spans="1:20" x14ac:dyDescent="0.35">
      <c r="E14" s="830" t="s">
        <v>81</v>
      </c>
      <c r="F14" s="831"/>
      <c r="G14" s="832"/>
      <c r="H14" s="344">
        <f>IF(SUM(L36:L45)&gt;0,SUM(L36:L45),0)</f>
        <v>0</v>
      </c>
      <c r="I14" s="345">
        <f>H14*'kt info'!$G$25</f>
        <v>0</v>
      </c>
      <c r="J14" s="336"/>
      <c r="L14" s="336" t="str">
        <f>$B$937</f>
        <v>Enter Periodical Service 10</v>
      </c>
      <c r="O14" s="329" t="s">
        <v>231</v>
      </c>
    </row>
    <row r="15" spans="1:20" x14ac:dyDescent="0.35">
      <c r="B15" s="177" t="s">
        <v>98</v>
      </c>
      <c r="C15" s="347">
        <f>ROUND(IF(SUM(H12:H18)&gt;0,SUM(H12:H18),0),0)</f>
        <v>0</v>
      </c>
      <c r="E15" s="830" t="s">
        <v>89</v>
      </c>
      <c r="F15" s="831"/>
      <c r="G15" s="832"/>
      <c r="H15" s="344">
        <f>IF(SUM(J50:J54)&gt;0,SUM(L50:L54),0)</f>
        <v>0</v>
      </c>
      <c r="I15" s="345">
        <f>H15*'kt info'!$G$25</f>
        <v>0</v>
      </c>
      <c r="J15" s="329"/>
      <c r="K15" s="336"/>
      <c r="O15" s="329" t="s">
        <v>261</v>
      </c>
    </row>
    <row r="16" spans="1:20" x14ac:dyDescent="0.35">
      <c r="E16" s="830" t="s">
        <v>201</v>
      </c>
      <c r="F16" s="831"/>
      <c r="G16" s="832"/>
      <c r="H16" s="344">
        <f>IF(SUM(I55:I56)=0,0,SUM(I55:I56))</f>
        <v>0</v>
      </c>
      <c r="I16" s="345">
        <f>H16*'kt info'!$G$25</f>
        <v>0</v>
      </c>
      <c r="K16" s="336"/>
      <c r="O16" s="329" t="s">
        <v>232</v>
      </c>
    </row>
    <row r="17" spans="1:18" x14ac:dyDescent="0.35">
      <c r="B17" s="177" t="s">
        <v>97</v>
      </c>
      <c r="C17" s="347">
        <f>IF(C13&gt;0,C15/C13,0)</f>
        <v>0</v>
      </c>
      <c r="E17" s="830" t="s">
        <v>87</v>
      </c>
      <c r="F17" s="831"/>
      <c r="G17" s="832"/>
      <c r="H17" s="344">
        <f>IF('Overhead &amp; Margin'!$D$10&gt;0,((H12+H13+H14+H15+H16)*'Overhead &amp; Margin'!$D$10/(1-('Overhead &amp; Margin'!$D$10+'Overhead &amp; Margin'!$G$10))),0)</f>
        <v>0</v>
      </c>
      <c r="I17" s="345">
        <f>H17*'kt info'!$G$25</f>
        <v>0</v>
      </c>
      <c r="K17" s="336"/>
    </row>
    <row r="18" spans="1:18" x14ac:dyDescent="0.35">
      <c r="G18" s="178" t="s">
        <v>88</v>
      </c>
      <c r="H18" s="344">
        <f>IF('Overhead &amp; Margin'!$G$10=0,0,'Overhead &amp; Margin'!$G$10*(H12+H13+H14+H15+H16)/(1-('Overhead &amp; Margin'!$D$10+'Overhead &amp; Margin'!$G$10)))</f>
        <v>0</v>
      </c>
      <c r="I18" s="345">
        <f>H18*'kt info'!$G$25</f>
        <v>0</v>
      </c>
      <c r="M18" s="605" t="str">
        <f>'kt info'!$B$12</f>
        <v>Form date: 10/24/25</v>
      </c>
    </row>
    <row r="19" spans="1:18" ht="15" thickBot="1" x14ac:dyDescent="0.4">
      <c r="B19" s="348" t="s">
        <v>104</v>
      </c>
    </row>
    <row r="20" spans="1:18" x14ac:dyDescent="0.35">
      <c r="B20" s="84" t="s">
        <v>18</v>
      </c>
      <c r="C20" s="349" t="s">
        <v>19</v>
      </c>
      <c r="D20" s="350" t="s">
        <v>25</v>
      </c>
      <c r="E20" s="350" t="s">
        <v>20</v>
      </c>
      <c r="F20" s="826" t="s">
        <v>22</v>
      </c>
      <c r="G20" s="826"/>
      <c r="H20" s="351" t="s">
        <v>23</v>
      </c>
      <c r="I20" s="350" t="s">
        <v>21</v>
      </c>
      <c r="J20" s="350" t="s">
        <v>24</v>
      </c>
      <c r="K20" s="350" t="s">
        <v>77</v>
      </c>
      <c r="L20" s="352" t="s">
        <v>26</v>
      </c>
      <c r="M20" s="4" t="s">
        <v>27</v>
      </c>
      <c r="N20" s="4" t="s">
        <v>0</v>
      </c>
    </row>
    <row r="21" spans="1:18" ht="15" thickBot="1" x14ac:dyDescent="0.4">
      <c r="B21" s="22" t="s">
        <v>306</v>
      </c>
      <c r="C21" s="353" t="s">
        <v>28</v>
      </c>
      <c r="D21" s="354" t="s">
        <v>33</v>
      </c>
      <c r="E21" s="354" t="s">
        <v>29</v>
      </c>
      <c r="F21" s="827" t="s">
        <v>30</v>
      </c>
      <c r="G21" s="827"/>
      <c r="H21" s="355" t="s">
        <v>31</v>
      </c>
      <c r="I21" s="354"/>
      <c r="J21" s="354" t="s">
        <v>38</v>
      </c>
      <c r="K21" s="354" t="s">
        <v>189</v>
      </c>
      <c r="L21" s="356" t="s">
        <v>0</v>
      </c>
      <c r="M21" s="5" t="s">
        <v>0</v>
      </c>
      <c r="N21" s="5" t="s">
        <v>77</v>
      </c>
    </row>
    <row r="22" spans="1:18" x14ac:dyDescent="0.35">
      <c r="A22" s="100">
        <v>1</v>
      </c>
      <c r="B22" s="357"/>
      <c r="C22" s="358"/>
      <c r="D22" s="359" t="str">
        <f>IF(B22=0," ",'kt info'!$G$25)</f>
        <v xml:space="preserve"> </v>
      </c>
      <c r="E22" s="360" t="str">
        <f>IF(B22=0," ",VLOOKUP(B22,WageBeneTable5[#All],2,FALSE))</f>
        <v xml:space="preserve"> </v>
      </c>
      <c r="F22" s="820">
        <f>IF($E22=" ",0,'Pay &amp; Benefits'!$C$10)</f>
        <v>0</v>
      </c>
      <c r="G22" s="821"/>
      <c r="H22" s="361" t="str">
        <f>IF($E22=" "," ",'Pay &amp; Benefits'!$C$11)</f>
        <v xml:space="preserve"> </v>
      </c>
      <c r="I22" s="362" t="str">
        <f t="shared" ref="I22:I31" si="0">IF(E22=" "," ",0.0765)</f>
        <v xml:space="preserve"> </v>
      </c>
      <c r="J22" s="363" t="str">
        <f>IF(B22=0," ",VLOOKUP(B22,WageBeneTable5[#All],3,FALSE))</f>
        <v xml:space="preserve"> </v>
      </c>
      <c r="K22" s="360" t="str">
        <f t="shared" ref="K22:K31" si="1">IF(B22=0," ",C22*E22*(1+I22+F22+H22+J22))</f>
        <v xml:space="preserve"> </v>
      </c>
      <c r="L22" s="360">
        <f t="shared" ref="L22:L31" si="2">IF(K22=" ",0,K22*D22)</f>
        <v>0</v>
      </c>
      <c r="M22" s="364">
        <f t="shared" ref="M22:M31" si="3">IF(B22=0,0,C22*D22)</f>
        <v>0</v>
      </c>
      <c r="N22" s="365">
        <f t="shared" ref="N22:N31" si="4">IF(L22=0,0,IF(D22=0,0,L22/D22))</f>
        <v>0</v>
      </c>
    </row>
    <row r="23" spans="1:18" x14ac:dyDescent="0.35">
      <c r="A23" s="100">
        <v>2</v>
      </c>
      <c r="B23" s="366"/>
      <c r="C23" s="367"/>
      <c r="D23" s="359" t="str">
        <f>IF(B23=0," ",'kt info'!$G$25)</f>
        <v xml:space="preserve"> </v>
      </c>
      <c r="E23" s="368" t="str">
        <f>IF(B23=0," ",VLOOKUP(B23,WageBeneTable5[#All],2,FALSE))</f>
        <v xml:space="preserve"> </v>
      </c>
      <c r="F23" s="822">
        <f>IF($E23=" ",0,'Pay &amp; Benefits'!$C$10)</f>
        <v>0</v>
      </c>
      <c r="G23" s="823"/>
      <c r="H23" s="369" t="str">
        <f>IF($E23=" "," ",'Pay &amp; Benefits'!$C$11)</f>
        <v xml:space="preserve"> </v>
      </c>
      <c r="I23" s="370" t="str">
        <f t="shared" si="0"/>
        <v xml:space="preserve"> </v>
      </c>
      <c r="J23" s="371" t="str">
        <f>IF(B23=0," ",VLOOKUP(B23,WageBeneTable5[#All],3,FALSE))</f>
        <v xml:space="preserve"> </v>
      </c>
      <c r="K23" s="368" t="str">
        <f t="shared" si="1"/>
        <v xml:space="preserve"> </v>
      </c>
      <c r="L23" s="368">
        <f t="shared" si="2"/>
        <v>0</v>
      </c>
      <c r="M23" s="372">
        <f t="shared" si="3"/>
        <v>0</v>
      </c>
      <c r="N23" s="373">
        <f t="shared" si="4"/>
        <v>0</v>
      </c>
    </row>
    <row r="24" spans="1:18" x14ac:dyDescent="0.35">
      <c r="A24" s="100">
        <v>3</v>
      </c>
      <c r="B24" s="366"/>
      <c r="C24" s="367"/>
      <c r="D24" s="359" t="str">
        <f>IF(B24=0," ",'kt info'!$G$25)</f>
        <v xml:space="preserve"> </v>
      </c>
      <c r="E24" s="368" t="str">
        <f>IF(B24=0," ",VLOOKUP(B24,WageBeneTable5[#All],2,FALSE))</f>
        <v xml:space="preserve"> </v>
      </c>
      <c r="F24" s="822">
        <f>IF($E24=" ",0,'Pay &amp; Benefits'!$C$10)</f>
        <v>0</v>
      </c>
      <c r="G24" s="823"/>
      <c r="H24" s="369" t="str">
        <f>IF($E24=" "," ",'Pay &amp; Benefits'!$C$11)</f>
        <v xml:space="preserve"> </v>
      </c>
      <c r="I24" s="370" t="str">
        <f t="shared" si="0"/>
        <v xml:space="preserve"> </v>
      </c>
      <c r="J24" s="371" t="str">
        <f>IF(B24=0," ",VLOOKUP(B24,WageBeneTable5[#All],3,FALSE))</f>
        <v xml:space="preserve"> </v>
      </c>
      <c r="K24" s="368" t="str">
        <f t="shared" si="1"/>
        <v xml:space="preserve"> </v>
      </c>
      <c r="L24" s="368">
        <f t="shared" si="2"/>
        <v>0</v>
      </c>
      <c r="M24" s="372">
        <f t="shared" si="3"/>
        <v>0</v>
      </c>
      <c r="N24" s="373">
        <f t="shared" si="4"/>
        <v>0</v>
      </c>
    </row>
    <row r="25" spans="1:18" x14ac:dyDescent="0.35">
      <c r="A25" s="100">
        <v>4</v>
      </c>
      <c r="B25" s="366"/>
      <c r="C25" s="367"/>
      <c r="D25" s="359" t="str">
        <f>IF(B25=0," ",'kt info'!$G$25)</f>
        <v xml:space="preserve"> </v>
      </c>
      <c r="E25" s="368" t="str">
        <f>IF(B25=0," ",VLOOKUP(B25,WageBeneTable5[#All],2,FALSE))</f>
        <v xml:space="preserve"> </v>
      </c>
      <c r="F25" s="822">
        <f>IF($E25=" ",0,'Pay &amp; Benefits'!$C$10)</f>
        <v>0</v>
      </c>
      <c r="G25" s="823"/>
      <c r="H25" s="369" t="str">
        <f>IF($E25=" "," ",'Pay &amp; Benefits'!$C$11)</f>
        <v xml:space="preserve"> </v>
      </c>
      <c r="I25" s="370" t="str">
        <f t="shared" si="0"/>
        <v xml:space="preserve"> </v>
      </c>
      <c r="J25" s="371" t="str">
        <f>IF(B25=0," ",VLOOKUP(B25,WageBeneTable5[#All],3,FALSE))</f>
        <v xml:space="preserve"> </v>
      </c>
      <c r="K25" s="368" t="str">
        <f t="shared" si="1"/>
        <v xml:space="preserve"> </v>
      </c>
      <c r="L25" s="368">
        <f t="shared" si="2"/>
        <v>0</v>
      </c>
      <c r="M25" s="372">
        <f t="shared" si="3"/>
        <v>0</v>
      </c>
      <c r="N25" s="373">
        <f t="shared" si="4"/>
        <v>0</v>
      </c>
      <c r="O25" s="222" t="s">
        <v>99</v>
      </c>
    </row>
    <row r="26" spans="1:18" ht="15" thickBot="1" x14ac:dyDescent="0.4">
      <c r="A26" s="100">
        <v>5</v>
      </c>
      <c r="B26" s="374"/>
      <c r="C26" s="375"/>
      <c r="D26" s="376" t="str">
        <f>IF(B26=0," ",'kt info'!$G$25)</f>
        <v xml:space="preserve"> </v>
      </c>
      <c r="E26" s="377" t="str">
        <f>IF(B26=0," ",VLOOKUP(B26,WageBeneTable5[#All],2,FALSE))</f>
        <v xml:space="preserve"> </v>
      </c>
      <c r="F26" s="813">
        <f>IF($E26=" ",0,'Pay &amp; Benefits'!$C$10)</f>
        <v>0</v>
      </c>
      <c r="G26" s="814"/>
      <c r="H26" s="378" t="str">
        <f>IF($E26=" "," ",'Pay &amp; Benefits'!$C$11)</f>
        <v xml:space="preserve"> </v>
      </c>
      <c r="I26" s="379" t="str">
        <f t="shared" si="0"/>
        <v xml:space="preserve"> </v>
      </c>
      <c r="J26" s="380" t="str">
        <f>IF(B26=0," ",VLOOKUP(B26,WageBeneTable5[#All],3,FALSE))</f>
        <v xml:space="preserve"> </v>
      </c>
      <c r="K26" s="377" t="str">
        <f t="shared" si="1"/>
        <v xml:space="preserve"> </v>
      </c>
      <c r="L26" s="377">
        <f t="shared" si="2"/>
        <v>0</v>
      </c>
      <c r="M26" s="381">
        <f t="shared" si="3"/>
        <v>0</v>
      </c>
      <c r="N26" s="382">
        <f t="shared" si="4"/>
        <v>0</v>
      </c>
    </row>
    <row r="27" spans="1:18" x14ac:dyDescent="0.35">
      <c r="A27" s="100">
        <v>6</v>
      </c>
      <c r="B27" s="357"/>
      <c r="C27" s="383"/>
      <c r="D27" s="384" t="str">
        <f>IF(B27=0," ",'kt info'!$G$25)</f>
        <v xml:space="preserve"> </v>
      </c>
      <c r="E27" s="385" t="str">
        <f>IF(B27=0," ",VLOOKUP(B27,WageBeneTable5[#All],2,FALSE))</f>
        <v xml:space="preserve"> </v>
      </c>
      <c r="F27" s="820">
        <f>IF($E27=" ",0,'Pay &amp; Benefits'!$C$10)</f>
        <v>0</v>
      </c>
      <c r="G27" s="821"/>
      <c r="H27" s="386" t="str">
        <f>IF($E27=" "," ",'Pay &amp; Benefits'!$C$11)</f>
        <v xml:space="preserve"> </v>
      </c>
      <c r="I27" s="387" t="str">
        <f t="shared" si="0"/>
        <v xml:space="preserve"> </v>
      </c>
      <c r="J27" s="388" t="str">
        <f>IF(B27=0," ",VLOOKUP(B27,WageBeneTable5[#All],3,FALSE))</f>
        <v xml:space="preserve"> </v>
      </c>
      <c r="K27" s="385" t="str">
        <f t="shared" si="1"/>
        <v xml:space="preserve"> </v>
      </c>
      <c r="L27" s="385">
        <f t="shared" si="2"/>
        <v>0</v>
      </c>
      <c r="M27" s="389">
        <f t="shared" si="3"/>
        <v>0</v>
      </c>
      <c r="N27" s="390">
        <f t="shared" si="4"/>
        <v>0</v>
      </c>
    </row>
    <row r="28" spans="1:18" x14ac:dyDescent="0.35">
      <c r="A28" s="100">
        <v>7</v>
      </c>
      <c r="B28" s="366"/>
      <c r="C28" s="367"/>
      <c r="D28" s="384" t="str">
        <f>IF(B28=0," ",'kt info'!$G$25)</f>
        <v xml:space="preserve"> </v>
      </c>
      <c r="E28" s="385" t="str">
        <f>IF(B28=0," ",VLOOKUP(B28,WageBeneTable5[#All],2,FALSE))</f>
        <v xml:space="preserve"> </v>
      </c>
      <c r="F28" s="822">
        <f>IF($E28=" ",0,'Pay &amp; Benefits'!$C$10)</f>
        <v>0</v>
      </c>
      <c r="G28" s="823"/>
      <c r="H28" s="386" t="str">
        <f>IF($E28=" "," ",'Pay &amp; Benefits'!$C$11)</f>
        <v xml:space="preserve"> </v>
      </c>
      <c r="I28" s="387" t="str">
        <f t="shared" si="0"/>
        <v xml:space="preserve"> </v>
      </c>
      <c r="J28" s="388" t="str">
        <f>IF(B28=0," ",VLOOKUP(B28,WageBeneTable5[#All],3,FALSE))</f>
        <v xml:space="preserve"> </v>
      </c>
      <c r="K28" s="385" t="str">
        <f t="shared" si="1"/>
        <v xml:space="preserve"> </v>
      </c>
      <c r="L28" s="385">
        <f t="shared" si="2"/>
        <v>0</v>
      </c>
      <c r="M28" s="389">
        <f t="shared" si="3"/>
        <v>0</v>
      </c>
      <c r="N28" s="390">
        <f t="shared" si="4"/>
        <v>0</v>
      </c>
    </row>
    <row r="29" spans="1:18" x14ac:dyDescent="0.35">
      <c r="A29" s="100">
        <v>8</v>
      </c>
      <c r="B29" s="366"/>
      <c r="C29" s="367"/>
      <c r="D29" s="384" t="str">
        <f>IF(B29=0," ",'kt info'!$G$25)</f>
        <v xml:space="preserve"> </v>
      </c>
      <c r="E29" s="385" t="str">
        <f>IF(B29=0," ",VLOOKUP(B29,WageBeneTable5[#All],2,FALSE))</f>
        <v xml:space="preserve"> </v>
      </c>
      <c r="F29" s="822">
        <f>IF($E29=" ",0,'Pay &amp; Benefits'!$C$10)</f>
        <v>0</v>
      </c>
      <c r="G29" s="823"/>
      <c r="H29" s="386" t="str">
        <f>IF($E29=" "," ",'Pay &amp; Benefits'!$C$11)</f>
        <v xml:space="preserve"> </v>
      </c>
      <c r="I29" s="387" t="str">
        <f t="shared" si="0"/>
        <v xml:space="preserve"> </v>
      </c>
      <c r="J29" s="388" t="str">
        <f>IF(B29=0," ",VLOOKUP(B29,WageBeneTable5[#All],3,FALSE))</f>
        <v xml:space="preserve"> </v>
      </c>
      <c r="K29" s="385" t="str">
        <f t="shared" si="1"/>
        <v xml:space="preserve"> </v>
      </c>
      <c r="L29" s="385">
        <f t="shared" si="2"/>
        <v>0</v>
      </c>
      <c r="M29" s="389">
        <f t="shared" si="3"/>
        <v>0</v>
      </c>
      <c r="N29" s="390">
        <f t="shared" si="4"/>
        <v>0</v>
      </c>
    </row>
    <row r="30" spans="1:18" x14ac:dyDescent="0.35">
      <c r="A30" s="100">
        <v>9</v>
      </c>
      <c r="B30" s="366"/>
      <c r="C30" s="367"/>
      <c r="D30" s="384" t="str">
        <f>IF(B30=0," ",'kt info'!$G$25)</f>
        <v xml:space="preserve"> </v>
      </c>
      <c r="E30" s="385" t="str">
        <f>IF(B30=0," ",VLOOKUP(B30,WageBeneTable5[#All],2,FALSE))</f>
        <v xml:space="preserve"> </v>
      </c>
      <c r="F30" s="822">
        <f>IF($E30=" ",0,'Pay &amp; Benefits'!$C$10)</f>
        <v>0</v>
      </c>
      <c r="G30" s="823"/>
      <c r="H30" s="386" t="str">
        <f>IF($E30=" "," ",'Pay &amp; Benefits'!$C$11)</f>
        <v xml:space="preserve"> </v>
      </c>
      <c r="I30" s="387" t="str">
        <f t="shared" si="0"/>
        <v xml:space="preserve"> </v>
      </c>
      <c r="J30" s="388" t="str">
        <f>IF(B30=0," ",VLOOKUP(B30,WageBeneTable5[#All],3,FALSE))</f>
        <v xml:space="preserve"> </v>
      </c>
      <c r="K30" s="385" t="str">
        <f t="shared" si="1"/>
        <v xml:space="preserve"> </v>
      </c>
      <c r="L30" s="385">
        <f t="shared" si="2"/>
        <v>0</v>
      </c>
      <c r="M30" s="389">
        <f t="shared" si="3"/>
        <v>0</v>
      </c>
      <c r="N30" s="390">
        <f t="shared" si="4"/>
        <v>0</v>
      </c>
    </row>
    <row r="31" spans="1:18" ht="15" thickBot="1" x14ac:dyDescent="0.4">
      <c r="A31" s="100">
        <v>10</v>
      </c>
      <c r="B31" s="374"/>
      <c r="C31" s="375"/>
      <c r="D31" s="376" t="str">
        <f>IF(B31=0," ",'kt info'!$G$25)</f>
        <v xml:space="preserve"> </v>
      </c>
      <c r="E31" s="377" t="str">
        <f>IF(B31=0," ",VLOOKUP(B31,WageBeneTable5[#All],2,FALSE))</f>
        <v xml:space="preserve"> </v>
      </c>
      <c r="F31" s="813">
        <f>IF($E31=" ",0,'Pay &amp; Benefits'!$C$10)</f>
        <v>0</v>
      </c>
      <c r="G31" s="814"/>
      <c r="H31" s="378" t="str">
        <f>IF($E31=" "," ",'Pay &amp; Benefits'!$C$11)</f>
        <v xml:space="preserve"> </v>
      </c>
      <c r="I31" s="379" t="str">
        <f t="shared" si="0"/>
        <v xml:space="preserve"> </v>
      </c>
      <c r="J31" s="380" t="str">
        <f>IF(B31=0," ",VLOOKUP(B31,WageBeneTable5[#All],3,FALSE))</f>
        <v xml:space="preserve"> </v>
      </c>
      <c r="K31" s="377" t="str">
        <f t="shared" si="1"/>
        <v xml:space="preserve"> </v>
      </c>
      <c r="L31" s="377">
        <f t="shared" si="2"/>
        <v>0</v>
      </c>
      <c r="M31" s="381">
        <f t="shared" si="3"/>
        <v>0</v>
      </c>
      <c r="N31" s="382">
        <f t="shared" si="4"/>
        <v>0</v>
      </c>
      <c r="O31" s="140"/>
      <c r="P31" s="141"/>
      <c r="Q31" s="140"/>
      <c r="R31" s="141"/>
    </row>
    <row r="32" spans="1:18" x14ac:dyDescent="0.35">
      <c r="K32" s="391"/>
      <c r="L32" s="392"/>
      <c r="M32" s="393"/>
      <c r="O32" s="100"/>
      <c r="P32" s="392"/>
      <c r="Q32" s="100"/>
      <c r="R32" s="392"/>
    </row>
    <row r="33" spans="1:15" ht="15" thickBot="1" x14ac:dyDescent="0.4">
      <c r="B33" s="394" t="s">
        <v>203</v>
      </c>
      <c r="E33" s="395"/>
      <c r="H33" s="396" t="s">
        <v>199</v>
      </c>
      <c r="O33" s="397"/>
    </row>
    <row r="34" spans="1:15" x14ac:dyDescent="0.35">
      <c r="B34" s="32" t="s">
        <v>123</v>
      </c>
      <c r="C34" s="398" t="s">
        <v>239</v>
      </c>
      <c r="D34" s="399" t="s">
        <v>9</v>
      </c>
      <c r="E34" s="400" t="s">
        <v>83</v>
      </c>
      <c r="H34" s="303" t="s">
        <v>15</v>
      </c>
      <c r="I34" s="4" t="s">
        <v>85</v>
      </c>
      <c r="J34" s="4" t="s">
        <v>16</v>
      </c>
      <c r="K34" s="4" t="s">
        <v>241</v>
      </c>
      <c r="L34" s="4" t="s">
        <v>83</v>
      </c>
    </row>
    <row r="35" spans="1:15" ht="15" thickBot="1" x14ac:dyDescent="0.4">
      <c r="B35" s="33" t="s">
        <v>124</v>
      </c>
      <c r="C35" s="401" t="s">
        <v>84</v>
      </c>
      <c r="D35" s="402" t="s">
        <v>10</v>
      </c>
      <c r="E35" s="403" t="s">
        <v>84</v>
      </c>
      <c r="H35" s="304" t="s">
        <v>13</v>
      </c>
      <c r="I35" s="5" t="s">
        <v>86</v>
      </c>
      <c r="J35" s="5" t="s">
        <v>17</v>
      </c>
      <c r="K35" s="5" t="s">
        <v>12</v>
      </c>
      <c r="L35" s="5" t="s">
        <v>84</v>
      </c>
      <c r="O35" s="404"/>
    </row>
    <row r="36" spans="1:15" x14ac:dyDescent="0.35">
      <c r="A36" s="100">
        <v>1</v>
      </c>
      <c r="B36" s="405"/>
      <c r="C36" s="406"/>
      <c r="D36" s="407">
        <f>IF(B36=0,0,VLOOKUP(B36,Supplies!$B$13:$C$97,2,FALSE))</f>
        <v>0</v>
      </c>
      <c r="E36" s="360">
        <f>IF(D36=" "," ",D36*C36)</f>
        <v>0</v>
      </c>
      <c r="G36" s="100">
        <v>1</v>
      </c>
      <c r="H36" s="408"/>
      <c r="I36" s="409"/>
      <c r="J36" s="410"/>
      <c r="K36" s="411" t="str">
        <f>IF(H36=0," ",IF(VLOOKUP(H36,'Equipment List'!$B$12:$F$96,5,FALSE)=0,0,IF(VLOOKUP(H36,'Equipment List'!$B$12:$F$96,5,FALSE)="Grant","Grant",IF(VLOOKUP(H36,'Equipment List'!$B$12:$F$96,5,FALSE)="Depreciated","Depreciated",VLOOKUP(H36,'Equipment List'!$B$12:$F$96,5,FALSE)*I36*J36))))</f>
        <v xml:space="preserve"> </v>
      </c>
      <c r="L36" s="412" t="str">
        <f>IF(K36=" "," ",IF(K36="Grant",0,IF(K36="Depreciated",0,IF('kt info'!$G$25=0,"No Service Frequency",K36/'kt info'!$G$25))))</f>
        <v xml:space="preserve"> </v>
      </c>
      <c r="O36" s="404"/>
    </row>
    <row r="37" spans="1:15" x14ac:dyDescent="0.35">
      <c r="A37" s="100">
        <v>2</v>
      </c>
      <c r="B37" s="413"/>
      <c r="C37" s="414"/>
      <c r="D37" s="415">
        <f>IF(B37=0,0,VLOOKUP(B37,Supplies!$B$13:$C$97,2,FALSE))</f>
        <v>0</v>
      </c>
      <c r="E37" s="385">
        <f t="shared" ref="E37:E51" si="5">IF(D37=" "," ",D37*C37)</f>
        <v>0</v>
      </c>
      <c r="G37" s="100">
        <v>2</v>
      </c>
      <c r="H37" s="416"/>
      <c r="I37" s="417"/>
      <c r="J37" s="418"/>
      <c r="K37" s="419" t="str">
        <f>IF(H37=0," ",IF(VLOOKUP(H37,'Equipment List'!$B$12:$F$96,5,FALSE)=0,0,IF(VLOOKUP(H37,'Equipment List'!$B$12:$F$96,5,FALSE)="Grant","Grant",IF(VLOOKUP(H37,'Equipment List'!$B$12:$F$96,5,FALSE)="Depreciated","Depreciated",VLOOKUP(H37,'Equipment List'!$B$12:$F$96,5,FALSE)*I37*J37))))</f>
        <v xml:space="preserve"> </v>
      </c>
      <c r="L37" s="420" t="str">
        <f>IF(K37=" "," ",IF(K37="Grant",0,IF(K37="Depreciated",0,IF('kt info'!$G$25=0,"No Service Frequency",K37/'kt info'!$G$25))))</f>
        <v xml:space="preserve"> </v>
      </c>
    </row>
    <row r="38" spans="1:15" x14ac:dyDescent="0.35">
      <c r="A38" s="100">
        <v>3</v>
      </c>
      <c r="B38" s="413"/>
      <c r="C38" s="414"/>
      <c r="D38" s="415">
        <f>IF(B38=0,0,VLOOKUP(B38,Supplies!$B$13:$C$97,2,FALSE))</f>
        <v>0</v>
      </c>
      <c r="E38" s="385">
        <f t="shared" si="5"/>
        <v>0</v>
      </c>
      <c r="G38" s="100">
        <v>3</v>
      </c>
      <c r="H38" s="416"/>
      <c r="I38" s="417"/>
      <c r="J38" s="418"/>
      <c r="K38" s="421" t="str">
        <f>IF(H38=0," ",IF(VLOOKUP(H38,'Equipment List'!$B$12:$F$96,5,FALSE)=0,0,IF(VLOOKUP(H38,'Equipment List'!$B$12:$F$96,5,FALSE)="Grant","Grant",IF(VLOOKUP(H38,'Equipment List'!$B$12:$F$96,5,FALSE)="Depreciated","Depreciated",VLOOKUP(H38,'Equipment List'!$B$12:$F$96,5,FALSE)*I38*J38))))</f>
        <v xml:space="preserve"> </v>
      </c>
      <c r="L38" s="420" t="str">
        <f>IF(K38=" "," ",IF(K38="Grant",0,IF(K38="Depreciated",0,IF('kt info'!$G$25=0,"No Service Frequency",K38/'kt info'!$G$25))))</f>
        <v xml:space="preserve"> </v>
      </c>
    </row>
    <row r="39" spans="1:15" x14ac:dyDescent="0.35">
      <c r="A39" s="100">
        <v>4</v>
      </c>
      <c r="B39" s="413"/>
      <c r="C39" s="414"/>
      <c r="D39" s="415">
        <f>IF(B39=0,0,VLOOKUP(B39,Supplies!$B$13:$C$97,2,FALSE))</f>
        <v>0</v>
      </c>
      <c r="E39" s="385">
        <f t="shared" si="5"/>
        <v>0</v>
      </c>
      <c r="G39" s="100">
        <v>4</v>
      </c>
      <c r="H39" s="416"/>
      <c r="I39" s="417"/>
      <c r="J39" s="418"/>
      <c r="K39" s="421" t="str">
        <f>IF(H39=0," ",IF(VLOOKUP(H39,'Equipment List'!$B$12:$F$96,5,FALSE)=0,0,IF(VLOOKUP(H39,'Equipment List'!$B$12:$F$96,5,FALSE)="Grant","Grant",IF(VLOOKUP(H39,'Equipment List'!$B$12:$F$96,5,FALSE)="Depreciated","Depreciated",VLOOKUP(H39,'Equipment List'!$B$12:$F$96,5,FALSE)*I39*J39))))</f>
        <v xml:space="preserve"> </v>
      </c>
      <c r="L39" s="420" t="str">
        <f>IF(K39=" "," ",IF(K39="Grant",0,IF(K39="Depreciated",0,IF('kt info'!$G$25=0,"No Service Frequency",K39/'kt info'!$G$25))))</f>
        <v xml:space="preserve"> </v>
      </c>
    </row>
    <row r="40" spans="1:15" ht="15" thickBot="1" x14ac:dyDescent="0.4">
      <c r="A40" s="100">
        <v>5</v>
      </c>
      <c r="B40" s="422"/>
      <c r="C40" s="423"/>
      <c r="D40" s="424">
        <f>IF(B40=0,0,VLOOKUP(B40,Supplies!$B$13:$C$97,2,FALSE))</f>
        <v>0</v>
      </c>
      <c r="E40" s="377">
        <f t="shared" si="5"/>
        <v>0</v>
      </c>
      <c r="G40" s="100">
        <v>5</v>
      </c>
      <c r="H40" s="425"/>
      <c r="I40" s="426"/>
      <c r="J40" s="427"/>
      <c r="K40" s="428" t="str">
        <f>IF(H40=0," ",IF(VLOOKUP(H40,'Equipment List'!$B$12:$F$96,5,FALSE)=0,0,IF(VLOOKUP(H40,'Equipment List'!$B$12:$F$96,5,FALSE)="Grant","Grant",IF(VLOOKUP(H40,'Equipment List'!$B$12:$F$96,5,FALSE)="Depreciated","Depreciated",VLOOKUP(H40,'Equipment List'!$B$12:$F$96,5,FALSE)*I40*J40))))</f>
        <v xml:space="preserve"> </v>
      </c>
      <c r="L40" s="429" t="str">
        <f>IF(K40=" "," ",IF(K40="Grant",0,IF(K40="Depreciated",0,IF('kt info'!$G$25=0,"No Service Frequency",K40/'kt info'!$G$25))))</f>
        <v xml:space="preserve"> </v>
      </c>
    </row>
    <row r="41" spans="1:15" x14ac:dyDescent="0.35">
      <c r="A41" s="100">
        <v>6</v>
      </c>
      <c r="B41" s="430"/>
      <c r="C41" s="431"/>
      <c r="D41" s="432">
        <f>IF(B41=0,0,VLOOKUP(B41,Supplies!$B$13:$C$97,2,FALSE))</f>
        <v>0</v>
      </c>
      <c r="E41" s="385">
        <f t="shared" si="5"/>
        <v>0</v>
      </c>
      <c r="G41" s="100">
        <v>6</v>
      </c>
      <c r="H41" s="433"/>
      <c r="I41" s="434"/>
      <c r="J41" s="435"/>
      <c r="K41" s="436" t="str">
        <f>IF(H41=0," ",IF(VLOOKUP(H41,'Equipment List'!$B$12:$F$96,5,FALSE)=0,0,IF(VLOOKUP(H41,'Equipment List'!$B$12:$F$96,5,FALSE)="Grant","Grant",IF(VLOOKUP(H41,'Equipment List'!$B$12:$F$96,5,FALSE)="Depreciated","Depreciated",VLOOKUP(H41,'Equipment List'!$B$12:$F$96,5,FALSE)*I41*J41))))</f>
        <v xml:space="preserve"> </v>
      </c>
      <c r="L41" s="420" t="str">
        <f>IF(K41=" "," ",IF(K41="Grant",0,IF(K41="Depreciated",0,IF('kt info'!$G$25=0,"No Service Frequency",K41/'kt info'!$G$25))))</f>
        <v xml:space="preserve"> </v>
      </c>
    </row>
    <row r="42" spans="1:15" x14ac:dyDescent="0.35">
      <c r="A42" s="100">
        <v>7</v>
      </c>
      <c r="B42" s="413"/>
      <c r="C42" s="414"/>
      <c r="D42" s="415">
        <f>IF(B42=0,0,VLOOKUP(B42,Supplies!$B$13:$C$97,2,FALSE))</f>
        <v>0</v>
      </c>
      <c r="E42" s="385">
        <f t="shared" si="5"/>
        <v>0</v>
      </c>
      <c r="G42" s="100">
        <v>7</v>
      </c>
      <c r="H42" s="437"/>
      <c r="I42" s="417"/>
      <c r="J42" s="418"/>
      <c r="K42" s="438" t="str">
        <f>IF(H42=0," ",IF(VLOOKUP(H42,'Equipment List'!$B$12:$F$96,5,FALSE)=0,0,IF(VLOOKUP(H42,'Equipment List'!$B$12:$F$96,5,FALSE)="Grant","Grant",IF(VLOOKUP(H42,'Equipment List'!$B$12:$F$96,5,FALSE)="Depreciated","Depreciated",VLOOKUP(H42,'Equipment List'!$B$12:$F$96,5,FALSE)*I42*J42))))</f>
        <v xml:space="preserve"> </v>
      </c>
      <c r="L42" s="420" t="str">
        <f>IF(K42=" "," ",IF(K42="Grant",0,IF(K42="Depreciated",0,IF('kt info'!$G$25=0,"No Service Frequency",K42/'kt info'!$G$25))))</f>
        <v xml:space="preserve"> </v>
      </c>
    </row>
    <row r="43" spans="1:15" x14ac:dyDescent="0.35">
      <c r="A43" s="100">
        <v>8</v>
      </c>
      <c r="B43" s="413"/>
      <c r="C43" s="414"/>
      <c r="D43" s="415">
        <f>IF(B43=0,0,VLOOKUP(B43,Supplies!$B$13:$C$97,2,FALSE))</f>
        <v>0</v>
      </c>
      <c r="E43" s="385">
        <f t="shared" si="5"/>
        <v>0</v>
      </c>
      <c r="G43" s="100">
        <v>8</v>
      </c>
      <c r="H43" s="437"/>
      <c r="I43" s="417"/>
      <c r="J43" s="418"/>
      <c r="K43" s="438" t="str">
        <f>IF(H43=0," ",IF(VLOOKUP(H43,'Equipment List'!$B$12:$F$96,5,FALSE)=0,0,IF(VLOOKUP(H43,'Equipment List'!$B$12:$F$96,5,FALSE)="Grant","Grant",IF(VLOOKUP(H43,'Equipment List'!$B$12:$F$96,5,FALSE)="Depreciated","Depreciated",VLOOKUP(H43,'Equipment List'!$B$12:$F$96,5,FALSE)*I43*J43))))</f>
        <v xml:space="preserve"> </v>
      </c>
      <c r="L43" s="420" t="str">
        <f>IF(K43=" "," ",IF(K43="Grant",0,IF(K43="Depreciated",0,IF('kt info'!$G$25=0,"No Service Frequency",K43/'kt info'!$G$25))))</f>
        <v xml:space="preserve"> </v>
      </c>
    </row>
    <row r="44" spans="1:15" x14ac:dyDescent="0.35">
      <c r="A44" s="100">
        <v>9</v>
      </c>
      <c r="B44" s="413"/>
      <c r="C44" s="414"/>
      <c r="D44" s="415">
        <f>IF(B44=0,0,VLOOKUP(B44,Supplies!$B$13:$C$97,2,FALSE))</f>
        <v>0</v>
      </c>
      <c r="E44" s="385">
        <f t="shared" si="5"/>
        <v>0</v>
      </c>
      <c r="G44" s="100">
        <v>9</v>
      </c>
      <c r="H44" s="437"/>
      <c r="I44" s="417"/>
      <c r="J44" s="418"/>
      <c r="K44" s="438" t="str">
        <f>IF(H44=0," ",IF(VLOOKUP(H44,'Equipment List'!$B$12:$F$96,5,FALSE)=0,0,IF(VLOOKUP(H44,'Equipment List'!$B$12:$F$96,5,FALSE)="Grant","Grant",IF(VLOOKUP(H44,'Equipment List'!$B$12:$F$96,5,FALSE)="Depreciated","Depreciated",VLOOKUP(H44,'Equipment List'!$B$12:$F$96,5,FALSE)*I44*J44))))</f>
        <v xml:space="preserve"> </v>
      </c>
      <c r="L44" s="420" t="str">
        <f>IF(K44=" "," ",IF(K44="Grant",0,IF(K44="Depreciated",0,IF('kt info'!$G$25=0,"No Service Frequency",K44/'kt info'!$G$25))))</f>
        <v xml:space="preserve"> </v>
      </c>
    </row>
    <row r="45" spans="1:15" ht="15" thickBot="1" x14ac:dyDescent="0.4">
      <c r="A45" s="100">
        <v>10</v>
      </c>
      <c r="B45" s="422"/>
      <c r="C45" s="423"/>
      <c r="D45" s="424">
        <f>IF(B45=0,0,VLOOKUP(B45,Supplies!$B$13:$C$97,2,FALSE))</f>
        <v>0</v>
      </c>
      <c r="E45" s="377">
        <f t="shared" si="5"/>
        <v>0</v>
      </c>
      <c r="G45" s="100">
        <v>10</v>
      </c>
      <c r="H45" s="439"/>
      <c r="I45" s="426"/>
      <c r="J45" s="427"/>
      <c r="K45" s="440" t="str">
        <f>IF(H45=0," ",IF(VLOOKUP(H45,'Equipment List'!$B$12:$F$96,5,FALSE)=0,0,IF(VLOOKUP(H45,'Equipment List'!$B$12:$F$96,5,FALSE)="Grant","Grant",IF(VLOOKUP(H45,'Equipment List'!$B$12:$F$96,5,FALSE)="Depreciated","Depreciated",VLOOKUP(H45,'Equipment List'!$B$12:$F$96,5,FALSE)*I45*J45))))</f>
        <v xml:space="preserve"> </v>
      </c>
      <c r="L45" s="429" t="str">
        <f>IF(K45=" "," ",IF(K45="Grant",0,IF(K45="Depreciated",0,IF('kt info'!$G$25=0,"No Service Frequency",K45/'kt info'!$G$25))))</f>
        <v xml:space="preserve"> </v>
      </c>
    </row>
    <row r="46" spans="1:15" x14ac:dyDescent="0.35">
      <c r="A46" s="100">
        <v>11</v>
      </c>
      <c r="B46" s="430"/>
      <c r="C46" s="431"/>
      <c r="D46" s="432">
        <f>IF(B46=0,0,VLOOKUP(B46,Supplies!$B$13:$C$97,2,FALSE))</f>
        <v>0</v>
      </c>
      <c r="E46" s="385">
        <f t="shared" si="5"/>
        <v>0</v>
      </c>
    </row>
    <row r="47" spans="1:15" ht="15" thickBot="1" x14ac:dyDescent="0.4">
      <c r="A47" s="100">
        <v>12</v>
      </c>
      <c r="B47" s="413"/>
      <c r="C47" s="414"/>
      <c r="D47" s="415">
        <f>IF(B47=0,0,VLOOKUP(B47,Supplies!$B$13:$C$97,2,FALSE))</f>
        <v>0</v>
      </c>
      <c r="E47" s="385">
        <f t="shared" si="5"/>
        <v>0</v>
      </c>
      <c r="H47" s="834" t="s">
        <v>200</v>
      </c>
      <c r="I47" s="835"/>
      <c r="J47" s="354"/>
      <c r="K47" s="354"/>
      <c r="L47" s="354"/>
      <c r="M47" s="354"/>
    </row>
    <row r="48" spans="1:15" x14ac:dyDescent="0.35">
      <c r="A48" s="100">
        <v>13</v>
      </c>
      <c r="B48" s="413"/>
      <c r="C48" s="414"/>
      <c r="D48" s="415">
        <f>IF(B48=0,0,VLOOKUP(B48,Supplies!$B$13:$C$97,2,FALSE))</f>
        <v>0</v>
      </c>
      <c r="E48" s="385">
        <f t="shared" si="5"/>
        <v>0</v>
      </c>
      <c r="H48" s="441" t="s">
        <v>159</v>
      </c>
      <c r="I48" s="4" t="s">
        <v>92</v>
      </c>
      <c r="J48" s="4" t="s">
        <v>300</v>
      </c>
      <c r="K48" s="350" t="s">
        <v>93</v>
      </c>
      <c r="L48" s="4" t="s">
        <v>12</v>
      </c>
      <c r="M48" s="4" t="s">
        <v>12</v>
      </c>
    </row>
    <row r="49" spans="1:14" ht="15" thickBot="1" x14ac:dyDescent="0.4">
      <c r="A49" s="100">
        <v>14</v>
      </c>
      <c r="B49" s="413"/>
      <c r="C49" s="414"/>
      <c r="D49" s="415">
        <f>IF(B49=0,0,VLOOKUP(B49,Supplies!$B$13:$C$97,2,FALSE))</f>
        <v>0</v>
      </c>
      <c r="E49" s="385">
        <f t="shared" si="5"/>
        <v>0</v>
      </c>
      <c r="H49" s="305" t="s">
        <v>13</v>
      </c>
      <c r="I49" s="5" t="s">
        <v>301</v>
      </c>
      <c r="J49" s="5" t="s">
        <v>169</v>
      </c>
      <c r="K49" s="354" t="s">
        <v>94</v>
      </c>
      <c r="L49" s="5" t="s">
        <v>302</v>
      </c>
      <c r="M49" s="5" t="s">
        <v>240</v>
      </c>
    </row>
    <row r="50" spans="1:14" ht="15" thickBot="1" x14ac:dyDescent="0.4">
      <c r="A50" s="100">
        <v>15</v>
      </c>
      <c r="B50" s="422"/>
      <c r="C50" s="442"/>
      <c r="D50" s="443">
        <f>IF(B50=0,0,VLOOKUP(B50,Supplies!$B$13:$C$97,2,FALSE))</f>
        <v>0</v>
      </c>
      <c r="E50" s="377">
        <f t="shared" si="5"/>
        <v>0</v>
      </c>
      <c r="G50" s="393"/>
      <c r="H50" s="258"/>
      <c r="I50" s="444"/>
      <c r="J50" s="445"/>
      <c r="K50" s="446">
        <f>IF(H50=0,0,VLOOKUP(H50,Transportation!$B$6:$L$16,11,FALSE))</f>
        <v>0</v>
      </c>
      <c r="L50" s="447">
        <f>IF(I50=0,0,I50*K50)</f>
        <v>0</v>
      </c>
      <c r="M50" s="448">
        <f>IF(I50=0,0,I50*K50*J50)</f>
        <v>0</v>
      </c>
    </row>
    <row r="51" spans="1:14" ht="15" thickBot="1" x14ac:dyDescent="0.4">
      <c r="A51" s="100">
        <v>16</v>
      </c>
      <c r="B51" s="430"/>
      <c r="C51" s="449"/>
      <c r="D51" s="450">
        <f>IF(B51=0,0,VLOOKUP(B51,Supplies!$B$13:$C$97,2,FALSE))</f>
        <v>0</v>
      </c>
      <c r="E51" s="385">
        <f t="shared" si="5"/>
        <v>0</v>
      </c>
      <c r="H51" s="259"/>
      <c r="I51" s="451"/>
      <c r="J51" s="452"/>
      <c r="K51" s="453">
        <f>IF(H51=0,0,VLOOKUP(H51,Transportation!$B$6:$L$16,11,FALSE))</f>
        <v>0</v>
      </c>
      <c r="L51" s="454">
        <f>IF(I51=0,0,I51*K51)</f>
        <v>0</v>
      </c>
      <c r="M51" s="455">
        <f>IF(I51=0,0,I51*K51*J51)</f>
        <v>0</v>
      </c>
    </row>
    <row r="52" spans="1:14" x14ac:dyDescent="0.35">
      <c r="A52" s="100">
        <v>17</v>
      </c>
      <c r="B52" s="413"/>
      <c r="C52" s="456"/>
      <c r="D52" s="457">
        <f>IF(B52=0,0,VLOOKUP(B52,Supplies!$B$13:$C$97,2,FALSE))</f>
        <v>0</v>
      </c>
      <c r="E52" s="385">
        <f>IF(D52=" "," ",D52*C52)</f>
        <v>0</v>
      </c>
      <c r="H52" s="260"/>
      <c r="I52" s="458"/>
      <c r="J52" s="459"/>
      <c r="K52" s="460"/>
      <c r="L52" s="460"/>
      <c r="M52" s="460"/>
    </row>
    <row r="53" spans="1:14" ht="15" thickBot="1" x14ac:dyDescent="0.4">
      <c r="A53" s="100">
        <v>18</v>
      </c>
      <c r="B53" s="413"/>
      <c r="C53" s="456"/>
      <c r="D53" s="457">
        <f>IF(B53=0,0,VLOOKUP(B53,Supplies!$B$13:$C$97,2,FALSE))</f>
        <v>0</v>
      </c>
      <c r="E53" s="385">
        <f>IF(D53=" "," ",D53*C53)</f>
        <v>0</v>
      </c>
      <c r="H53" s="461" t="s">
        <v>201</v>
      </c>
      <c r="I53" s="462"/>
      <c r="J53" s="463"/>
      <c r="K53" s="464"/>
      <c r="L53" s="464"/>
      <c r="M53" s="464"/>
    </row>
    <row r="54" spans="1:14" x14ac:dyDescent="0.35">
      <c r="A54" s="100">
        <v>19</v>
      </c>
      <c r="B54" s="413"/>
      <c r="C54" s="456"/>
      <c r="D54" s="457">
        <f>IF(B54=0,0,VLOOKUP(B54,Supplies!$B$13:$C$97,2,FALSE))</f>
        <v>0</v>
      </c>
      <c r="E54" s="385">
        <f>IF(D54=" "," ",D54*C54)</f>
        <v>0</v>
      </c>
      <c r="H54" s="465" t="s">
        <v>202</v>
      </c>
      <c r="I54" s="466" t="s">
        <v>204</v>
      </c>
      <c r="J54" s="463"/>
      <c r="K54" s="464"/>
      <c r="L54" s="464"/>
      <c r="M54" s="464"/>
    </row>
    <row r="55" spans="1:14" ht="15" thickBot="1" x14ac:dyDescent="0.4">
      <c r="A55" s="100">
        <v>20</v>
      </c>
      <c r="B55" s="422"/>
      <c r="C55" s="442"/>
      <c r="D55" s="443">
        <f>IF(B55=0,0,VLOOKUP(B55,Supplies!$B$13:$C$97,2,FALSE))</f>
        <v>0</v>
      </c>
      <c r="E55" s="377">
        <f>IF(D55=" "," ",D55*C55)</f>
        <v>0</v>
      </c>
      <c r="H55" s="467"/>
      <c r="I55" s="468" t="str">
        <f>IF(H55=0," ",VLOOKUP(H55,Subcontractors!$B$15:$E$25,4))</f>
        <v xml:space="preserve"> </v>
      </c>
      <c r="J55" s="463"/>
      <c r="K55" s="464"/>
      <c r="L55" s="464"/>
      <c r="M55" s="464"/>
    </row>
    <row r="56" spans="1:14" ht="15" thickBot="1" x14ac:dyDescent="0.4">
      <c r="H56" s="469"/>
      <c r="I56" s="470" t="str">
        <f>IF(H56=0," ",VLOOKUP(H56,Subcontractors!$B$15:$E$25,4))</f>
        <v xml:space="preserve"> </v>
      </c>
    </row>
    <row r="57" spans="1:14" x14ac:dyDescent="0.35">
      <c r="A57" s="100"/>
      <c r="B57" s="471"/>
      <c r="C57" s="472"/>
      <c r="D57" s="397"/>
      <c r="E57" s="397"/>
      <c r="H57" s="473"/>
      <c r="I57" s="404"/>
    </row>
    <row r="58" spans="1:14" ht="18.5" x14ac:dyDescent="0.35">
      <c r="A58" s="818" t="s">
        <v>192</v>
      </c>
      <c r="B58" s="828"/>
      <c r="C58" s="828"/>
      <c r="D58" s="828"/>
      <c r="E58" s="828"/>
      <c r="F58" s="828"/>
      <c r="G58" s="150" t="str">
        <f>B10</f>
        <v>All Carpets</v>
      </c>
      <c r="H58" s="301"/>
      <c r="I58" s="150"/>
      <c r="J58" s="150"/>
      <c r="K58" s="150"/>
      <c r="L58" s="150"/>
      <c r="M58" s="150"/>
      <c r="N58" s="150"/>
    </row>
    <row r="59" spans="1:14" ht="18.5" x14ac:dyDescent="0.35">
      <c r="A59" s="818" t="s">
        <v>193</v>
      </c>
      <c r="B59" s="828"/>
      <c r="C59" s="828"/>
      <c r="D59" s="828"/>
      <c r="E59" s="828"/>
      <c r="F59" s="828"/>
      <c r="G59" s="150" t="str">
        <f>B67</f>
        <v>High Traffic Carpet</v>
      </c>
      <c r="H59" s="301"/>
      <c r="I59" s="150"/>
      <c r="J59" s="150"/>
      <c r="K59" s="150"/>
      <c r="L59" s="150"/>
      <c r="M59" s="150"/>
      <c r="N59" s="150"/>
    </row>
    <row r="61" spans="1:14" x14ac:dyDescent="0.35">
      <c r="B61" s="222" t="s">
        <v>109</v>
      </c>
      <c r="C61" s="735">
        <f>'kt info'!$C$3</f>
        <v>0</v>
      </c>
      <c r="D61" s="735"/>
      <c r="E61" s="736"/>
      <c r="F61" s="737"/>
      <c r="H61" s="333"/>
      <c r="J61" s="811" t="s">
        <v>170</v>
      </c>
      <c r="K61" s="811"/>
      <c r="L61" s="811"/>
      <c r="M61" s="811"/>
    </row>
    <row r="62" spans="1:14" x14ac:dyDescent="0.35">
      <c r="C62" s="300"/>
      <c r="D62" s="100"/>
      <c r="E62" s="100"/>
      <c r="F62" s="100"/>
      <c r="I62" s="329"/>
      <c r="J62" s="329" t="str">
        <f>$B$10</f>
        <v>All Carpets</v>
      </c>
      <c r="L62" s="336" t="str">
        <f>$B$415</f>
        <v>Enter Periodical Service 1</v>
      </c>
    </row>
    <row r="63" spans="1:14" x14ac:dyDescent="0.35">
      <c r="B63" s="222" t="s">
        <v>110</v>
      </c>
      <c r="C63" s="735">
        <f>'kt info'!$C$5</f>
        <v>0</v>
      </c>
      <c r="D63" s="735"/>
      <c r="E63" s="737"/>
      <c r="F63" s="737"/>
      <c r="J63" s="329" t="str">
        <f>$B$67</f>
        <v>High Traffic Carpet</v>
      </c>
      <c r="L63" s="336" t="str">
        <f>$B$473</f>
        <v>Enter Periodical Service 2</v>
      </c>
    </row>
    <row r="64" spans="1:14" x14ac:dyDescent="0.35">
      <c r="C64" s="300"/>
      <c r="D64" s="100"/>
      <c r="E64" s="100"/>
      <c r="F64" s="100"/>
      <c r="J64" s="329" t="str">
        <f>$B$125</f>
        <v>Hard Floor Strip and Wax</v>
      </c>
      <c r="L64" s="336" t="str">
        <f>$B$531</f>
        <v>Enter Periodical Service 3</v>
      </c>
    </row>
    <row r="65" spans="1:14" x14ac:dyDescent="0.35">
      <c r="B65" s="222" t="s">
        <v>135</v>
      </c>
      <c r="C65" s="735">
        <f>'kt info'!$C$7</f>
        <v>0</v>
      </c>
      <c r="D65" s="735"/>
      <c r="E65" s="737"/>
      <c r="F65" s="737"/>
      <c r="J65" s="329" t="str">
        <f>$B$183</f>
        <v>Hard Floor Scrub and Seal</v>
      </c>
      <c r="L65" s="336" t="str">
        <f>$B$589</f>
        <v>Enter Periodical Service 4</v>
      </c>
    </row>
    <row r="66" spans="1:14" x14ac:dyDescent="0.35">
      <c r="J66" s="336" t="str">
        <f>$B$241</f>
        <v>Window Washing</v>
      </c>
      <c r="L66" s="336" t="str">
        <f>$B$647</f>
        <v>Enter Periodical Service 5</v>
      </c>
    </row>
    <row r="67" spans="1:14" ht="18.5" x14ac:dyDescent="0.35">
      <c r="A67" s="337"/>
      <c r="B67" s="338" t="str">
        <f>'kt info'!B27</f>
        <v>High Traffic Carpet</v>
      </c>
      <c r="C67" s="339"/>
      <c r="D67" s="337"/>
      <c r="E67" s="337"/>
      <c r="F67" s="337"/>
      <c r="G67" s="337"/>
      <c r="H67" s="302" t="s">
        <v>77</v>
      </c>
      <c r="I67" s="236" t="s">
        <v>238</v>
      </c>
      <c r="J67" s="336" t="str">
        <f>$B$299</f>
        <v>Clean Chairs</v>
      </c>
      <c r="L67" s="336" t="str">
        <f>$B$705</f>
        <v>Enter Periodical Service 6</v>
      </c>
      <c r="M67" s="337"/>
      <c r="N67" s="337"/>
    </row>
    <row r="68" spans="1:14" x14ac:dyDescent="0.35">
      <c r="E68" s="830" t="s">
        <v>79</v>
      </c>
      <c r="F68" s="831"/>
      <c r="G68" s="832"/>
      <c r="H68" s="341">
        <f>IF(SUM(M80:M89)&gt;0,SUM(M80:M89)/'kt info'!$G$27,0)</f>
        <v>0</v>
      </c>
      <c r="I68" s="342">
        <f>H68*'kt info'!$G$27</f>
        <v>0</v>
      </c>
      <c r="J68" s="336" t="str">
        <f>$B$357</f>
        <v>High Dusting</v>
      </c>
      <c r="L68" s="336" t="str">
        <f>$B$763</f>
        <v>Enter Periodical Service 7</v>
      </c>
    </row>
    <row r="69" spans="1:14" x14ac:dyDescent="0.35">
      <c r="B69" s="343" t="s">
        <v>78</v>
      </c>
      <c r="E69" s="830" t="s">
        <v>189</v>
      </c>
      <c r="F69" s="831"/>
      <c r="G69" s="832"/>
      <c r="H69" s="344">
        <f>IF(SUM(K80:K89)&gt;0,SUM(K80:K89),0)</f>
        <v>0</v>
      </c>
      <c r="I69" s="345">
        <f>H69*'kt info'!$G$27</f>
        <v>0</v>
      </c>
      <c r="J69" s="336"/>
      <c r="L69" s="336" t="str">
        <f>$B$821</f>
        <v>Enter Periodical Service 8</v>
      </c>
    </row>
    <row r="70" spans="1:14" x14ac:dyDescent="0.35">
      <c r="B70" s="177" t="s">
        <v>96</v>
      </c>
      <c r="C70" s="346">
        <f>'kt info'!E27</f>
        <v>0</v>
      </c>
      <c r="E70" s="830" t="s">
        <v>80</v>
      </c>
      <c r="F70" s="831"/>
      <c r="G70" s="832"/>
      <c r="H70" s="344">
        <f>IF(SUM(E94:E113)&gt;0,SUM(E94:E113),0)</f>
        <v>0</v>
      </c>
      <c r="I70" s="345">
        <f>H70*'kt info'!$G$27</f>
        <v>0</v>
      </c>
      <c r="J70" s="336"/>
      <c r="L70" s="336" t="str">
        <f>$B$879</f>
        <v>Enter Periodical Service 9</v>
      </c>
    </row>
    <row r="71" spans="1:14" x14ac:dyDescent="0.35">
      <c r="E71" s="830" t="s">
        <v>81</v>
      </c>
      <c r="F71" s="831"/>
      <c r="G71" s="832"/>
      <c r="H71" s="344">
        <f>IF(SUM(L94:L103)&gt;0,SUM(L94:L103),0)</f>
        <v>0</v>
      </c>
      <c r="I71" s="345">
        <f>H71*'kt info'!$G$27</f>
        <v>0</v>
      </c>
      <c r="J71" s="336"/>
      <c r="L71" s="336" t="str">
        <f>$B$937</f>
        <v>Enter Periodical Service 10</v>
      </c>
    </row>
    <row r="72" spans="1:14" x14ac:dyDescent="0.35">
      <c r="B72" s="177" t="s">
        <v>98</v>
      </c>
      <c r="C72" s="347">
        <f>ROUND(IF(SUM(H69:H75)&gt;0,SUM(H69:H75),0),0)</f>
        <v>0</v>
      </c>
      <c r="E72" s="830" t="s">
        <v>89</v>
      </c>
      <c r="F72" s="831"/>
      <c r="G72" s="832"/>
      <c r="H72" s="344">
        <f>IF(SUM(J107:J111)&gt;0,SUM(L107:L111),0)</f>
        <v>0</v>
      </c>
      <c r="I72" s="345">
        <f>H72*'kt info'!$G$27</f>
        <v>0</v>
      </c>
      <c r="J72" s="329"/>
      <c r="K72" s="336"/>
    </row>
    <row r="73" spans="1:14" x14ac:dyDescent="0.35">
      <c r="E73" s="830" t="s">
        <v>201</v>
      </c>
      <c r="F73" s="831"/>
      <c r="G73" s="832"/>
      <c r="H73" s="344">
        <f>IF(SUM(I113:I114)=0,0,SUM(I113:I114))</f>
        <v>0</v>
      </c>
      <c r="I73" s="345">
        <f>H73*'kt info'!$G$27</f>
        <v>0</v>
      </c>
      <c r="K73" s="336"/>
    </row>
    <row r="74" spans="1:14" x14ac:dyDescent="0.35">
      <c r="B74" s="177" t="s">
        <v>97</v>
      </c>
      <c r="C74" s="347">
        <f>IF(C70&gt;0,C72/C70,0)</f>
        <v>0</v>
      </c>
      <c r="E74" s="830" t="s">
        <v>87</v>
      </c>
      <c r="F74" s="831"/>
      <c r="G74" s="832"/>
      <c r="H74" s="344">
        <f>IF('Overhead &amp; Margin'!$D$10&gt;0,((H69+H70+H71+H72+H73)*'Overhead &amp; Margin'!$D$10/(1-('Overhead &amp; Margin'!$D$10+'Overhead &amp; Margin'!$G$10))),0)</f>
        <v>0</v>
      </c>
      <c r="I74" s="345">
        <f>H74*'kt info'!$G$27</f>
        <v>0</v>
      </c>
      <c r="K74" s="336"/>
    </row>
    <row r="75" spans="1:14" x14ac:dyDescent="0.35">
      <c r="G75" s="178" t="s">
        <v>88</v>
      </c>
      <c r="H75" s="344">
        <f>IF('Overhead &amp; Margin'!$G$10=0,0,'Overhead &amp; Margin'!$G$10*(H69+H70+H71+H72+H73)/(1-('Overhead &amp; Margin'!$D$10+'Overhead &amp; Margin'!$G$10)))</f>
        <v>0</v>
      </c>
      <c r="I75" s="345">
        <f>H75*'kt info'!$G$27</f>
        <v>0</v>
      </c>
    </row>
    <row r="76" spans="1:14" x14ac:dyDescent="0.35">
      <c r="M76" s="605" t="str">
        <f>'kt info'!$B$12</f>
        <v>Form date: 10/24/25</v>
      </c>
    </row>
    <row r="77" spans="1:14" ht="15" thickBot="1" x14ac:dyDescent="0.4">
      <c r="B77" s="348" t="s">
        <v>104</v>
      </c>
    </row>
    <row r="78" spans="1:14" x14ac:dyDescent="0.35">
      <c r="B78" s="84" t="s">
        <v>18</v>
      </c>
      <c r="C78" s="349" t="s">
        <v>19</v>
      </c>
      <c r="D78" s="350" t="s">
        <v>25</v>
      </c>
      <c r="E78" s="350" t="s">
        <v>20</v>
      </c>
      <c r="F78" s="826" t="s">
        <v>22</v>
      </c>
      <c r="G78" s="826"/>
      <c r="H78" s="351" t="s">
        <v>23</v>
      </c>
      <c r="I78" s="350" t="s">
        <v>21</v>
      </c>
      <c r="J78" s="350" t="s">
        <v>24</v>
      </c>
      <c r="K78" s="350" t="s">
        <v>77</v>
      </c>
      <c r="L78" s="352" t="s">
        <v>26</v>
      </c>
      <c r="M78" s="4" t="s">
        <v>27</v>
      </c>
      <c r="N78" s="4" t="s">
        <v>0</v>
      </c>
    </row>
    <row r="79" spans="1:14" ht="15" thickBot="1" x14ac:dyDescent="0.4">
      <c r="B79" s="22" t="s">
        <v>306</v>
      </c>
      <c r="C79" s="353" t="s">
        <v>28</v>
      </c>
      <c r="D79" s="354" t="s">
        <v>33</v>
      </c>
      <c r="E79" s="354" t="s">
        <v>29</v>
      </c>
      <c r="F79" s="827" t="s">
        <v>30</v>
      </c>
      <c r="G79" s="827"/>
      <c r="H79" s="355" t="s">
        <v>31</v>
      </c>
      <c r="I79" s="354"/>
      <c r="J79" s="354" t="s">
        <v>38</v>
      </c>
      <c r="K79" s="354" t="s">
        <v>189</v>
      </c>
      <c r="L79" s="356" t="s">
        <v>0</v>
      </c>
      <c r="M79" s="5" t="s">
        <v>0</v>
      </c>
      <c r="N79" s="5" t="s">
        <v>77</v>
      </c>
    </row>
    <row r="80" spans="1:14" x14ac:dyDescent="0.35">
      <c r="A80" s="100">
        <v>1</v>
      </c>
      <c r="B80" s="474"/>
      <c r="C80" s="358"/>
      <c r="D80" s="359" t="str">
        <f>IF(B80=0," ",'kt info'!$G$27)</f>
        <v xml:space="preserve"> </v>
      </c>
      <c r="E80" s="360" t="str">
        <f>IF(B80=0," ",VLOOKUP(B80,WageBeneTable5[#All],2,FALSE))</f>
        <v xml:space="preserve"> </v>
      </c>
      <c r="F80" s="820">
        <f>IF($E80=" ",0,'Pay &amp; Benefits'!$C$10)</f>
        <v>0</v>
      </c>
      <c r="G80" s="821"/>
      <c r="H80" s="361" t="str">
        <f>IF($E80=" "," ",'Pay &amp; Benefits'!$C$11)</f>
        <v xml:space="preserve"> </v>
      </c>
      <c r="I80" s="362" t="str">
        <f t="shared" ref="I80:I89" si="6">IF(E80=" "," ",0.0765)</f>
        <v xml:space="preserve"> </v>
      </c>
      <c r="J80" s="363" t="str">
        <f>IF(B80=0," ",VLOOKUP(B80,WageBeneTable5[#All],3,FALSE))</f>
        <v xml:space="preserve"> </v>
      </c>
      <c r="K80" s="360" t="str">
        <f t="shared" ref="K80:K89" si="7">IF(B80=0," ",C80*E80*(1+I80+F80+H80+J80))</f>
        <v xml:space="preserve"> </v>
      </c>
      <c r="L80" s="360">
        <f t="shared" ref="L80:L89" si="8">IF(K80=" ",0,K80*D80)</f>
        <v>0</v>
      </c>
      <c r="M80" s="364">
        <f t="shared" ref="M80:M89" si="9">IF(B80=0,0,C80*D80)</f>
        <v>0</v>
      </c>
      <c r="N80" s="365">
        <f t="shared" ref="N80:N89" si="10">IF(L80=0,0,IF(D80=0,0,L80/D80))</f>
        <v>0</v>
      </c>
    </row>
    <row r="81" spans="1:14" x14ac:dyDescent="0.35">
      <c r="A81" s="100">
        <v>2</v>
      </c>
      <c r="B81" s="437"/>
      <c r="C81" s="367"/>
      <c r="D81" s="359" t="str">
        <f>IF(B81=0," ",'kt info'!$G$27)</f>
        <v xml:space="preserve"> </v>
      </c>
      <c r="E81" s="368" t="str">
        <f>IF(B81=0," ",VLOOKUP(B81,WageBeneTable5[#All],2,FALSE))</f>
        <v xml:space="preserve"> </v>
      </c>
      <c r="F81" s="822">
        <f>IF($E81=" ",0,'Pay &amp; Benefits'!$C$10)</f>
        <v>0</v>
      </c>
      <c r="G81" s="823"/>
      <c r="H81" s="369" t="str">
        <f>IF($E81=" "," ",'Pay &amp; Benefits'!$C$11)</f>
        <v xml:space="preserve"> </v>
      </c>
      <c r="I81" s="370" t="str">
        <f t="shared" si="6"/>
        <v xml:space="preserve"> </v>
      </c>
      <c r="J81" s="371" t="str">
        <f>IF(B81=0," ",VLOOKUP(B81,WageBeneTable5[#All],3,FALSE))</f>
        <v xml:space="preserve"> </v>
      </c>
      <c r="K81" s="368" t="str">
        <f t="shared" si="7"/>
        <v xml:space="preserve"> </v>
      </c>
      <c r="L81" s="368">
        <f t="shared" si="8"/>
        <v>0</v>
      </c>
      <c r="M81" s="372">
        <f t="shared" si="9"/>
        <v>0</v>
      </c>
      <c r="N81" s="373">
        <f t="shared" si="10"/>
        <v>0</v>
      </c>
    </row>
    <row r="82" spans="1:14" x14ac:dyDescent="0.35">
      <c r="A82" s="100">
        <v>3</v>
      </c>
      <c r="B82" s="437"/>
      <c r="C82" s="367"/>
      <c r="D82" s="359" t="str">
        <f>IF(B82=0," ",'kt info'!$G$27)</f>
        <v xml:space="preserve"> </v>
      </c>
      <c r="E82" s="368" t="str">
        <f>IF(B82=0," ",VLOOKUP(B82,WageBeneTable5[#All],2,FALSE))</f>
        <v xml:space="preserve"> </v>
      </c>
      <c r="F82" s="822">
        <f>IF($E82=" ",0,'Pay &amp; Benefits'!$C$10)</f>
        <v>0</v>
      </c>
      <c r="G82" s="823"/>
      <c r="H82" s="369" t="str">
        <f>IF($E82=" "," ",'Pay &amp; Benefits'!$C$11)</f>
        <v xml:space="preserve"> </v>
      </c>
      <c r="I82" s="370" t="str">
        <f t="shared" si="6"/>
        <v xml:space="preserve"> </v>
      </c>
      <c r="J82" s="371" t="str">
        <f>IF(B82=0," ",VLOOKUP(B82,WageBeneTable5[#All],3,FALSE))</f>
        <v xml:space="preserve"> </v>
      </c>
      <c r="K82" s="368" t="str">
        <f t="shared" si="7"/>
        <v xml:space="preserve"> </v>
      </c>
      <c r="L82" s="368">
        <f t="shared" si="8"/>
        <v>0</v>
      </c>
      <c r="M82" s="372">
        <f t="shared" si="9"/>
        <v>0</v>
      </c>
      <c r="N82" s="373">
        <f t="shared" si="10"/>
        <v>0</v>
      </c>
    </row>
    <row r="83" spans="1:14" x14ac:dyDescent="0.35">
      <c r="A83" s="100">
        <v>4</v>
      </c>
      <c r="B83" s="437"/>
      <c r="C83" s="367"/>
      <c r="D83" s="359" t="str">
        <f>IF(B83=0," ",'kt info'!$G$27)</f>
        <v xml:space="preserve"> </v>
      </c>
      <c r="E83" s="368" t="str">
        <f>IF(B83=0," ",VLOOKUP(B83,WageBeneTable5[#All],2,FALSE))</f>
        <v xml:space="preserve"> </v>
      </c>
      <c r="F83" s="822">
        <f>IF($E83=" ",0,'Pay &amp; Benefits'!$C$10)</f>
        <v>0</v>
      </c>
      <c r="G83" s="823"/>
      <c r="H83" s="369" t="str">
        <f>IF($E83=" "," ",'Pay &amp; Benefits'!$C$11)</f>
        <v xml:space="preserve"> </v>
      </c>
      <c r="I83" s="370" t="str">
        <f t="shared" si="6"/>
        <v xml:space="preserve"> </v>
      </c>
      <c r="J83" s="371" t="str">
        <f>IF(B83=0," ",VLOOKUP(B83,WageBeneTable5[#All],3,FALSE))</f>
        <v xml:space="preserve"> </v>
      </c>
      <c r="K83" s="368" t="str">
        <f t="shared" si="7"/>
        <v xml:space="preserve"> </v>
      </c>
      <c r="L83" s="368">
        <f t="shared" si="8"/>
        <v>0</v>
      </c>
      <c r="M83" s="372">
        <f t="shared" si="9"/>
        <v>0</v>
      </c>
      <c r="N83" s="373">
        <f t="shared" si="10"/>
        <v>0</v>
      </c>
    </row>
    <row r="84" spans="1:14" ht="15" thickBot="1" x14ac:dyDescent="0.4">
      <c r="A84" s="100">
        <v>5</v>
      </c>
      <c r="B84" s="439"/>
      <c r="C84" s="375"/>
      <c r="D84" s="376" t="str">
        <f>IF(B84=0," ",'kt info'!$G$27)</f>
        <v xml:space="preserve"> </v>
      </c>
      <c r="E84" s="377" t="str">
        <f>IF(B84=0," ",VLOOKUP(B84,WageBeneTable5[#All],2,FALSE))</f>
        <v xml:space="preserve"> </v>
      </c>
      <c r="F84" s="813">
        <f>IF($E84=" ",0,'Pay &amp; Benefits'!$C$10)</f>
        <v>0</v>
      </c>
      <c r="G84" s="814"/>
      <c r="H84" s="378" t="str">
        <f>IF($E84=" "," ",'Pay &amp; Benefits'!$C$11)</f>
        <v xml:space="preserve"> </v>
      </c>
      <c r="I84" s="379" t="str">
        <f t="shared" si="6"/>
        <v xml:space="preserve"> </v>
      </c>
      <c r="J84" s="380" t="str">
        <f>IF(B84=0," ",VLOOKUP(B84,WageBeneTable5[#All],3,FALSE))</f>
        <v xml:space="preserve"> </v>
      </c>
      <c r="K84" s="377" t="str">
        <f t="shared" si="7"/>
        <v xml:space="preserve"> </v>
      </c>
      <c r="L84" s="377">
        <f t="shared" si="8"/>
        <v>0</v>
      </c>
      <c r="M84" s="381">
        <f t="shared" si="9"/>
        <v>0</v>
      </c>
      <c r="N84" s="382">
        <f t="shared" si="10"/>
        <v>0</v>
      </c>
    </row>
    <row r="85" spans="1:14" x14ac:dyDescent="0.35">
      <c r="A85" s="100">
        <v>6</v>
      </c>
      <c r="B85" s="474"/>
      <c r="C85" s="383"/>
      <c r="D85" s="384" t="str">
        <f>IF(B85=0," ",'kt info'!$G$27)</f>
        <v xml:space="preserve"> </v>
      </c>
      <c r="E85" s="385" t="str">
        <f>IF(B85=0," ",VLOOKUP(B85,WageBeneTable5[#All],2,FALSE))</f>
        <v xml:space="preserve"> </v>
      </c>
      <c r="F85" s="820">
        <f>IF($E85=" ",0,'Pay &amp; Benefits'!$C$10)</f>
        <v>0</v>
      </c>
      <c r="G85" s="821"/>
      <c r="H85" s="386" t="str">
        <f>IF($E85=" "," ",'Pay &amp; Benefits'!$C$11)</f>
        <v xml:space="preserve"> </v>
      </c>
      <c r="I85" s="387" t="str">
        <f t="shared" si="6"/>
        <v xml:space="preserve"> </v>
      </c>
      <c r="J85" s="388" t="str">
        <f>IF(B85=0," ",VLOOKUP(B85,WageBeneTable5[#All],3,FALSE))</f>
        <v xml:space="preserve"> </v>
      </c>
      <c r="K85" s="385" t="str">
        <f t="shared" si="7"/>
        <v xml:space="preserve"> </v>
      </c>
      <c r="L85" s="385">
        <f t="shared" si="8"/>
        <v>0</v>
      </c>
      <c r="M85" s="389">
        <f t="shared" si="9"/>
        <v>0</v>
      </c>
      <c r="N85" s="390">
        <f t="shared" si="10"/>
        <v>0</v>
      </c>
    </row>
    <row r="86" spans="1:14" x14ac:dyDescent="0.35">
      <c r="A86" s="100">
        <v>7</v>
      </c>
      <c r="B86" s="437"/>
      <c r="C86" s="367"/>
      <c r="D86" s="384" t="str">
        <f>IF(B86=0," ",'kt info'!$G$27)</f>
        <v xml:space="preserve"> </v>
      </c>
      <c r="E86" s="385" t="str">
        <f>IF(B86=0," ",VLOOKUP(B86,WageBeneTable5[#All],2,FALSE))</f>
        <v xml:space="preserve"> </v>
      </c>
      <c r="F86" s="822">
        <f>IF($E86=" ",0,'Pay &amp; Benefits'!$C$10)</f>
        <v>0</v>
      </c>
      <c r="G86" s="823"/>
      <c r="H86" s="386" t="str">
        <f>IF($E86=" "," ",'Pay &amp; Benefits'!$C$11)</f>
        <v xml:space="preserve"> </v>
      </c>
      <c r="I86" s="387" t="str">
        <f t="shared" si="6"/>
        <v xml:space="preserve"> </v>
      </c>
      <c r="J86" s="388" t="str">
        <f>IF(B86=0," ",VLOOKUP(B86,WageBeneTable5[#All],3,FALSE))</f>
        <v xml:space="preserve"> </v>
      </c>
      <c r="K86" s="385" t="str">
        <f t="shared" si="7"/>
        <v xml:space="preserve"> </v>
      </c>
      <c r="L86" s="385">
        <f t="shared" si="8"/>
        <v>0</v>
      </c>
      <c r="M86" s="389">
        <f t="shared" si="9"/>
        <v>0</v>
      </c>
      <c r="N86" s="390">
        <f t="shared" si="10"/>
        <v>0</v>
      </c>
    </row>
    <row r="87" spans="1:14" x14ac:dyDescent="0.35">
      <c r="A87" s="100">
        <v>8</v>
      </c>
      <c r="B87" s="437"/>
      <c r="C87" s="367"/>
      <c r="D87" s="384" t="str">
        <f>IF(B87=0," ",'kt info'!$G$27)</f>
        <v xml:space="preserve"> </v>
      </c>
      <c r="E87" s="385" t="str">
        <f>IF(B87=0," ",VLOOKUP(B87,WageBeneTable5[#All],2,FALSE))</f>
        <v xml:space="preserve"> </v>
      </c>
      <c r="F87" s="822">
        <f>IF($E87=" ",0,'Pay &amp; Benefits'!$C$10)</f>
        <v>0</v>
      </c>
      <c r="G87" s="823"/>
      <c r="H87" s="386" t="str">
        <f>IF($E87=" "," ",'Pay &amp; Benefits'!$C$11)</f>
        <v xml:space="preserve"> </v>
      </c>
      <c r="I87" s="387" t="str">
        <f t="shared" si="6"/>
        <v xml:space="preserve"> </v>
      </c>
      <c r="J87" s="388" t="str">
        <f>IF(B87=0," ",VLOOKUP(B87,WageBeneTable5[#All],3,FALSE))</f>
        <v xml:space="preserve"> </v>
      </c>
      <c r="K87" s="385" t="str">
        <f t="shared" si="7"/>
        <v xml:space="preserve"> </v>
      </c>
      <c r="L87" s="385">
        <f t="shared" si="8"/>
        <v>0</v>
      </c>
      <c r="M87" s="389">
        <f t="shared" si="9"/>
        <v>0</v>
      </c>
      <c r="N87" s="390">
        <f t="shared" si="10"/>
        <v>0</v>
      </c>
    </row>
    <row r="88" spans="1:14" x14ac:dyDescent="0.35">
      <c r="A88" s="100">
        <v>9</v>
      </c>
      <c r="B88" s="437"/>
      <c r="C88" s="367"/>
      <c r="D88" s="384" t="str">
        <f>IF(B88=0," ",'kt info'!$G$27)</f>
        <v xml:space="preserve"> </v>
      </c>
      <c r="E88" s="385" t="str">
        <f>IF(B88=0," ",VLOOKUP(B88,WageBeneTable5[#All],2,FALSE))</f>
        <v xml:space="preserve"> </v>
      </c>
      <c r="F88" s="822">
        <f>IF($E88=" ",0,'Pay &amp; Benefits'!$C$10)</f>
        <v>0</v>
      </c>
      <c r="G88" s="823"/>
      <c r="H88" s="386" t="str">
        <f>IF($E88=" "," ",'Pay &amp; Benefits'!$C$11)</f>
        <v xml:space="preserve"> </v>
      </c>
      <c r="I88" s="387" t="str">
        <f t="shared" si="6"/>
        <v xml:space="preserve"> </v>
      </c>
      <c r="J88" s="388" t="str">
        <f>IF(B88=0," ",VLOOKUP(B88,WageBeneTable5[#All],3,FALSE))</f>
        <v xml:space="preserve"> </v>
      </c>
      <c r="K88" s="385" t="str">
        <f t="shared" si="7"/>
        <v xml:space="preserve"> </v>
      </c>
      <c r="L88" s="385">
        <f t="shared" si="8"/>
        <v>0</v>
      </c>
      <c r="M88" s="389">
        <f t="shared" si="9"/>
        <v>0</v>
      </c>
      <c r="N88" s="390">
        <f t="shared" si="10"/>
        <v>0</v>
      </c>
    </row>
    <row r="89" spans="1:14" ht="15" thickBot="1" x14ac:dyDescent="0.4">
      <c r="A89" s="100">
        <v>10</v>
      </c>
      <c r="B89" s="439"/>
      <c r="C89" s="375"/>
      <c r="D89" s="376" t="str">
        <f>IF(B89=0," ",'kt info'!$G$27)</f>
        <v xml:space="preserve"> </v>
      </c>
      <c r="E89" s="377" t="str">
        <f>IF(B89=0," ",VLOOKUP(B89,WageBeneTable5[#All],2,FALSE))</f>
        <v xml:space="preserve"> </v>
      </c>
      <c r="F89" s="813">
        <f>IF($E89=" ",0,'Pay &amp; Benefits'!$C$10)</f>
        <v>0</v>
      </c>
      <c r="G89" s="814"/>
      <c r="H89" s="378" t="str">
        <f>IF($E89=" "," ",'Pay &amp; Benefits'!$C$11)</f>
        <v xml:space="preserve"> </v>
      </c>
      <c r="I89" s="379" t="str">
        <f t="shared" si="6"/>
        <v xml:space="preserve"> </v>
      </c>
      <c r="J89" s="380" t="str">
        <f>IF(B89=0," ",VLOOKUP(B89,WageBeneTable5[#All],3,FALSE))</f>
        <v xml:space="preserve"> </v>
      </c>
      <c r="K89" s="377" t="str">
        <f t="shared" si="7"/>
        <v xml:space="preserve"> </v>
      </c>
      <c r="L89" s="377">
        <f t="shared" si="8"/>
        <v>0</v>
      </c>
      <c r="M89" s="381">
        <f t="shared" si="9"/>
        <v>0</v>
      </c>
      <c r="N89" s="382">
        <f t="shared" si="10"/>
        <v>0</v>
      </c>
    </row>
    <row r="90" spans="1:14" x14ac:dyDescent="0.35">
      <c r="K90" s="391"/>
      <c r="L90" s="392"/>
      <c r="M90" s="393"/>
    </row>
    <row r="91" spans="1:14" ht="15" thickBot="1" x14ac:dyDescent="0.4">
      <c r="B91" s="394" t="s">
        <v>203</v>
      </c>
      <c r="E91" s="395"/>
      <c r="H91" s="348" t="s">
        <v>199</v>
      </c>
      <c r="M91" s="475"/>
      <c r="N91" s="100"/>
    </row>
    <row r="92" spans="1:14" x14ac:dyDescent="0.35">
      <c r="B92" s="32" t="s">
        <v>123</v>
      </c>
      <c r="C92" s="398" t="s">
        <v>239</v>
      </c>
      <c r="D92" s="399" t="s">
        <v>9</v>
      </c>
      <c r="E92" s="400" t="s">
        <v>83</v>
      </c>
      <c r="H92" s="303" t="s">
        <v>15</v>
      </c>
      <c r="I92" s="4" t="s">
        <v>85</v>
      </c>
      <c r="J92" s="4" t="s">
        <v>16</v>
      </c>
      <c r="K92" s="4" t="s">
        <v>241</v>
      </c>
      <c r="L92" s="4" t="s">
        <v>83</v>
      </c>
      <c r="M92" s="476"/>
      <c r="N92" s="477"/>
    </row>
    <row r="93" spans="1:14" ht="15" thickBot="1" x14ac:dyDescent="0.4">
      <c r="B93" s="33" t="s">
        <v>124</v>
      </c>
      <c r="C93" s="401" t="s">
        <v>84</v>
      </c>
      <c r="D93" s="402" t="s">
        <v>10</v>
      </c>
      <c r="E93" s="403" t="s">
        <v>84</v>
      </c>
      <c r="H93" s="304" t="s">
        <v>13</v>
      </c>
      <c r="I93" s="5" t="s">
        <v>86</v>
      </c>
      <c r="J93" s="5" t="s">
        <v>17</v>
      </c>
      <c r="K93" s="5" t="s">
        <v>12</v>
      </c>
      <c r="L93" s="5" t="s">
        <v>84</v>
      </c>
      <c r="M93" s="478"/>
      <c r="N93" s="479"/>
    </row>
    <row r="94" spans="1:14" x14ac:dyDescent="0.35">
      <c r="A94" s="100">
        <v>1</v>
      </c>
      <c r="B94" s="474"/>
      <c r="C94" s="406"/>
      <c r="D94" s="407">
        <f>IF(B94=0,0,VLOOKUP(B94,Supplies!$B$13:$C$97,2,FALSE))</f>
        <v>0</v>
      </c>
      <c r="E94" s="360">
        <f>IF(D94=" "," ",D94*C94)</f>
        <v>0</v>
      </c>
      <c r="G94" s="100">
        <v>1</v>
      </c>
      <c r="H94" s="408"/>
      <c r="I94" s="409"/>
      <c r="J94" s="410"/>
      <c r="K94" s="331" t="str">
        <f>IF(H94=0," ",IF(VLOOKUP(H94,'Equipment List'!$B$12:$F$96,5,FALSE)=0,0,IF(VLOOKUP(H94,'Equipment List'!$B$12:$F$96,5,FALSE)="Grant","Grant",IF(VLOOKUP(H94,'Equipment List'!$B$12:$F$96,5,FALSE)="Depreciated","Depreciated",VLOOKUP(H94,'Equipment List'!$B$12:$F$96,5,FALSE)*I94*J94))))</f>
        <v xml:space="preserve"> </v>
      </c>
      <c r="L94" s="365" t="str">
        <f>IF(K94=" "," ",IF(K94="Grant",0,IF(K94="Depreciated",0,IF('kt info'!$G$27=0,"No Service Frequency",K94/'kt info'!$G$27))))</f>
        <v xml:space="preserve"> </v>
      </c>
      <c r="M94" s="480"/>
      <c r="N94" s="404"/>
    </row>
    <row r="95" spans="1:14" x14ac:dyDescent="0.35">
      <c r="A95" s="100">
        <v>2</v>
      </c>
      <c r="B95" s="437"/>
      <c r="C95" s="414"/>
      <c r="D95" s="415">
        <f>IF(B95=0,0,VLOOKUP(B95,Supplies!$B$13:$C$97,2,FALSE))</f>
        <v>0</v>
      </c>
      <c r="E95" s="385">
        <f t="shared" ref="E95:E109" si="11">IF(D95=" "," ",D95*C95)</f>
        <v>0</v>
      </c>
      <c r="G95" s="100">
        <v>2</v>
      </c>
      <c r="H95" s="416"/>
      <c r="I95" s="417"/>
      <c r="J95" s="418"/>
      <c r="K95" s="421" t="str">
        <f>IF(H95=0," ",IF(VLOOKUP(H95,'Equipment List'!$B$12:$F$96,5,FALSE)=0,0,IF(VLOOKUP(H95,'Equipment List'!$B$12:$F$96,5,FALSE)="Grant","Grant",IF(VLOOKUP(H95,'Equipment List'!$B$12:$F$96,5,FALSE)="Depreciated","Depreciated",VLOOKUP(H95,'Equipment List'!$B$12:$F$96,5,FALSE)*I95*J95))))</f>
        <v xml:space="preserve"> </v>
      </c>
      <c r="L95" s="390" t="str">
        <f>IF(K95=" "," ",IF(K95="Grant",0,IF(K95="Depreciated",0,IF('kt info'!$G$27=0,"No Service Frequency",K95/'kt info'!$G$27))))</f>
        <v xml:space="preserve"> </v>
      </c>
    </row>
    <row r="96" spans="1:14" x14ac:dyDescent="0.35">
      <c r="A96" s="100">
        <v>3</v>
      </c>
      <c r="B96" s="437"/>
      <c r="C96" s="414"/>
      <c r="D96" s="415">
        <f>IF(B96=0,0,VLOOKUP(B96,Supplies!$B$13:$C$97,2,FALSE))</f>
        <v>0</v>
      </c>
      <c r="E96" s="385">
        <f t="shared" si="11"/>
        <v>0</v>
      </c>
      <c r="G96" s="100">
        <v>3</v>
      </c>
      <c r="H96" s="416"/>
      <c r="I96" s="417"/>
      <c r="J96" s="418"/>
      <c r="K96" s="421" t="str">
        <f>IF(H96=0," ",IF(VLOOKUP(H96,'Equipment List'!$B$12:$F$96,5,FALSE)=0,0,IF(VLOOKUP(H96,'Equipment List'!$B$12:$F$96,5,FALSE)="Grant","Grant",IF(VLOOKUP(H96,'Equipment List'!$B$12:$F$96,5,FALSE)="Depreciated","Depreciated",VLOOKUP(H96,'Equipment List'!$B$12:$F$96,5,FALSE)*I96*J96))))</f>
        <v xml:space="preserve"> </v>
      </c>
      <c r="L96" s="390" t="str">
        <f>IF(K96=" "," ",IF(K96="Grant",0,IF(K96="Depreciated",0,IF('kt info'!$G$27=0,"No Service Frequency",K96/'kt info'!$G$27))))</f>
        <v xml:space="preserve"> </v>
      </c>
    </row>
    <row r="97" spans="1:14" x14ac:dyDescent="0.35">
      <c r="A97" s="100">
        <v>4</v>
      </c>
      <c r="B97" s="437"/>
      <c r="C97" s="414"/>
      <c r="D97" s="415">
        <f>IF(B97=0,0,VLOOKUP(B97,Supplies!$B$13:$C$97,2,FALSE))</f>
        <v>0</v>
      </c>
      <c r="E97" s="385">
        <f t="shared" si="11"/>
        <v>0</v>
      </c>
      <c r="G97" s="100">
        <v>4</v>
      </c>
      <c r="H97" s="416"/>
      <c r="I97" s="417"/>
      <c r="J97" s="418"/>
      <c r="K97" s="421" t="str">
        <f>IF(H97=0," ",IF(VLOOKUP(H97,'Equipment List'!$B$12:$F$96,5,FALSE)=0,0,IF(VLOOKUP(H97,'Equipment List'!$B$12:$F$96,5,FALSE)="Grant","Grant",IF(VLOOKUP(H97,'Equipment List'!$B$12:$F$96,5,FALSE)="Depreciated","Depreciated",VLOOKUP(H97,'Equipment List'!$B$12:$F$96,5,FALSE)*I97*J97))))</f>
        <v xml:space="preserve"> </v>
      </c>
      <c r="L97" s="390" t="str">
        <f>IF(K97=" "," ",IF(K97="Grant",0,IF(K97="Depreciated",0,IF('kt info'!$G$27=0,"No Service Frequency",K97/'kt info'!$G$27))))</f>
        <v xml:space="preserve"> </v>
      </c>
    </row>
    <row r="98" spans="1:14" ht="15" thickBot="1" x14ac:dyDescent="0.4">
      <c r="A98" s="100">
        <v>5</v>
      </c>
      <c r="B98" s="439"/>
      <c r="C98" s="423"/>
      <c r="D98" s="424">
        <f>IF(B98=0,0,VLOOKUP(B98,Supplies!$B$13:$C$97,2,FALSE))</f>
        <v>0</v>
      </c>
      <c r="E98" s="377">
        <f t="shared" si="11"/>
        <v>0</v>
      </c>
      <c r="G98" s="100">
        <v>5</v>
      </c>
      <c r="H98" s="425"/>
      <c r="I98" s="426"/>
      <c r="J98" s="427"/>
      <c r="K98" s="428" t="str">
        <f>IF(H98=0," ",IF(VLOOKUP(H98,'Equipment List'!$B$12:$F$96,5,FALSE)=0,0,IF(VLOOKUP(H98,'Equipment List'!$B$12:$F$96,5,FALSE)="Grant","Grant",IF(VLOOKUP(H98,'Equipment List'!$B$12:$F$96,5,FALSE)="Depreciated","Depreciated",VLOOKUP(H98,'Equipment List'!$B$12:$F$96,5,FALSE)*I98*J98))))</f>
        <v xml:space="preserve"> </v>
      </c>
      <c r="L98" s="382" t="str">
        <f>IF(K98=" "," ",IF(K98="Grant",0,IF(K98="Depreciated",0,IF('kt info'!$G$27=0,"No Service Frequency",K98/'kt info'!$G$27))))</f>
        <v xml:space="preserve"> </v>
      </c>
    </row>
    <row r="99" spans="1:14" x14ac:dyDescent="0.35">
      <c r="A99" s="100">
        <v>6</v>
      </c>
      <c r="B99" s="433"/>
      <c r="C99" s="431"/>
      <c r="D99" s="432">
        <f>IF(B99=0,0,VLOOKUP(B99,Supplies!$B$13:$C$97,2,FALSE))</f>
        <v>0</v>
      </c>
      <c r="E99" s="385">
        <f t="shared" si="11"/>
        <v>0</v>
      </c>
      <c r="G99" s="100">
        <v>6</v>
      </c>
      <c r="H99" s="433"/>
      <c r="I99" s="434"/>
      <c r="J99" s="435"/>
      <c r="K99" s="436" t="str">
        <f>IF(H99=0," ",IF(VLOOKUP(H99,'Equipment List'!$B$12:$F$96,5,FALSE)=0,0,IF(VLOOKUP(H99,'Equipment List'!$B$12:$F$96,5,FALSE)="Grant","Grant",IF(VLOOKUP(H99,'Equipment List'!$B$12:$F$96,5,FALSE)="Depreciated","Depreciated",VLOOKUP(H99,'Equipment List'!$B$12:$F$96,5,FALSE)*I99*J99))))</f>
        <v xml:space="preserve"> </v>
      </c>
      <c r="L99" s="390" t="str">
        <f>IF(K99=" "," ",IF(K99="Grant",0,IF(K99="Depreciated",0,IF('kt info'!$G$27=0,"No Service Frequency",K99/'kt info'!$G$27))))</f>
        <v xml:space="preserve"> </v>
      </c>
    </row>
    <row r="100" spans="1:14" x14ac:dyDescent="0.35">
      <c r="A100" s="100">
        <v>7</v>
      </c>
      <c r="B100" s="437"/>
      <c r="C100" s="414"/>
      <c r="D100" s="415">
        <f>IF(B100=0,0,VLOOKUP(B100,Supplies!$B$13:$C$97,2,FALSE))</f>
        <v>0</v>
      </c>
      <c r="E100" s="385">
        <f t="shared" si="11"/>
        <v>0</v>
      </c>
      <c r="G100" s="100">
        <v>7</v>
      </c>
      <c r="H100" s="437"/>
      <c r="I100" s="417"/>
      <c r="J100" s="418"/>
      <c r="K100" s="438" t="str">
        <f>IF(H100=0," ",IF(VLOOKUP(H100,'Equipment List'!$B$12:$F$96,5,FALSE)=0,0,IF(VLOOKUP(H100,'Equipment List'!$B$12:$F$96,5,FALSE)="Grant","Grant",IF(VLOOKUP(H100,'Equipment List'!$B$12:$F$96,5,FALSE)="Depreciated","Depreciated",VLOOKUP(H100,'Equipment List'!$B$12:$F$96,5,FALSE)*I100*J100))))</f>
        <v xml:space="preserve"> </v>
      </c>
      <c r="L100" s="390" t="str">
        <f>IF(K100=" "," ",IF(K100="Grant",0,IF(K100="Depreciated",0,IF('kt info'!$G$27=0,"No Service Frequency",K100/'kt info'!$G$27))))</f>
        <v xml:space="preserve"> </v>
      </c>
    </row>
    <row r="101" spans="1:14" x14ac:dyDescent="0.35">
      <c r="A101" s="100">
        <v>8</v>
      </c>
      <c r="B101" s="437"/>
      <c r="C101" s="414"/>
      <c r="D101" s="415">
        <f>IF(B101=0,0,VLOOKUP(B101,Supplies!$B$13:$C$97,2,FALSE))</f>
        <v>0</v>
      </c>
      <c r="E101" s="385">
        <f t="shared" si="11"/>
        <v>0</v>
      </c>
      <c r="G101" s="100">
        <v>8</v>
      </c>
      <c r="H101" s="437"/>
      <c r="I101" s="417"/>
      <c r="J101" s="418"/>
      <c r="K101" s="438" t="str">
        <f>IF(H101=0," ",IF(VLOOKUP(H101,'Equipment List'!$B$12:$F$96,5,FALSE)=0,0,IF(VLOOKUP(H101,'Equipment List'!$B$12:$F$96,5,FALSE)="Grant","Grant",IF(VLOOKUP(H101,'Equipment List'!$B$12:$F$96,5,FALSE)="Depreciated","Depreciated",VLOOKUP(H101,'Equipment List'!$B$12:$F$96,5,FALSE)*I101*J101))))</f>
        <v xml:space="preserve"> </v>
      </c>
      <c r="L101" s="390" t="str">
        <f>IF(K101=" "," ",IF(K101="Grant",0,IF(K101="Depreciated",0,IF('kt info'!$G$27=0,"No Service Frequency",K101/'kt info'!$G$27))))</f>
        <v xml:space="preserve"> </v>
      </c>
    </row>
    <row r="102" spans="1:14" x14ac:dyDescent="0.35">
      <c r="A102" s="100">
        <v>9</v>
      </c>
      <c r="B102" s="437"/>
      <c r="C102" s="414"/>
      <c r="D102" s="415">
        <f>IF(B102=0,0,VLOOKUP(B102,Supplies!$B$13:$C$97,2,FALSE))</f>
        <v>0</v>
      </c>
      <c r="E102" s="385">
        <f t="shared" si="11"/>
        <v>0</v>
      </c>
      <c r="G102" s="100">
        <v>9</v>
      </c>
      <c r="H102" s="437"/>
      <c r="I102" s="417"/>
      <c r="J102" s="418"/>
      <c r="K102" s="438" t="str">
        <f>IF(H102=0," ",IF(VLOOKUP(H102,'Equipment List'!$B$12:$F$96,5,FALSE)=0,0,IF(VLOOKUP(H102,'Equipment List'!$B$12:$F$96,5,FALSE)="Grant","Grant",IF(VLOOKUP(H102,'Equipment List'!$B$12:$F$96,5,FALSE)="Depreciated","Depreciated",VLOOKUP(H102,'Equipment List'!$B$12:$F$96,5,FALSE)*I102*J102))))</f>
        <v xml:space="preserve"> </v>
      </c>
      <c r="L102" s="390" t="str">
        <f>IF(K102=" "," ",IF(K102="Grant",0,IF(K102="Depreciated",0,IF('kt info'!$G$27=0,"No Service Frequency",K102/'kt info'!$G$27))))</f>
        <v xml:space="preserve"> </v>
      </c>
    </row>
    <row r="103" spans="1:14" ht="15" thickBot="1" x14ac:dyDescent="0.4">
      <c r="A103" s="100">
        <v>10</v>
      </c>
      <c r="B103" s="439"/>
      <c r="C103" s="423"/>
      <c r="D103" s="424">
        <f>IF(B103=0,0,VLOOKUP(B103,Supplies!$B$13:$C$97,2,FALSE))</f>
        <v>0</v>
      </c>
      <c r="E103" s="377">
        <f t="shared" si="11"/>
        <v>0</v>
      </c>
      <c r="G103" s="100">
        <v>10</v>
      </c>
      <c r="H103" s="439"/>
      <c r="I103" s="426"/>
      <c r="J103" s="427"/>
      <c r="K103" s="440" t="str">
        <f>IF(H103=0," ",IF(VLOOKUP(H103,'Equipment List'!$B$12:$F$96,5,FALSE)=0,0,IF(VLOOKUP(H103,'Equipment List'!$B$12:$F$96,5,FALSE)="Grant","Grant",IF(VLOOKUP(H103,'Equipment List'!$B$12:$F$96,5,FALSE)="Depreciated","Depreciated",VLOOKUP(H103,'Equipment List'!$B$12:$F$96,5,FALSE)*I103*J103))))</f>
        <v xml:space="preserve"> </v>
      </c>
      <c r="L103" s="382" t="str">
        <f>IF(K103=" "," ",IF(K103="Grant",0,IF(K103="Depreciated",0,IF('kt info'!$G$27=0,"No Service Frequency",K103/'kt info'!$G$27))))</f>
        <v xml:space="preserve"> </v>
      </c>
    </row>
    <row r="104" spans="1:14" x14ac:dyDescent="0.35">
      <c r="A104" s="100">
        <v>11</v>
      </c>
      <c r="B104" s="433"/>
      <c r="C104" s="431"/>
      <c r="D104" s="432">
        <f>IF(B104=0,0,VLOOKUP(B104,Supplies!$B$13:$C$97,2,FALSE))</f>
        <v>0</v>
      </c>
      <c r="E104" s="385">
        <f t="shared" si="11"/>
        <v>0</v>
      </c>
    </row>
    <row r="105" spans="1:14" ht="15" thickBot="1" x14ac:dyDescent="0.4">
      <c r="A105" s="100">
        <v>12</v>
      </c>
      <c r="B105" s="437"/>
      <c r="C105" s="414"/>
      <c r="D105" s="415">
        <f>IF(B105=0,0,VLOOKUP(B105,Supplies!$B$13:$C$97,2,FALSE))</f>
        <v>0</v>
      </c>
      <c r="E105" s="385">
        <f t="shared" si="11"/>
        <v>0</v>
      </c>
      <c r="H105" s="147" t="s">
        <v>200</v>
      </c>
      <c r="I105" s="148"/>
      <c r="J105" s="354"/>
      <c r="K105" s="354"/>
      <c r="L105" s="354"/>
      <c r="M105" s="354"/>
    </row>
    <row r="106" spans="1:14" x14ac:dyDescent="0.35">
      <c r="A106" s="100">
        <v>13</v>
      </c>
      <c r="B106" s="437"/>
      <c r="C106" s="414"/>
      <c r="D106" s="415">
        <f>IF(B106=0,0,VLOOKUP(B106,Supplies!$B$13:$C$97,2,FALSE))</f>
        <v>0</v>
      </c>
      <c r="E106" s="385">
        <f t="shared" si="11"/>
        <v>0</v>
      </c>
      <c r="H106" s="441" t="s">
        <v>159</v>
      </c>
      <c r="I106" s="4" t="s">
        <v>92</v>
      </c>
      <c r="J106" s="4" t="s">
        <v>300</v>
      </c>
      <c r="K106" s="350" t="s">
        <v>93</v>
      </c>
      <c r="L106" s="4" t="s">
        <v>12</v>
      </c>
      <c r="M106" s="4" t="s">
        <v>12</v>
      </c>
      <c r="N106" s="481"/>
    </row>
    <row r="107" spans="1:14" ht="15" thickBot="1" x14ac:dyDescent="0.4">
      <c r="A107" s="100">
        <v>14</v>
      </c>
      <c r="B107" s="437"/>
      <c r="C107" s="414"/>
      <c r="D107" s="415">
        <f>IF(B107=0,0,VLOOKUP(B107,Supplies!$B$13:$C$97,2,FALSE))</f>
        <v>0</v>
      </c>
      <c r="E107" s="385">
        <f t="shared" si="11"/>
        <v>0</v>
      </c>
      <c r="H107" s="305" t="s">
        <v>13</v>
      </c>
      <c r="I107" s="5" t="s">
        <v>301</v>
      </c>
      <c r="J107" s="5" t="s">
        <v>169</v>
      </c>
      <c r="K107" s="354" t="s">
        <v>94</v>
      </c>
      <c r="L107" s="5" t="s">
        <v>302</v>
      </c>
      <c r="M107" s="5" t="s">
        <v>240</v>
      </c>
      <c r="N107" s="481"/>
    </row>
    <row r="108" spans="1:14" ht="15" thickBot="1" x14ac:dyDescent="0.4">
      <c r="A108" s="100">
        <v>15</v>
      </c>
      <c r="B108" s="439"/>
      <c r="C108" s="442"/>
      <c r="D108" s="443">
        <f>IF(B108=0,0,VLOOKUP(B108,Supplies!$B$13:$C$97,2,FALSE))</f>
        <v>0</v>
      </c>
      <c r="E108" s="377">
        <f t="shared" si="11"/>
        <v>0</v>
      </c>
      <c r="G108" s="393"/>
      <c r="H108" s="258"/>
      <c r="I108" s="444"/>
      <c r="J108" s="445"/>
      <c r="K108" s="446">
        <f>IF(H108=0,0,VLOOKUP(H108,Transportation!$B$6:$L$16,11,FALSE))</f>
        <v>0</v>
      </c>
      <c r="L108" s="447">
        <f>IF(I108=0,0,I108*K108)</f>
        <v>0</v>
      </c>
      <c r="M108" s="448">
        <f>IF(I108=0,0,I108*K108*J108)</f>
        <v>0</v>
      </c>
      <c r="N108" s="482"/>
    </row>
    <row r="109" spans="1:14" ht="15" thickBot="1" x14ac:dyDescent="0.4">
      <c r="A109" s="100">
        <v>16</v>
      </c>
      <c r="B109" s="433"/>
      <c r="C109" s="449"/>
      <c r="D109" s="450">
        <f>IF(B109=0,0,VLOOKUP(B109,Supplies!$B$13:$C$97,2,FALSE))</f>
        <v>0</v>
      </c>
      <c r="E109" s="385">
        <f t="shared" si="11"/>
        <v>0</v>
      </c>
      <c r="H109" s="259"/>
      <c r="I109" s="451"/>
      <c r="J109" s="452"/>
      <c r="K109" s="453">
        <f>IF(H109=0,0,VLOOKUP(H109,Transportation!$B$6:$L$16,11,FALSE))</f>
        <v>0</v>
      </c>
      <c r="L109" s="454">
        <f>IF(I109=0,0,I109*K109)</f>
        <v>0</v>
      </c>
      <c r="M109" s="455">
        <f>IF(I109=0,0,I109*K109*J109)</f>
        <v>0</v>
      </c>
      <c r="N109" s="482"/>
    </row>
    <row r="110" spans="1:14" x14ac:dyDescent="0.35">
      <c r="A110" s="100">
        <v>17</v>
      </c>
      <c r="B110" s="437"/>
      <c r="C110" s="456"/>
      <c r="D110" s="457">
        <f>IF(B110=0,0,VLOOKUP(B110,Supplies!$B$13:$C$97,2,FALSE))</f>
        <v>0</v>
      </c>
      <c r="E110" s="385">
        <f>IF(D110=" "," ",D110*C110)</f>
        <v>0</v>
      </c>
      <c r="H110" s="260"/>
      <c r="I110" s="458"/>
      <c r="J110" s="459"/>
      <c r="K110" s="460"/>
      <c r="L110" s="460"/>
      <c r="M110" s="460"/>
      <c r="N110" s="483"/>
    </row>
    <row r="111" spans="1:14" ht="15" thickBot="1" x14ac:dyDescent="0.4">
      <c r="A111" s="100">
        <v>18</v>
      </c>
      <c r="B111" s="437"/>
      <c r="C111" s="456"/>
      <c r="D111" s="457">
        <f>IF(B111=0,0,VLOOKUP(B111,Supplies!$B$13:$C$97,2,FALSE))</f>
        <v>0</v>
      </c>
      <c r="E111" s="385">
        <f>IF(D111=" "," ",D111*C111)</f>
        <v>0</v>
      </c>
      <c r="H111" s="461" t="s">
        <v>201</v>
      </c>
      <c r="I111" s="462"/>
      <c r="J111" s="463"/>
      <c r="K111" s="464"/>
      <c r="L111" s="464"/>
      <c r="M111" s="464"/>
      <c r="N111" s="483"/>
    </row>
    <row r="112" spans="1:14" x14ac:dyDescent="0.35">
      <c r="A112" s="100">
        <v>19</v>
      </c>
      <c r="B112" s="437"/>
      <c r="C112" s="456"/>
      <c r="D112" s="457">
        <f>IF(B112=0,0,VLOOKUP(B112,Supplies!$B$13:$C$97,2,FALSE))</f>
        <v>0</v>
      </c>
      <c r="E112" s="385">
        <f>IF(D112=" "," ",D112*C112)</f>
        <v>0</v>
      </c>
      <c r="H112" s="465" t="s">
        <v>202</v>
      </c>
      <c r="I112" s="466" t="s">
        <v>204</v>
      </c>
      <c r="J112" s="463"/>
      <c r="K112" s="464"/>
      <c r="L112" s="464"/>
      <c r="M112" s="464"/>
      <c r="N112" s="483"/>
    </row>
    <row r="113" spans="1:14" ht="15" thickBot="1" x14ac:dyDescent="0.4">
      <c r="A113" s="100">
        <v>20</v>
      </c>
      <c r="B113" s="439"/>
      <c r="C113" s="442"/>
      <c r="D113" s="443">
        <f>IF(B113=0,0,VLOOKUP(B113,Supplies!$B$13:$C$97,2,FALSE))</f>
        <v>0</v>
      </c>
      <c r="E113" s="377">
        <f>IF(D113=" "," ",D113*C113)</f>
        <v>0</v>
      </c>
      <c r="H113" s="467"/>
      <c r="I113" s="484" t="str">
        <f>IF(H113=0," ",VLOOKUP(H113,Subcontractors!$B$15:$E$25,4))</f>
        <v xml:space="preserve"> </v>
      </c>
      <c r="J113" s="463"/>
      <c r="K113" s="464"/>
      <c r="L113" s="464"/>
      <c r="M113" s="464"/>
    </row>
    <row r="114" spans="1:14" ht="15" thickBot="1" x14ac:dyDescent="0.4">
      <c r="A114" s="100"/>
      <c r="B114" s="335"/>
      <c r="C114" s="485"/>
      <c r="D114" s="397"/>
      <c r="E114" s="397"/>
      <c r="H114" s="469"/>
      <c r="I114" s="486" t="str">
        <f>IF(H114=0," ",VLOOKUP(H114,Subcontractors!$B$15:$E$25,4))</f>
        <v xml:space="preserve"> </v>
      </c>
    </row>
    <row r="115" spans="1:14" x14ac:dyDescent="0.35">
      <c r="A115" s="100"/>
      <c r="B115" s="335"/>
      <c r="C115" s="485"/>
      <c r="D115" s="397"/>
      <c r="E115" s="397"/>
      <c r="H115" s="473"/>
      <c r="I115" s="404"/>
    </row>
    <row r="116" spans="1:14" ht="18.5" x14ac:dyDescent="0.35">
      <c r="A116" s="818" t="s">
        <v>192</v>
      </c>
      <c r="B116" s="828"/>
      <c r="C116" s="828"/>
      <c r="D116" s="828"/>
      <c r="E116" s="828"/>
      <c r="F116" s="828"/>
      <c r="G116" s="150" t="str">
        <f>B67</f>
        <v>High Traffic Carpet</v>
      </c>
      <c r="H116" s="301"/>
      <c r="I116" s="150"/>
      <c r="J116" s="150"/>
      <c r="K116" s="150"/>
      <c r="L116" s="150"/>
      <c r="M116" s="150"/>
      <c r="N116" s="150"/>
    </row>
    <row r="117" spans="1:14" ht="18.5" x14ac:dyDescent="0.35">
      <c r="A117" s="818" t="s">
        <v>193</v>
      </c>
      <c r="B117" s="828"/>
      <c r="C117" s="828"/>
      <c r="D117" s="828"/>
      <c r="E117" s="828"/>
      <c r="F117" s="828"/>
      <c r="G117" s="150" t="str">
        <f>B125</f>
        <v>Hard Floor Strip and Wax</v>
      </c>
      <c r="H117" s="301"/>
      <c r="I117" s="150"/>
      <c r="J117" s="150"/>
      <c r="K117" s="150"/>
      <c r="L117" s="150"/>
      <c r="M117" s="150"/>
      <c r="N117" s="150"/>
    </row>
    <row r="119" spans="1:14" x14ac:dyDescent="0.35">
      <c r="B119" s="222" t="s">
        <v>109</v>
      </c>
      <c r="C119" s="735">
        <f>'kt info'!$C$3</f>
        <v>0</v>
      </c>
      <c r="D119" s="735"/>
      <c r="E119" s="736"/>
      <c r="F119" s="737"/>
      <c r="H119" s="333"/>
      <c r="J119" s="811" t="s">
        <v>170</v>
      </c>
      <c r="K119" s="708"/>
      <c r="L119" s="708"/>
      <c r="M119" s="708"/>
    </row>
    <row r="120" spans="1:14" x14ac:dyDescent="0.35">
      <c r="C120" s="300"/>
      <c r="D120" s="100"/>
      <c r="E120" s="100"/>
      <c r="F120" s="100"/>
      <c r="I120" s="329"/>
      <c r="J120" s="329" t="str">
        <f>$B$10</f>
        <v>All Carpets</v>
      </c>
      <c r="L120" s="336" t="str">
        <f>$B$415</f>
        <v>Enter Periodical Service 1</v>
      </c>
    </row>
    <row r="121" spans="1:14" x14ac:dyDescent="0.35">
      <c r="B121" s="222" t="s">
        <v>110</v>
      </c>
      <c r="C121" s="735">
        <f>'kt info'!$C$5</f>
        <v>0</v>
      </c>
      <c r="D121" s="735"/>
      <c r="E121" s="737"/>
      <c r="F121" s="737"/>
      <c r="J121" s="329" t="str">
        <f>$B$67</f>
        <v>High Traffic Carpet</v>
      </c>
      <c r="L121" s="336" t="str">
        <f>$B$473</f>
        <v>Enter Periodical Service 2</v>
      </c>
    </row>
    <row r="122" spans="1:14" x14ac:dyDescent="0.35">
      <c r="C122" s="300"/>
      <c r="D122" s="100"/>
      <c r="E122" s="100"/>
      <c r="F122" s="100"/>
      <c r="J122" s="329" t="str">
        <f>$B$125</f>
        <v>Hard Floor Strip and Wax</v>
      </c>
      <c r="L122" s="336" t="str">
        <f>$B$531</f>
        <v>Enter Periodical Service 3</v>
      </c>
    </row>
    <row r="123" spans="1:14" x14ac:dyDescent="0.35">
      <c r="B123" s="222" t="s">
        <v>135</v>
      </c>
      <c r="C123" s="735">
        <f>'kt info'!$C$7</f>
        <v>0</v>
      </c>
      <c r="D123" s="735"/>
      <c r="E123" s="737"/>
      <c r="F123" s="737"/>
      <c r="J123" s="329" t="str">
        <f>$B$183</f>
        <v>Hard Floor Scrub and Seal</v>
      </c>
      <c r="L123" s="336" t="str">
        <f>$B$589</f>
        <v>Enter Periodical Service 4</v>
      </c>
    </row>
    <row r="124" spans="1:14" x14ac:dyDescent="0.35">
      <c r="J124" s="336" t="str">
        <f>$B$241</f>
        <v>Window Washing</v>
      </c>
      <c r="L124" s="336" t="str">
        <f>$B$647</f>
        <v>Enter Periodical Service 5</v>
      </c>
    </row>
    <row r="125" spans="1:14" ht="18.5" x14ac:dyDescent="0.35">
      <c r="A125" s="337"/>
      <c r="B125" s="338" t="str">
        <f>'kt info'!B29</f>
        <v>Hard Floor Strip and Wax</v>
      </c>
      <c r="C125" s="339"/>
      <c r="D125" s="337"/>
      <c r="E125" s="337"/>
      <c r="F125" s="337"/>
      <c r="G125" s="337"/>
      <c r="H125" s="302" t="s">
        <v>77</v>
      </c>
      <c r="I125" s="236" t="s">
        <v>238</v>
      </c>
      <c r="J125" s="336" t="str">
        <f>$B$299</f>
        <v>Clean Chairs</v>
      </c>
      <c r="L125" s="336" t="str">
        <f>$B$705</f>
        <v>Enter Periodical Service 6</v>
      </c>
      <c r="M125" s="337"/>
      <c r="N125" s="337"/>
    </row>
    <row r="126" spans="1:14" x14ac:dyDescent="0.35">
      <c r="E126" s="830" t="s">
        <v>79</v>
      </c>
      <c r="F126" s="831"/>
      <c r="G126" s="832"/>
      <c r="H126" s="341">
        <f>IF(SUM(M138:M147)&gt;0,SUM(M138:M147)/'kt info'!$G$29,0)</f>
        <v>0</v>
      </c>
      <c r="I126" s="342">
        <f>H126*'kt info'!$G$29</f>
        <v>0</v>
      </c>
      <c r="J126" s="336" t="str">
        <f>$B$357</f>
        <v>High Dusting</v>
      </c>
      <c r="L126" s="336" t="str">
        <f>$B$763</f>
        <v>Enter Periodical Service 7</v>
      </c>
    </row>
    <row r="127" spans="1:14" x14ac:dyDescent="0.35">
      <c r="B127" s="343" t="s">
        <v>78</v>
      </c>
      <c r="E127" s="830" t="s">
        <v>189</v>
      </c>
      <c r="F127" s="831"/>
      <c r="G127" s="832"/>
      <c r="H127" s="344">
        <f>IF(SUM(K138:K147)&gt;0,SUM(K138:K147),0)</f>
        <v>0</v>
      </c>
      <c r="I127" s="345">
        <f>H127*'kt info'!$G$29</f>
        <v>0</v>
      </c>
      <c r="J127" s="336"/>
      <c r="L127" s="336" t="str">
        <f>$B$821</f>
        <v>Enter Periodical Service 8</v>
      </c>
    </row>
    <row r="128" spans="1:14" x14ac:dyDescent="0.35">
      <c r="B128" s="177" t="s">
        <v>96</v>
      </c>
      <c r="C128" s="346">
        <f>'kt info'!E29</f>
        <v>0</v>
      </c>
      <c r="E128" s="830" t="s">
        <v>80</v>
      </c>
      <c r="F128" s="831"/>
      <c r="G128" s="832"/>
      <c r="H128" s="344">
        <f>IF(SUM(E152:E171)&gt;0,SUM(E152:E171),0)</f>
        <v>0</v>
      </c>
      <c r="I128" s="345">
        <f>H128*'kt info'!$G$29</f>
        <v>0</v>
      </c>
      <c r="J128" s="336"/>
      <c r="L128" s="336" t="str">
        <f>$B$879</f>
        <v>Enter Periodical Service 9</v>
      </c>
    </row>
    <row r="129" spans="1:14" x14ac:dyDescent="0.35">
      <c r="E129" s="830" t="s">
        <v>81</v>
      </c>
      <c r="F129" s="831"/>
      <c r="G129" s="832"/>
      <c r="H129" s="344">
        <f>IF(SUM(L152:L161)&gt;0,SUM(L152:L161),0)</f>
        <v>0</v>
      </c>
      <c r="I129" s="345">
        <f>H129*'kt info'!$G$29</f>
        <v>0</v>
      </c>
      <c r="J129" s="336"/>
      <c r="L129" s="336" t="str">
        <f>$B$937</f>
        <v>Enter Periodical Service 10</v>
      </c>
    </row>
    <row r="130" spans="1:14" x14ac:dyDescent="0.35">
      <c r="B130" s="177" t="s">
        <v>98</v>
      </c>
      <c r="C130" s="347">
        <f>ROUND(IF(SUM(H127:H133)&gt;0,SUM(H127:H133),0),0)</f>
        <v>0</v>
      </c>
      <c r="E130" s="830" t="s">
        <v>89</v>
      </c>
      <c r="F130" s="831"/>
      <c r="G130" s="832"/>
      <c r="H130" s="344">
        <f>IF(SUM(J165:J169)&gt;0,SUM(L165:L169),0)</f>
        <v>0</v>
      </c>
      <c r="I130" s="345">
        <f>H130*'kt info'!$G$29</f>
        <v>0</v>
      </c>
      <c r="J130" s="329"/>
      <c r="K130" s="336"/>
    </row>
    <row r="131" spans="1:14" x14ac:dyDescent="0.35">
      <c r="E131" s="830" t="s">
        <v>201</v>
      </c>
      <c r="F131" s="831"/>
      <c r="G131" s="832"/>
      <c r="H131" s="344">
        <f>IF(SUM(I171:I172)=0,0,SUM(I171:I172))</f>
        <v>0</v>
      </c>
      <c r="I131" s="345">
        <f>H131*'kt info'!$G$29</f>
        <v>0</v>
      </c>
      <c r="K131" s="336"/>
    </row>
    <row r="132" spans="1:14" x14ac:dyDescent="0.35">
      <c r="B132" s="177" t="s">
        <v>97</v>
      </c>
      <c r="C132" s="347">
        <f>IF(C128&gt;0,C130/C128,0)</f>
        <v>0</v>
      </c>
      <c r="E132" s="830" t="s">
        <v>87</v>
      </c>
      <c r="F132" s="831"/>
      <c r="G132" s="832"/>
      <c r="H132" s="344">
        <f>IF('Overhead &amp; Margin'!D10&gt;0,((H127+H128+H129+H130+H131)*'Overhead &amp; Margin'!$D$10/(1-('Overhead &amp; Margin'!$D$10+'Overhead &amp; Margin'!$G$10))),0)</f>
        <v>0</v>
      </c>
      <c r="I132" s="345">
        <f>H132*'kt info'!$G$29</f>
        <v>0</v>
      </c>
      <c r="K132" s="336"/>
    </row>
    <row r="133" spans="1:14" x14ac:dyDescent="0.35">
      <c r="G133" s="178" t="s">
        <v>88</v>
      </c>
      <c r="H133" s="344">
        <f>IF('Overhead &amp; Margin'!$G$10=0,0,'Overhead &amp; Margin'!$G$10*(H127+H128+H129+H130+H131)/(1-('Overhead &amp; Margin'!$D$10+'Overhead &amp; Margin'!$G$10)))</f>
        <v>0</v>
      </c>
      <c r="I133" s="345">
        <f>H133*'kt info'!$G$29</f>
        <v>0</v>
      </c>
    </row>
    <row r="134" spans="1:14" x14ac:dyDescent="0.35">
      <c r="M134" s="605" t="str">
        <f>'kt info'!$B$12</f>
        <v>Form date: 10/24/25</v>
      </c>
    </row>
    <row r="135" spans="1:14" ht="15" thickBot="1" x14ac:dyDescent="0.4">
      <c r="B135" s="348" t="s">
        <v>104</v>
      </c>
    </row>
    <row r="136" spans="1:14" x14ac:dyDescent="0.35">
      <c r="B136" s="84" t="s">
        <v>18</v>
      </c>
      <c r="C136" s="349" t="s">
        <v>19</v>
      </c>
      <c r="D136" s="350" t="s">
        <v>25</v>
      </c>
      <c r="E136" s="350" t="s">
        <v>20</v>
      </c>
      <c r="F136" s="826" t="s">
        <v>22</v>
      </c>
      <c r="G136" s="826"/>
      <c r="H136" s="351" t="s">
        <v>23</v>
      </c>
      <c r="I136" s="350" t="s">
        <v>21</v>
      </c>
      <c r="J136" s="350" t="s">
        <v>24</v>
      </c>
      <c r="K136" s="350" t="s">
        <v>77</v>
      </c>
      <c r="L136" s="352" t="s">
        <v>26</v>
      </c>
      <c r="M136" s="4" t="s">
        <v>27</v>
      </c>
      <c r="N136" s="4" t="s">
        <v>0</v>
      </c>
    </row>
    <row r="137" spans="1:14" ht="15" thickBot="1" x14ac:dyDescent="0.4">
      <c r="B137" s="22" t="s">
        <v>306</v>
      </c>
      <c r="C137" s="353" t="s">
        <v>28</v>
      </c>
      <c r="D137" s="354" t="s">
        <v>33</v>
      </c>
      <c r="E137" s="354" t="s">
        <v>29</v>
      </c>
      <c r="F137" s="827" t="s">
        <v>30</v>
      </c>
      <c r="G137" s="827"/>
      <c r="H137" s="355" t="s">
        <v>31</v>
      </c>
      <c r="I137" s="354"/>
      <c r="J137" s="354" t="s">
        <v>38</v>
      </c>
      <c r="K137" s="354" t="s">
        <v>189</v>
      </c>
      <c r="L137" s="356" t="s">
        <v>0</v>
      </c>
      <c r="M137" s="5" t="s">
        <v>0</v>
      </c>
      <c r="N137" s="5" t="s">
        <v>77</v>
      </c>
    </row>
    <row r="138" spans="1:14" x14ac:dyDescent="0.35">
      <c r="A138" s="100">
        <v>1</v>
      </c>
      <c r="B138" s="474"/>
      <c r="C138" s="358"/>
      <c r="D138" s="359" t="str">
        <f>IF(B138=0," ",'kt info'!$G$29)</f>
        <v xml:space="preserve"> </v>
      </c>
      <c r="E138" s="360" t="str">
        <f>IF(B138=0," ",VLOOKUP(B138,WageBeneTable5[#All],2,FALSE))</f>
        <v xml:space="preserve"> </v>
      </c>
      <c r="F138" s="820">
        <f>IF($E138=" ",0,'Pay &amp; Benefits'!$C$10)</f>
        <v>0</v>
      </c>
      <c r="G138" s="821"/>
      <c r="H138" s="361" t="str">
        <f>IF($E138=" "," ",'Pay &amp; Benefits'!$C$11)</f>
        <v xml:space="preserve"> </v>
      </c>
      <c r="I138" s="362" t="str">
        <f t="shared" ref="I138" si="12">IF(E138=" "," ",0.0765)</f>
        <v xml:space="preserve"> </v>
      </c>
      <c r="J138" s="363" t="str">
        <f>IF(B138=0," ",VLOOKUP(B138,WageBeneTable5[#All],3,FALSE))</f>
        <v xml:space="preserve"> </v>
      </c>
      <c r="K138" s="360" t="str">
        <f t="shared" ref="K138:K147" si="13">IF(B138=0," ",C138*E138*(1+I138+F138+H138+J138))</f>
        <v xml:space="preserve"> </v>
      </c>
      <c r="L138" s="360">
        <f t="shared" ref="L138:L147" si="14">IF(K138=" ",0,K138*D138)</f>
        <v>0</v>
      </c>
      <c r="M138" s="364">
        <f t="shared" ref="M138" si="15">IF(B138=0,0,C138*D138)</f>
        <v>0</v>
      </c>
      <c r="N138" s="365">
        <f t="shared" ref="N138" si="16">IF(L138=0,0,IF(D138=0,0,L138/D138))</f>
        <v>0</v>
      </c>
    </row>
    <row r="139" spans="1:14" x14ac:dyDescent="0.35">
      <c r="A139" s="100">
        <v>2</v>
      </c>
      <c r="B139" s="437"/>
      <c r="C139" s="367"/>
      <c r="D139" s="359" t="str">
        <f>IF(B139=0," ",'kt info'!$G$29)</f>
        <v xml:space="preserve"> </v>
      </c>
      <c r="E139" s="368" t="str">
        <f>IF(B139=0," ",VLOOKUP(B139,WageBeneTable5[#All],2,FALSE))</f>
        <v xml:space="preserve"> </v>
      </c>
      <c r="F139" s="822">
        <f>IF($E139=" ",0,'Pay &amp; Benefits'!$C$10)</f>
        <v>0</v>
      </c>
      <c r="G139" s="823"/>
      <c r="H139" s="369" t="str">
        <f>IF($E139=" "," ",'Pay &amp; Benefits'!$C$11)</f>
        <v xml:space="preserve"> </v>
      </c>
      <c r="I139" s="370" t="str">
        <f t="shared" ref="I139:I147" si="17">IF(E139=" "," ",0.0765)</f>
        <v xml:space="preserve"> </v>
      </c>
      <c r="J139" s="371" t="str">
        <f>IF(B139=0," ",VLOOKUP(B139,WageBeneTable5[#All],3,FALSE))</f>
        <v xml:space="preserve"> </v>
      </c>
      <c r="K139" s="368" t="str">
        <f t="shared" si="13"/>
        <v xml:space="preserve"> </v>
      </c>
      <c r="L139" s="368">
        <f t="shared" si="14"/>
        <v>0</v>
      </c>
      <c r="M139" s="372">
        <f t="shared" ref="M139:M147" si="18">IF(B139=0,0,C139*D139)</f>
        <v>0</v>
      </c>
      <c r="N139" s="373">
        <f t="shared" ref="N139:N147" si="19">IF(L139=0,0,IF(D139=0,0,L139/D139))</f>
        <v>0</v>
      </c>
    </row>
    <row r="140" spans="1:14" x14ac:dyDescent="0.35">
      <c r="A140" s="100">
        <v>3</v>
      </c>
      <c r="B140" s="437"/>
      <c r="C140" s="367"/>
      <c r="D140" s="359" t="str">
        <f>IF(B140=0," ",'kt info'!$G$29)</f>
        <v xml:space="preserve"> </v>
      </c>
      <c r="E140" s="368" t="str">
        <f>IF(B140=0," ",VLOOKUP(B140,WageBeneTable5[#All],2,FALSE))</f>
        <v xml:space="preserve"> </v>
      </c>
      <c r="F140" s="822">
        <f>IF($E140=" ",0,'Pay &amp; Benefits'!$C$10)</f>
        <v>0</v>
      </c>
      <c r="G140" s="823"/>
      <c r="H140" s="369" t="str">
        <f>IF($E140=" "," ",'Pay &amp; Benefits'!$C$11)</f>
        <v xml:space="preserve"> </v>
      </c>
      <c r="I140" s="370" t="str">
        <f t="shared" si="17"/>
        <v xml:space="preserve"> </v>
      </c>
      <c r="J140" s="371" t="str">
        <f>IF(B140=0," ",VLOOKUP(B140,WageBeneTable5[#All],3,FALSE))</f>
        <v xml:space="preserve"> </v>
      </c>
      <c r="K140" s="368" t="str">
        <f t="shared" si="13"/>
        <v xml:space="preserve"> </v>
      </c>
      <c r="L140" s="368">
        <f t="shared" si="14"/>
        <v>0</v>
      </c>
      <c r="M140" s="372">
        <f t="shared" si="18"/>
        <v>0</v>
      </c>
      <c r="N140" s="373">
        <f t="shared" si="19"/>
        <v>0</v>
      </c>
    </row>
    <row r="141" spans="1:14" x14ac:dyDescent="0.35">
      <c r="A141" s="100">
        <v>4</v>
      </c>
      <c r="B141" s="437"/>
      <c r="C141" s="367"/>
      <c r="D141" s="359" t="str">
        <f>IF(B141=0," ",'kt info'!$G$29)</f>
        <v xml:space="preserve"> </v>
      </c>
      <c r="E141" s="368" t="str">
        <f>IF(B141=0," ",VLOOKUP(B141,WageBeneTable5[#All],2,FALSE))</f>
        <v xml:space="preserve"> </v>
      </c>
      <c r="F141" s="822">
        <f>IF($E141=" ",0,'Pay &amp; Benefits'!$C$10)</f>
        <v>0</v>
      </c>
      <c r="G141" s="823"/>
      <c r="H141" s="369" t="str">
        <f>IF($E141=" "," ",'Pay &amp; Benefits'!$C$11)</f>
        <v xml:space="preserve"> </v>
      </c>
      <c r="I141" s="370" t="str">
        <f t="shared" si="17"/>
        <v xml:space="preserve"> </v>
      </c>
      <c r="J141" s="371" t="str">
        <f>IF(B141=0," ",VLOOKUP(B141,WageBeneTable5[#All],3,FALSE))</f>
        <v xml:space="preserve"> </v>
      </c>
      <c r="K141" s="368" t="str">
        <f t="shared" si="13"/>
        <v xml:space="preserve"> </v>
      </c>
      <c r="L141" s="368">
        <f t="shared" si="14"/>
        <v>0</v>
      </c>
      <c r="M141" s="372">
        <f t="shared" si="18"/>
        <v>0</v>
      </c>
      <c r="N141" s="373">
        <f t="shared" si="19"/>
        <v>0</v>
      </c>
    </row>
    <row r="142" spans="1:14" ht="15" thickBot="1" x14ac:dyDescent="0.4">
      <c r="A142" s="100">
        <v>5</v>
      </c>
      <c r="B142" s="439"/>
      <c r="C142" s="375"/>
      <c r="D142" s="376" t="str">
        <f>IF(B142=0," ",'kt info'!$G$29)</f>
        <v xml:space="preserve"> </v>
      </c>
      <c r="E142" s="377" t="str">
        <f>IF(B142=0," ",VLOOKUP(B142,WageBeneTable5[#All],2,FALSE))</f>
        <v xml:space="preserve"> </v>
      </c>
      <c r="F142" s="813">
        <f>IF($E142=" ",0,'Pay &amp; Benefits'!$C$10)</f>
        <v>0</v>
      </c>
      <c r="G142" s="814"/>
      <c r="H142" s="378" t="str">
        <f>IF($E142=" "," ",'Pay &amp; Benefits'!$C$11)</f>
        <v xml:space="preserve"> </v>
      </c>
      <c r="I142" s="379" t="str">
        <f t="shared" si="17"/>
        <v xml:space="preserve"> </v>
      </c>
      <c r="J142" s="380" t="str">
        <f>IF(B142=0," ",VLOOKUP(B142,WageBeneTable5[#All],3,FALSE))</f>
        <v xml:space="preserve"> </v>
      </c>
      <c r="K142" s="377" t="str">
        <f t="shared" si="13"/>
        <v xml:space="preserve"> </v>
      </c>
      <c r="L142" s="377">
        <f t="shared" si="14"/>
        <v>0</v>
      </c>
      <c r="M142" s="381">
        <f t="shared" si="18"/>
        <v>0</v>
      </c>
      <c r="N142" s="382">
        <f t="shared" si="19"/>
        <v>0</v>
      </c>
    </row>
    <row r="143" spans="1:14" x14ac:dyDescent="0.35">
      <c r="A143" s="100">
        <v>6</v>
      </c>
      <c r="B143" s="474"/>
      <c r="C143" s="383"/>
      <c r="D143" s="384" t="str">
        <f>IF(B143=0," ",'kt info'!$G$29)</f>
        <v xml:space="preserve"> </v>
      </c>
      <c r="E143" s="385" t="str">
        <f>IF(B143=0," ",VLOOKUP(B143,WageBeneTable5[#All],2,FALSE))</f>
        <v xml:space="preserve"> </v>
      </c>
      <c r="F143" s="820">
        <f>IF($E143=" ",0,'Pay &amp; Benefits'!$C$10)</f>
        <v>0</v>
      </c>
      <c r="G143" s="821"/>
      <c r="H143" s="386" t="str">
        <f>IF($E143=" "," ",'Pay &amp; Benefits'!$C$11)</f>
        <v xml:space="preserve"> </v>
      </c>
      <c r="I143" s="387" t="str">
        <f t="shared" si="17"/>
        <v xml:space="preserve"> </v>
      </c>
      <c r="J143" s="388" t="str">
        <f>IF(B143=0," ",VLOOKUP(B143,WageBeneTable5[#All],3,FALSE))</f>
        <v xml:space="preserve"> </v>
      </c>
      <c r="K143" s="385" t="str">
        <f t="shared" si="13"/>
        <v xml:space="preserve"> </v>
      </c>
      <c r="L143" s="385">
        <f t="shared" si="14"/>
        <v>0</v>
      </c>
      <c r="M143" s="389">
        <f t="shared" si="18"/>
        <v>0</v>
      </c>
      <c r="N143" s="390">
        <f t="shared" si="19"/>
        <v>0</v>
      </c>
    </row>
    <row r="144" spans="1:14" x14ac:dyDescent="0.35">
      <c r="A144" s="100">
        <v>7</v>
      </c>
      <c r="B144" s="437"/>
      <c r="C144" s="367"/>
      <c r="D144" s="384" t="str">
        <f>IF(B144=0," ",'kt info'!$G$29)</f>
        <v xml:space="preserve"> </v>
      </c>
      <c r="E144" s="385" t="str">
        <f>IF(B144=0," ",VLOOKUP(B144,WageBeneTable5[#All],2,FALSE))</f>
        <v xml:space="preserve"> </v>
      </c>
      <c r="F144" s="822">
        <f>IF($E144=" ",0,'Pay &amp; Benefits'!$C$10)</f>
        <v>0</v>
      </c>
      <c r="G144" s="823"/>
      <c r="H144" s="386" t="str">
        <f>IF($E144=" "," ",'Pay &amp; Benefits'!$C$11)</f>
        <v xml:space="preserve"> </v>
      </c>
      <c r="I144" s="387" t="str">
        <f t="shared" si="17"/>
        <v xml:space="preserve"> </v>
      </c>
      <c r="J144" s="388" t="str">
        <f>IF(B144=0," ",VLOOKUP(B144,WageBeneTable5[#All],3,FALSE))</f>
        <v xml:space="preserve"> </v>
      </c>
      <c r="K144" s="385" t="str">
        <f t="shared" si="13"/>
        <v xml:space="preserve"> </v>
      </c>
      <c r="L144" s="385">
        <f t="shared" si="14"/>
        <v>0</v>
      </c>
      <c r="M144" s="389">
        <f t="shared" si="18"/>
        <v>0</v>
      </c>
      <c r="N144" s="390">
        <f t="shared" si="19"/>
        <v>0</v>
      </c>
    </row>
    <row r="145" spans="1:14" x14ac:dyDescent="0.35">
      <c r="A145" s="100">
        <v>8</v>
      </c>
      <c r="B145" s="437"/>
      <c r="C145" s="367"/>
      <c r="D145" s="384" t="str">
        <f>IF(B145=0," ",'kt info'!$G$29)</f>
        <v xml:space="preserve"> </v>
      </c>
      <c r="E145" s="385" t="str">
        <f>IF(B145=0," ",VLOOKUP(B145,WageBeneTable5[#All],2,FALSE))</f>
        <v xml:space="preserve"> </v>
      </c>
      <c r="F145" s="822">
        <f>IF($E145=" ",0,'Pay &amp; Benefits'!$C$10)</f>
        <v>0</v>
      </c>
      <c r="G145" s="823"/>
      <c r="H145" s="386" t="str">
        <f>IF($E145=" "," ",'Pay &amp; Benefits'!$C$11)</f>
        <v xml:space="preserve"> </v>
      </c>
      <c r="I145" s="387" t="str">
        <f t="shared" si="17"/>
        <v xml:space="preserve"> </v>
      </c>
      <c r="J145" s="388" t="str">
        <f>IF(B145=0," ",VLOOKUP(B145,WageBeneTable5[#All],3,FALSE))</f>
        <v xml:space="preserve"> </v>
      </c>
      <c r="K145" s="385" t="str">
        <f t="shared" si="13"/>
        <v xml:space="preserve"> </v>
      </c>
      <c r="L145" s="385">
        <f t="shared" si="14"/>
        <v>0</v>
      </c>
      <c r="M145" s="389">
        <f t="shared" si="18"/>
        <v>0</v>
      </c>
      <c r="N145" s="390">
        <f t="shared" si="19"/>
        <v>0</v>
      </c>
    </row>
    <row r="146" spans="1:14" x14ac:dyDescent="0.35">
      <c r="A146" s="100">
        <v>9</v>
      </c>
      <c r="B146" s="437"/>
      <c r="C146" s="367"/>
      <c r="D146" s="384" t="str">
        <f>IF(B146=0," ",'kt info'!$G$29)</f>
        <v xml:space="preserve"> </v>
      </c>
      <c r="E146" s="385" t="str">
        <f>IF(B146=0," ",VLOOKUP(B146,WageBeneTable5[#All],2,FALSE))</f>
        <v xml:space="preserve"> </v>
      </c>
      <c r="F146" s="822">
        <f>IF($E146=" ",0,'Pay &amp; Benefits'!$C$10)</f>
        <v>0</v>
      </c>
      <c r="G146" s="823"/>
      <c r="H146" s="386" t="str">
        <f>IF($E146=" "," ",'Pay &amp; Benefits'!$C$11)</f>
        <v xml:space="preserve"> </v>
      </c>
      <c r="I146" s="387" t="str">
        <f t="shared" si="17"/>
        <v xml:space="preserve"> </v>
      </c>
      <c r="J146" s="388" t="str">
        <f>IF(B146=0," ",VLOOKUP(B146,WageBeneTable5[#All],3,FALSE))</f>
        <v xml:space="preserve"> </v>
      </c>
      <c r="K146" s="385" t="str">
        <f t="shared" si="13"/>
        <v xml:space="preserve"> </v>
      </c>
      <c r="L146" s="385">
        <f t="shared" si="14"/>
        <v>0</v>
      </c>
      <c r="M146" s="389">
        <f t="shared" si="18"/>
        <v>0</v>
      </c>
      <c r="N146" s="390">
        <f t="shared" si="19"/>
        <v>0</v>
      </c>
    </row>
    <row r="147" spans="1:14" ht="15" thickBot="1" x14ac:dyDescent="0.4">
      <c r="A147" s="100">
        <v>10</v>
      </c>
      <c r="B147" s="439"/>
      <c r="C147" s="375"/>
      <c r="D147" s="376" t="str">
        <f>IF(B147=0," ",'kt info'!$G$29)</f>
        <v xml:space="preserve"> </v>
      </c>
      <c r="E147" s="377" t="str">
        <f>IF(B147=0," ",VLOOKUP(B147,WageBeneTable5[#All],2,FALSE))</f>
        <v xml:space="preserve"> </v>
      </c>
      <c r="F147" s="813">
        <f>IF($E147=" ",0,'Pay &amp; Benefits'!$C$10)</f>
        <v>0</v>
      </c>
      <c r="G147" s="814"/>
      <c r="H147" s="378" t="str">
        <f>IF($E147=" "," ",'Pay &amp; Benefits'!$C$11)</f>
        <v xml:space="preserve"> </v>
      </c>
      <c r="I147" s="379" t="str">
        <f t="shared" si="17"/>
        <v xml:space="preserve"> </v>
      </c>
      <c r="J147" s="380" t="str">
        <f>IF(B147=0," ",VLOOKUP(B147,WageBeneTable5[#All],3,FALSE))</f>
        <v xml:space="preserve"> </v>
      </c>
      <c r="K147" s="377" t="str">
        <f t="shared" si="13"/>
        <v xml:space="preserve"> </v>
      </c>
      <c r="L147" s="377">
        <f t="shared" si="14"/>
        <v>0</v>
      </c>
      <c r="M147" s="381">
        <f t="shared" si="18"/>
        <v>0</v>
      </c>
      <c r="N147" s="382">
        <f t="shared" si="19"/>
        <v>0</v>
      </c>
    </row>
    <row r="148" spans="1:14" x14ac:dyDescent="0.35">
      <c r="K148" s="391"/>
      <c r="L148" s="392"/>
      <c r="M148" s="393"/>
    </row>
    <row r="149" spans="1:14" ht="15" thickBot="1" x14ac:dyDescent="0.4">
      <c r="B149" s="394" t="s">
        <v>203</v>
      </c>
      <c r="E149" s="395"/>
      <c r="H149" s="815" t="s">
        <v>199</v>
      </c>
      <c r="I149" s="816"/>
      <c r="M149" s="475"/>
      <c r="N149" s="100"/>
    </row>
    <row r="150" spans="1:14" x14ac:dyDescent="0.35">
      <c r="B150" s="32" t="s">
        <v>123</v>
      </c>
      <c r="C150" s="398" t="s">
        <v>239</v>
      </c>
      <c r="D150" s="399" t="s">
        <v>9</v>
      </c>
      <c r="E150" s="400" t="s">
        <v>83</v>
      </c>
      <c r="H150" s="303" t="s">
        <v>15</v>
      </c>
      <c r="I150" s="4" t="s">
        <v>85</v>
      </c>
      <c r="J150" s="4" t="s">
        <v>16</v>
      </c>
      <c r="K150" s="4" t="s">
        <v>241</v>
      </c>
      <c r="L150" s="4" t="s">
        <v>83</v>
      </c>
      <c r="M150" s="476"/>
      <c r="N150" s="477"/>
    </row>
    <row r="151" spans="1:14" ht="15" thickBot="1" x14ac:dyDescent="0.4">
      <c r="B151" s="33" t="s">
        <v>124</v>
      </c>
      <c r="C151" s="401" t="s">
        <v>84</v>
      </c>
      <c r="D151" s="402" t="s">
        <v>10</v>
      </c>
      <c r="E151" s="403" t="s">
        <v>84</v>
      </c>
      <c r="H151" s="304" t="s">
        <v>13</v>
      </c>
      <c r="I151" s="5" t="s">
        <v>86</v>
      </c>
      <c r="J151" s="5" t="s">
        <v>17</v>
      </c>
      <c r="K151" s="5" t="s">
        <v>12</v>
      </c>
      <c r="L151" s="5" t="s">
        <v>84</v>
      </c>
      <c r="M151" s="478"/>
      <c r="N151" s="479"/>
    </row>
    <row r="152" spans="1:14" x14ac:dyDescent="0.35">
      <c r="A152" s="100">
        <v>1</v>
      </c>
      <c r="B152" s="474"/>
      <c r="C152" s="406"/>
      <c r="D152" s="407">
        <f>IF(B152=0,0,VLOOKUP(B152,Supplies!$B$13:$C$97,2,FALSE))</f>
        <v>0</v>
      </c>
      <c r="E152" s="360">
        <f>IF(D152=" "," ",D152*C152)</f>
        <v>0</v>
      </c>
      <c r="G152" s="100">
        <v>1</v>
      </c>
      <c r="H152" s="408"/>
      <c r="I152" s="409"/>
      <c r="J152" s="410"/>
      <c r="K152" s="331" t="str">
        <f>IF(H152=0," ",IF(VLOOKUP(H152,'Equipment List'!$B$12:$F$96,5,FALSE)=0,0,IF(VLOOKUP(H152,'Equipment List'!$B$12:$F$96,5,FALSE)="Grant","Grant",IF(VLOOKUP(H152,'Equipment List'!$B$12:$F$96,5,FALSE)="Depreciated","Depreciated",VLOOKUP(H152,'Equipment List'!$B$12:$F$96,5,FALSE)*I152*J152))))</f>
        <v xml:space="preserve"> </v>
      </c>
      <c r="L152" s="365" t="str">
        <f>IF(K152=" "," ",IF(K152="Grant",0,IF(K152="Depreciated",0,IF('kt info'!$G$29=0,"No Service Frequency",K152/'kt info'!$G$29))))</f>
        <v xml:space="preserve"> </v>
      </c>
      <c r="M152" s="480"/>
      <c r="N152" s="404"/>
    </row>
    <row r="153" spans="1:14" x14ac:dyDescent="0.35">
      <c r="A153" s="100">
        <v>2</v>
      </c>
      <c r="B153" s="437"/>
      <c r="C153" s="414"/>
      <c r="D153" s="415">
        <f>IF(B153=0,0,VLOOKUP(B153,Supplies!$B$13:$C$97,2,FALSE))</f>
        <v>0</v>
      </c>
      <c r="E153" s="385">
        <f t="shared" ref="E153:E167" si="20">IF(D153=" "," ",D153*C153)</f>
        <v>0</v>
      </c>
      <c r="G153" s="100">
        <v>2</v>
      </c>
      <c r="H153" s="416"/>
      <c r="I153" s="417"/>
      <c r="J153" s="418"/>
      <c r="K153" s="421" t="str">
        <f>IF(H153=0," ",IF(VLOOKUP(H153,'Equipment List'!$B$12:$F$96,5,FALSE)=0,0,IF(VLOOKUP(H153,'Equipment List'!$B$12:$F$96,5,FALSE)="Grant","Grant",IF(VLOOKUP(H153,'Equipment List'!$B$12:$F$96,5,FALSE)="Depreciated","Depreciated",VLOOKUP(H153,'Equipment List'!$B$12:$F$96,5,FALSE)*I153*J153))))</f>
        <v xml:space="preserve"> </v>
      </c>
      <c r="L153" s="390" t="str">
        <f>IF(K153=" "," ",IF(K153="Grant",0,IF(K153="Depreciated",0,IF('kt info'!$G$29=0,"No Service Frequency",K153/'kt info'!$G$29))))</f>
        <v xml:space="preserve"> </v>
      </c>
    </row>
    <row r="154" spans="1:14" x14ac:dyDescent="0.35">
      <c r="A154" s="100">
        <v>3</v>
      </c>
      <c r="B154" s="437"/>
      <c r="C154" s="414"/>
      <c r="D154" s="415">
        <f>IF(B154=0,0,VLOOKUP(B154,Supplies!$B$13:$C$97,2,FALSE))</f>
        <v>0</v>
      </c>
      <c r="E154" s="385">
        <f t="shared" si="20"/>
        <v>0</v>
      </c>
      <c r="G154" s="100">
        <v>3</v>
      </c>
      <c r="H154" s="416"/>
      <c r="I154" s="417"/>
      <c r="J154" s="418"/>
      <c r="K154" s="421" t="str">
        <f>IF(H154=0," ",IF(VLOOKUP(H154,'Equipment List'!$B$12:$F$96,5,FALSE)=0,0,IF(VLOOKUP(H154,'Equipment List'!$B$12:$F$96,5,FALSE)="Grant","Grant",IF(VLOOKUP(H154,'Equipment List'!$B$12:$F$96,5,FALSE)="Depreciated","Depreciated",VLOOKUP(H154,'Equipment List'!$B$12:$F$96,5,FALSE)*I154*J154))))</f>
        <v xml:space="preserve"> </v>
      </c>
      <c r="L154" s="390" t="str">
        <f>IF(K154=" "," ",IF(K154="Grant",0,IF(K154="Depreciated",0,IF('kt info'!$G$29=0,"No Service Frequency",K154/'kt info'!$G$29))))</f>
        <v xml:space="preserve"> </v>
      </c>
    </row>
    <row r="155" spans="1:14" x14ac:dyDescent="0.35">
      <c r="A155" s="100">
        <v>4</v>
      </c>
      <c r="B155" s="437"/>
      <c r="C155" s="414"/>
      <c r="D155" s="415">
        <f>IF(B155=0,0,VLOOKUP(B155,Supplies!$B$13:$C$97,2,FALSE))</f>
        <v>0</v>
      </c>
      <c r="E155" s="385">
        <f t="shared" si="20"/>
        <v>0</v>
      </c>
      <c r="G155" s="100">
        <v>4</v>
      </c>
      <c r="H155" s="416"/>
      <c r="I155" s="417"/>
      <c r="J155" s="418"/>
      <c r="K155" s="421" t="str">
        <f>IF(H155=0," ",IF(VLOOKUP(H155,'Equipment List'!$B$12:$F$96,5,FALSE)=0,0,IF(VLOOKUP(H155,'Equipment List'!$B$12:$F$96,5,FALSE)="Grant","Grant",IF(VLOOKUP(H155,'Equipment List'!$B$12:$F$96,5,FALSE)="Depreciated","Depreciated",VLOOKUP(H155,'Equipment List'!$B$12:$F$96,5,FALSE)*I155*J155))))</f>
        <v xml:space="preserve"> </v>
      </c>
      <c r="L155" s="390" t="str">
        <f>IF(K155=" "," ",IF(K155="Grant",0,IF(K155="Depreciated",0,IF('kt info'!$G$29=0,"No Service Frequency",K155/'kt info'!$G$29))))</f>
        <v xml:space="preserve"> </v>
      </c>
    </row>
    <row r="156" spans="1:14" ht="15" thickBot="1" x14ac:dyDescent="0.4">
      <c r="A156" s="100">
        <v>5</v>
      </c>
      <c r="B156" s="439"/>
      <c r="C156" s="423"/>
      <c r="D156" s="424">
        <f>IF(B156=0,0,VLOOKUP(B156,Supplies!$B$13:$C$97,2,FALSE))</f>
        <v>0</v>
      </c>
      <c r="E156" s="377">
        <f t="shared" si="20"/>
        <v>0</v>
      </c>
      <c r="G156" s="100">
        <v>5</v>
      </c>
      <c r="H156" s="425"/>
      <c r="I156" s="426"/>
      <c r="J156" s="427"/>
      <c r="K156" s="428" t="str">
        <f>IF(H156=0," ",IF(VLOOKUP(H156,'Equipment List'!$B$12:$F$96,5,FALSE)=0,0,IF(VLOOKUP(H156,'Equipment List'!$B$12:$F$96,5,FALSE)="Grant","Grant",IF(VLOOKUP(H156,'Equipment List'!$B$12:$F$96,5,FALSE)="Depreciated","Depreciated",VLOOKUP(H156,'Equipment List'!$B$12:$F$96,5,FALSE)*I156*J156))))</f>
        <v xml:space="preserve"> </v>
      </c>
      <c r="L156" s="382" t="str">
        <f>IF(K156=" "," ",IF(K156="Grant",0,IF(K156="Depreciated",0,IF('kt info'!$G$29=0,"No Service Frequency",K156/'kt info'!$G$29))))</f>
        <v xml:space="preserve"> </v>
      </c>
    </row>
    <row r="157" spans="1:14" x14ac:dyDescent="0.35">
      <c r="A157" s="100">
        <v>6</v>
      </c>
      <c r="B157" s="433"/>
      <c r="C157" s="431"/>
      <c r="D157" s="432">
        <f>IF(B157=0,0,VLOOKUP(B157,Supplies!$B$13:$C$97,2,FALSE))</f>
        <v>0</v>
      </c>
      <c r="E157" s="385">
        <f t="shared" si="20"/>
        <v>0</v>
      </c>
      <c r="G157" s="100">
        <v>6</v>
      </c>
      <c r="H157" s="433"/>
      <c r="I157" s="434"/>
      <c r="J157" s="435"/>
      <c r="K157" s="436" t="str">
        <f>IF(H157=0," ",IF(VLOOKUP(H157,'Equipment List'!$B$12:$F$96,5,FALSE)=0,0,IF(VLOOKUP(H157,'Equipment List'!$B$12:$F$96,5,FALSE)="Grant","Grant",IF(VLOOKUP(H157,'Equipment List'!$B$12:$F$96,5,FALSE)="Depreciated","Depreciated",VLOOKUP(H157,'Equipment List'!$B$12:$F$96,5,FALSE)*I157*J157))))</f>
        <v xml:space="preserve"> </v>
      </c>
      <c r="L157" s="390" t="str">
        <f>IF(K157=" "," ",IF(K157="Grant",0,IF(K157="Depreciated",0,IF('kt info'!$G$29=0,"No Service Frequency",K157/'kt info'!$G$29))))</f>
        <v xml:space="preserve"> </v>
      </c>
    </row>
    <row r="158" spans="1:14" x14ac:dyDescent="0.35">
      <c r="A158" s="100">
        <v>7</v>
      </c>
      <c r="B158" s="437"/>
      <c r="C158" s="414"/>
      <c r="D158" s="415">
        <f>IF(B158=0,0,VLOOKUP(B158,Supplies!$B$13:$C$97,2,FALSE))</f>
        <v>0</v>
      </c>
      <c r="E158" s="385">
        <f t="shared" si="20"/>
        <v>0</v>
      </c>
      <c r="G158" s="100">
        <v>7</v>
      </c>
      <c r="H158" s="437"/>
      <c r="I158" s="417"/>
      <c r="J158" s="418"/>
      <c r="K158" s="438" t="str">
        <f>IF(H158=0," ",IF(VLOOKUP(H158,'Equipment List'!$B$12:$F$96,5,FALSE)=0,0,IF(VLOOKUP(H158,'Equipment List'!$B$12:$F$96,5,FALSE)="Grant","Grant",IF(VLOOKUP(H158,'Equipment List'!$B$12:$F$96,5,FALSE)="Depreciated","Depreciated",VLOOKUP(H158,'Equipment List'!$B$12:$F$96,5,FALSE)*I158*J158))))</f>
        <v xml:space="preserve"> </v>
      </c>
      <c r="L158" s="390" t="str">
        <f>IF(K158=" "," ",IF(K158="Grant",0,IF(K158="Depreciated",0,IF('kt info'!$G$29=0,"No Service Frequency",K158/'kt info'!$G$29))))</f>
        <v xml:space="preserve"> </v>
      </c>
    </row>
    <row r="159" spans="1:14" x14ac:dyDescent="0.35">
      <c r="A159" s="100">
        <v>8</v>
      </c>
      <c r="B159" s="437"/>
      <c r="C159" s="414"/>
      <c r="D159" s="415">
        <f>IF(B159=0,0,VLOOKUP(B159,Supplies!$B$13:$C$97,2,FALSE))</f>
        <v>0</v>
      </c>
      <c r="E159" s="385">
        <f t="shared" si="20"/>
        <v>0</v>
      </c>
      <c r="G159" s="100">
        <v>8</v>
      </c>
      <c r="H159" s="437"/>
      <c r="I159" s="417"/>
      <c r="J159" s="418"/>
      <c r="K159" s="438" t="str">
        <f>IF(H159=0," ",IF(VLOOKUP(H159,'Equipment List'!$B$12:$F$96,5,FALSE)=0,0,IF(VLOOKUP(H159,'Equipment List'!$B$12:$F$96,5,FALSE)="Grant","Grant",IF(VLOOKUP(H159,'Equipment List'!$B$12:$F$96,5,FALSE)="Depreciated","Depreciated",VLOOKUP(H159,'Equipment List'!$B$12:$F$96,5,FALSE)*I159*J159))))</f>
        <v xml:space="preserve"> </v>
      </c>
      <c r="L159" s="390" t="str">
        <f>IF(K159=" "," ",IF(K159="Grant",0,IF(K159="Depreciated",0,IF('kt info'!$G$29=0,"No Service Frequency",K159/'kt info'!$G$29))))</f>
        <v xml:space="preserve"> </v>
      </c>
    </row>
    <row r="160" spans="1:14" x14ac:dyDescent="0.35">
      <c r="A160" s="100">
        <v>9</v>
      </c>
      <c r="B160" s="437"/>
      <c r="C160" s="414"/>
      <c r="D160" s="415">
        <f>IF(B160=0,0,VLOOKUP(B160,Supplies!$B$13:$C$97,2,FALSE))</f>
        <v>0</v>
      </c>
      <c r="E160" s="385">
        <f t="shared" si="20"/>
        <v>0</v>
      </c>
      <c r="G160" s="100">
        <v>9</v>
      </c>
      <c r="H160" s="437"/>
      <c r="I160" s="417"/>
      <c r="J160" s="418"/>
      <c r="K160" s="438" t="str">
        <f>IF(H160=0," ",IF(VLOOKUP(H160,'Equipment List'!$B$12:$F$96,5,FALSE)=0,0,IF(VLOOKUP(H160,'Equipment List'!$B$12:$F$96,5,FALSE)="Grant","Grant",IF(VLOOKUP(H160,'Equipment List'!$B$12:$F$96,5,FALSE)="Depreciated","Depreciated",VLOOKUP(H160,'Equipment List'!$B$12:$F$96,5,FALSE)*I160*J160))))</f>
        <v xml:space="preserve"> </v>
      </c>
      <c r="L160" s="390" t="str">
        <f>IF(K160=" "," ",IF(K160="Grant",0,IF(K160="Depreciated",0,IF('kt info'!$G$29=0,"No Service Frequency",K160/'kt info'!$G$29))))</f>
        <v xml:space="preserve"> </v>
      </c>
    </row>
    <row r="161" spans="1:14" ht="15" thickBot="1" x14ac:dyDescent="0.4">
      <c r="A161" s="100">
        <v>10</v>
      </c>
      <c r="B161" s="439"/>
      <c r="C161" s="423"/>
      <c r="D161" s="424">
        <f>IF(B161=0,0,VLOOKUP(B161,Supplies!$B$13:$C$97,2,FALSE))</f>
        <v>0</v>
      </c>
      <c r="E161" s="377">
        <f t="shared" si="20"/>
        <v>0</v>
      </c>
      <c r="G161" s="100">
        <v>10</v>
      </c>
      <c r="H161" s="439"/>
      <c r="I161" s="426"/>
      <c r="J161" s="427"/>
      <c r="K161" s="440" t="str">
        <f>IF(H161=0," ",IF(VLOOKUP(H161,'Equipment List'!$B$12:$F$96,5,FALSE)=0,0,IF(VLOOKUP(H161,'Equipment List'!$B$12:$F$96,5,FALSE)="Grant","Grant",IF(VLOOKUP(H161,'Equipment List'!$B$12:$F$96,5,FALSE)="Depreciated","Depreciated",VLOOKUP(H161,'Equipment List'!$B$12:$F$96,5,FALSE)*I161*J161))))</f>
        <v xml:space="preserve"> </v>
      </c>
      <c r="L161" s="382" t="str">
        <f>IF(K161=" "," ",IF(K161="Grant",0,IF(K161="Depreciated",0,IF('kt info'!$G$29=0,"No Service Frequency",K161/'kt info'!$G$29))))</f>
        <v xml:space="preserve"> </v>
      </c>
    </row>
    <row r="162" spans="1:14" x14ac:dyDescent="0.35">
      <c r="A162" s="100">
        <v>11</v>
      </c>
      <c r="B162" s="433"/>
      <c r="C162" s="431"/>
      <c r="D162" s="432">
        <f>IF(B162=0,0,VLOOKUP(B162,Supplies!$B$13:$C$97,2,FALSE))</f>
        <v>0</v>
      </c>
      <c r="E162" s="385">
        <f t="shared" si="20"/>
        <v>0</v>
      </c>
    </row>
    <row r="163" spans="1:14" ht="15" thickBot="1" x14ac:dyDescent="0.4">
      <c r="A163" s="100">
        <v>12</v>
      </c>
      <c r="B163" s="437"/>
      <c r="C163" s="414"/>
      <c r="D163" s="415">
        <f>IF(B163=0,0,VLOOKUP(B163,Supplies!$B$13:$C$97,2,FALSE))</f>
        <v>0</v>
      </c>
      <c r="E163" s="385">
        <f t="shared" si="20"/>
        <v>0</v>
      </c>
      <c r="H163" s="834" t="s">
        <v>200</v>
      </c>
      <c r="I163" s="835"/>
      <c r="J163" s="354"/>
      <c r="K163" s="354"/>
      <c r="L163" s="354"/>
      <c r="M163" s="354"/>
    </row>
    <row r="164" spans="1:14" x14ac:dyDescent="0.35">
      <c r="A164" s="100">
        <v>13</v>
      </c>
      <c r="B164" s="437"/>
      <c r="C164" s="414"/>
      <c r="D164" s="415">
        <f>IF(B164=0,0,VLOOKUP(B164,Supplies!$B$13:$C$97,2,FALSE))</f>
        <v>0</v>
      </c>
      <c r="E164" s="385">
        <f t="shared" si="20"/>
        <v>0</v>
      </c>
      <c r="H164" s="441" t="s">
        <v>159</v>
      </c>
      <c r="I164" s="4" t="s">
        <v>92</v>
      </c>
      <c r="J164" s="4" t="s">
        <v>300</v>
      </c>
      <c r="K164" s="350" t="s">
        <v>93</v>
      </c>
      <c r="L164" s="4" t="s">
        <v>12</v>
      </c>
      <c r="M164" s="4" t="s">
        <v>12</v>
      </c>
      <c r="N164" s="481"/>
    </row>
    <row r="165" spans="1:14" ht="15" thickBot="1" x14ac:dyDescent="0.4">
      <c r="A165" s="100">
        <v>14</v>
      </c>
      <c r="B165" s="437"/>
      <c r="C165" s="414"/>
      <c r="D165" s="415">
        <f>IF(B165=0,0,VLOOKUP(B165,Supplies!$B$13:$C$97,2,FALSE))</f>
        <v>0</v>
      </c>
      <c r="E165" s="385">
        <f t="shared" si="20"/>
        <v>0</v>
      </c>
      <c r="H165" s="305" t="s">
        <v>13</v>
      </c>
      <c r="I165" s="5" t="s">
        <v>301</v>
      </c>
      <c r="J165" s="5" t="s">
        <v>169</v>
      </c>
      <c r="K165" s="354" t="s">
        <v>94</v>
      </c>
      <c r="L165" s="5" t="s">
        <v>302</v>
      </c>
      <c r="M165" s="5" t="s">
        <v>240</v>
      </c>
      <c r="N165" s="481"/>
    </row>
    <row r="166" spans="1:14" ht="15" thickBot="1" x14ac:dyDescent="0.4">
      <c r="A166" s="100">
        <v>15</v>
      </c>
      <c r="B166" s="439"/>
      <c r="C166" s="442"/>
      <c r="D166" s="443">
        <f>IF(B166=0,0,VLOOKUP(B166,Supplies!$B$13:$C$97,2,FALSE))</f>
        <v>0</v>
      </c>
      <c r="E166" s="377">
        <f t="shared" si="20"/>
        <v>0</v>
      </c>
      <c r="G166" s="393"/>
      <c r="H166" s="258"/>
      <c r="I166" s="444"/>
      <c r="J166" s="445"/>
      <c r="K166" s="446">
        <f>IF(H166=0,0,VLOOKUP(H166,Transportation!$B$6:$L$16,11,FALSE))</f>
        <v>0</v>
      </c>
      <c r="L166" s="447">
        <f>IF(I166=0,0,I166*K166)</f>
        <v>0</v>
      </c>
      <c r="M166" s="448">
        <f>IF(I166=0,0,I166*K166*J166)</f>
        <v>0</v>
      </c>
      <c r="N166" s="487"/>
    </row>
    <row r="167" spans="1:14" ht="15" thickBot="1" x14ac:dyDescent="0.4">
      <c r="A167" s="100">
        <v>16</v>
      </c>
      <c r="B167" s="433"/>
      <c r="C167" s="449"/>
      <c r="D167" s="450">
        <f>IF(B167=0,0,VLOOKUP(B167,Supplies!$B$13:$C$97,2,FALSE))</f>
        <v>0</v>
      </c>
      <c r="E167" s="385">
        <f t="shared" si="20"/>
        <v>0</v>
      </c>
      <c r="H167" s="259"/>
      <c r="I167" s="451"/>
      <c r="J167" s="452"/>
      <c r="K167" s="453">
        <f>IF(H167=0,0,VLOOKUP(H167,Transportation!$B$6:$L$16,11,FALSE))</f>
        <v>0</v>
      </c>
      <c r="L167" s="454">
        <f>IF(I167=0,0,I167*K167)</f>
        <v>0</v>
      </c>
      <c r="M167" s="455">
        <f>IF(I167=0,0,I167*K167*J167)</f>
        <v>0</v>
      </c>
      <c r="N167" s="487"/>
    </row>
    <row r="168" spans="1:14" x14ac:dyDescent="0.35">
      <c r="A168" s="100">
        <v>17</v>
      </c>
      <c r="B168" s="437"/>
      <c r="C168" s="456"/>
      <c r="D168" s="457">
        <f>IF(B168=0,0,VLOOKUP(B168,Supplies!$B$13:$C$97,2,FALSE))</f>
        <v>0</v>
      </c>
      <c r="E168" s="385">
        <f>IF(D168=" "," ",D168*C168)</f>
        <v>0</v>
      </c>
      <c r="H168" s="260"/>
      <c r="I168" s="458"/>
      <c r="J168" s="459"/>
      <c r="K168" s="460"/>
      <c r="L168" s="460"/>
      <c r="M168" s="460"/>
      <c r="N168" s="483"/>
    </row>
    <row r="169" spans="1:14" ht="15" thickBot="1" x14ac:dyDescent="0.4">
      <c r="A169" s="100">
        <v>18</v>
      </c>
      <c r="B169" s="437"/>
      <c r="C169" s="456"/>
      <c r="D169" s="457">
        <f>IF(B169=0,0,VLOOKUP(B169,Supplies!$B$13:$C$97,2,FALSE))</f>
        <v>0</v>
      </c>
      <c r="E169" s="385">
        <f>IF(D169=" "," ",D169*C169)</f>
        <v>0</v>
      </c>
      <c r="H169" s="461" t="s">
        <v>201</v>
      </c>
      <c r="I169" s="462"/>
      <c r="J169" s="463"/>
      <c r="K169" s="464"/>
      <c r="L169" s="464"/>
      <c r="M169" s="464"/>
      <c r="N169" s="483"/>
    </row>
    <row r="170" spans="1:14" x14ac:dyDescent="0.35">
      <c r="A170" s="100">
        <v>19</v>
      </c>
      <c r="B170" s="437"/>
      <c r="C170" s="456"/>
      <c r="D170" s="457">
        <f>IF(B170=0,0,VLOOKUP(B170,Supplies!$B$13:$C$97,2,FALSE))</f>
        <v>0</v>
      </c>
      <c r="E170" s="385">
        <f>IF(D170=" "," ",D170*C170)</f>
        <v>0</v>
      </c>
      <c r="H170" s="465" t="s">
        <v>202</v>
      </c>
      <c r="I170" s="466" t="s">
        <v>204</v>
      </c>
      <c r="J170" s="463"/>
      <c r="K170" s="464"/>
      <c r="L170" s="464"/>
      <c r="M170" s="464"/>
      <c r="N170" s="483"/>
    </row>
    <row r="171" spans="1:14" ht="15" thickBot="1" x14ac:dyDescent="0.4">
      <c r="A171" s="100">
        <v>20</v>
      </c>
      <c r="B171" s="439"/>
      <c r="C171" s="442"/>
      <c r="D171" s="443">
        <f>IF(B171=0,0,VLOOKUP(B171,Supplies!$B$13:$C$97,2,FALSE))</f>
        <v>0</v>
      </c>
      <c r="E171" s="377">
        <f>IF(D171=" "," ",D171*C171)</f>
        <v>0</v>
      </c>
      <c r="H171" s="467"/>
      <c r="I171" s="484" t="str">
        <f>IF(H171=0," ",VLOOKUP(H171,Subcontractors!$B$15:$E$25,4))</f>
        <v xml:space="preserve"> </v>
      </c>
      <c r="J171" s="463"/>
      <c r="K171" s="464"/>
      <c r="L171" s="464"/>
      <c r="M171" s="464"/>
    </row>
    <row r="172" spans="1:14" ht="15" thickBot="1" x14ac:dyDescent="0.4">
      <c r="A172" s="100"/>
      <c r="B172" s="335"/>
      <c r="C172" s="485"/>
      <c r="D172" s="397"/>
      <c r="E172" s="397"/>
      <c r="H172" s="469"/>
      <c r="I172" s="486" t="str">
        <f>IF(H172=0," ",VLOOKUP(H172,Subcontractors!$B$15:$E$25,4))</f>
        <v xml:space="preserve"> </v>
      </c>
    </row>
    <row r="173" spans="1:14" x14ac:dyDescent="0.35">
      <c r="A173" s="100"/>
      <c r="B173" s="335"/>
      <c r="C173" s="485"/>
      <c r="D173" s="397"/>
      <c r="E173" s="397"/>
      <c r="H173" s="473"/>
      <c r="I173" s="404"/>
    </row>
    <row r="174" spans="1:14" ht="18.5" x14ac:dyDescent="0.35">
      <c r="A174" s="818" t="s">
        <v>192</v>
      </c>
      <c r="B174" s="818"/>
      <c r="C174" s="818"/>
      <c r="D174" s="818"/>
      <c r="E174" s="818"/>
      <c r="F174" s="818"/>
      <c r="G174" s="150" t="str">
        <f>B125</f>
        <v>Hard Floor Strip and Wax</v>
      </c>
      <c r="H174" s="301"/>
      <c r="I174" s="150"/>
      <c r="J174" s="150"/>
      <c r="K174" s="150"/>
      <c r="L174" s="150"/>
      <c r="M174" s="150"/>
      <c r="N174" s="150"/>
    </row>
    <row r="175" spans="1:14" ht="18.5" x14ac:dyDescent="0.35">
      <c r="A175" s="818" t="s">
        <v>193</v>
      </c>
      <c r="B175" s="828"/>
      <c r="C175" s="828"/>
      <c r="D175" s="828"/>
      <c r="E175" s="828"/>
      <c r="F175" s="828"/>
      <c r="G175" s="150" t="str">
        <f>B183</f>
        <v>Hard Floor Scrub and Seal</v>
      </c>
      <c r="H175" s="301"/>
      <c r="I175" s="150"/>
      <c r="J175" s="150"/>
      <c r="K175" s="150"/>
      <c r="L175" s="150"/>
      <c r="M175" s="150"/>
      <c r="N175" s="150"/>
    </row>
    <row r="177" spans="1:14" x14ac:dyDescent="0.35">
      <c r="B177" s="222" t="s">
        <v>109</v>
      </c>
      <c r="C177" s="735">
        <f>'kt info'!$C$3</f>
        <v>0</v>
      </c>
      <c r="D177" s="735"/>
      <c r="E177" s="736"/>
      <c r="F177" s="737"/>
      <c r="H177" s="333"/>
      <c r="J177" s="811" t="s">
        <v>170</v>
      </c>
      <c r="K177" s="708"/>
      <c r="L177" s="708"/>
      <c r="M177" s="708"/>
    </row>
    <row r="178" spans="1:14" x14ac:dyDescent="0.35">
      <c r="C178" s="300"/>
      <c r="D178" s="100"/>
      <c r="E178" s="100"/>
      <c r="F178" s="100"/>
      <c r="I178" s="329"/>
      <c r="J178" s="329" t="str">
        <f>$B$10</f>
        <v>All Carpets</v>
      </c>
      <c r="L178" s="336" t="str">
        <f>$B$415</f>
        <v>Enter Periodical Service 1</v>
      </c>
    </row>
    <row r="179" spans="1:14" x14ac:dyDescent="0.35">
      <c r="B179" s="222" t="s">
        <v>110</v>
      </c>
      <c r="C179" s="735">
        <f>'kt info'!$C$5</f>
        <v>0</v>
      </c>
      <c r="D179" s="735"/>
      <c r="E179" s="737"/>
      <c r="F179" s="737"/>
      <c r="J179" s="329" t="str">
        <f>$B$67</f>
        <v>High Traffic Carpet</v>
      </c>
      <c r="L179" s="336" t="str">
        <f>$B$473</f>
        <v>Enter Periodical Service 2</v>
      </c>
    </row>
    <row r="180" spans="1:14" x14ac:dyDescent="0.35">
      <c r="C180" s="300"/>
      <c r="D180" s="100"/>
      <c r="E180" s="100"/>
      <c r="F180" s="100"/>
      <c r="J180" s="329" t="str">
        <f>$B$125</f>
        <v>Hard Floor Strip and Wax</v>
      </c>
      <c r="L180" s="336" t="str">
        <f>$B$531</f>
        <v>Enter Periodical Service 3</v>
      </c>
    </row>
    <row r="181" spans="1:14" x14ac:dyDescent="0.35">
      <c r="B181" s="222" t="s">
        <v>135</v>
      </c>
      <c r="C181" s="735">
        <f>'kt info'!$C$7</f>
        <v>0</v>
      </c>
      <c r="D181" s="735"/>
      <c r="E181" s="737"/>
      <c r="F181" s="737"/>
      <c r="J181" s="329" t="str">
        <f>$B$183</f>
        <v>Hard Floor Scrub and Seal</v>
      </c>
      <c r="L181" s="336" t="str">
        <f>$B$589</f>
        <v>Enter Periodical Service 4</v>
      </c>
    </row>
    <row r="182" spans="1:14" x14ac:dyDescent="0.35">
      <c r="J182" s="336" t="str">
        <f>$B$241</f>
        <v>Window Washing</v>
      </c>
      <c r="L182" s="336" t="str">
        <f>$B$647</f>
        <v>Enter Periodical Service 5</v>
      </c>
    </row>
    <row r="183" spans="1:14" ht="18.5" x14ac:dyDescent="0.35">
      <c r="A183" s="337"/>
      <c r="B183" s="338" t="str">
        <f>'kt info'!B31</f>
        <v>Hard Floor Scrub and Seal</v>
      </c>
      <c r="C183" s="339"/>
      <c r="D183" s="337"/>
      <c r="E183" s="337"/>
      <c r="F183" s="337"/>
      <c r="G183" s="337"/>
      <c r="H183" s="302" t="s">
        <v>77</v>
      </c>
      <c r="I183" s="236" t="s">
        <v>238</v>
      </c>
      <c r="J183" s="336" t="str">
        <f>$B$299</f>
        <v>Clean Chairs</v>
      </c>
      <c r="L183" s="336" t="str">
        <f>$B$705</f>
        <v>Enter Periodical Service 6</v>
      </c>
      <c r="M183" s="337"/>
      <c r="N183" s="337"/>
    </row>
    <row r="184" spans="1:14" x14ac:dyDescent="0.35">
      <c r="E184" s="830" t="s">
        <v>79</v>
      </c>
      <c r="F184" s="831"/>
      <c r="G184" s="832"/>
      <c r="H184" s="341">
        <f>IF(SUM(M196:M205)&gt;0,SUM(M196:M205)/'kt info'!$G$31,0)</f>
        <v>0</v>
      </c>
      <c r="I184" s="342">
        <f>H184*'kt info'!$G$31</f>
        <v>0</v>
      </c>
      <c r="J184" s="336" t="str">
        <f>$B$357</f>
        <v>High Dusting</v>
      </c>
      <c r="L184" s="336" t="str">
        <f>$B$763</f>
        <v>Enter Periodical Service 7</v>
      </c>
    </row>
    <row r="185" spans="1:14" x14ac:dyDescent="0.35">
      <c r="B185" s="343" t="s">
        <v>78</v>
      </c>
      <c r="E185" s="830" t="s">
        <v>189</v>
      </c>
      <c r="F185" s="831"/>
      <c r="G185" s="832"/>
      <c r="H185" s="344">
        <f>IF(SUM(K196:K205)&gt;0,SUM(K196:K205),0)</f>
        <v>0</v>
      </c>
      <c r="I185" s="345">
        <f>H185*'kt info'!$G$31</f>
        <v>0</v>
      </c>
      <c r="J185" s="336"/>
      <c r="L185" s="336" t="str">
        <f>$B$821</f>
        <v>Enter Periodical Service 8</v>
      </c>
    </row>
    <row r="186" spans="1:14" x14ac:dyDescent="0.35">
      <c r="B186" s="177" t="s">
        <v>96</v>
      </c>
      <c r="C186" s="346">
        <f>'kt info'!E31</f>
        <v>0</v>
      </c>
      <c r="E186" s="830" t="s">
        <v>80</v>
      </c>
      <c r="F186" s="831"/>
      <c r="G186" s="832"/>
      <c r="H186" s="344">
        <f>IF(SUM(E210:E229)&gt;0,SUM(E210:E229),0)</f>
        <v>0</v>
      </c>
      <c r="I186" s="345">
        <f>H186*'kt info'!$G$31</f>
        <v>0</v>
      </c>
      <c r="J186" s="336"/>
      <c r="L186" s="336" t="str">
        <f>$B$879</f>
        <v>Enter Periodical Service 9</v>
      </c>
    </row>
    <row r="187" spans="1:14" x14ac:dyDescent="0.35">
      <c r="E187" s="830" t="s">
        <v>81</v>
      </c>
      <c r="F187" s="831"/>
      <c r="G187" s="832"/>
      <c r="H187" s="344">
        <f>IF(SUM(L210:L219)&gt;0,SUM(L210:L219),0)</f>
        <v>0</v>
      </c>
      <c r="I187" s="345">
        <f>H187*'kt info'!$G$31</f>
        <v>0</v>
      </c>
      <c r="J187" s="336"/>
      <c r="L187" s="336" t="str">
        <f>$B$937</f>
        <v>Enter Periodical Service 10</v>
      </c>
    </row>
    <row r="188" spans="1:14" x14ac:dyDescent="0.35">
      <c r="B188" s="177" t="s">
        <v>98</v>
      </c>
      <c r="C188" s="347">
        <f>ROUND(IF(SUM(H185:H191)&gt;0,SUM(H185:H191),0),0)</f>
        <v>0</v>
      </c>
      <c r="E188" s="830" t="s">
        <v>89</v>
      </c>
      <c r="F188" s="831"/>
      <c r="G188" s="832"/>
      <c r="H188" s="344">
        <f>IF(SUM(J223:J227)&gt;0,SUM(L223:L227),0)</f>
        <v>0</v>
      </c>
      <c r="I188" s="345">
        <f>H188*'kt info'!$G$31</f>
        <v>0</v>
      </c>
      <c r="J188" s="329"/>
      <c r="K188" s="336"/>
    </row>
    <row r="189" spans="1:14" x14ac:dyDescent="0.35">
      <c r="E189" s="830" t="s">
        <v>201</v>
      </c>
      <c r="F189" s="831"/>
      <c r="G189" s="832"/>
      <c r="H189" s="344">
        <f>IF(SUM(I229:I230)=0,0,SUM(I229:I230))</f>
        <v>0</v>
      </c>
      <c r="I189" s="345">
        <f>H189*'kt info'!$G$31</f>
        <v>0</v>
      </c>
      <c r="K189" s="336"/>
    </row>
    <row r="190" spans="1:14" x14ac:dyDescent="0.35">
      <c r="B190" s="177" t="s">
        <v>97</v>
      </c>
      <c r="C190" s="347">
        <f>IF(C186&gt;0,C188/C186,0)</f>
        <v>0</v>
      </c>
      <c r="E190" s="830" t="s">
        <v>87</v>
      </c>
      <c r="F190" s="831"/>
      <c r="G190" s="832"/>
      <c r="H190" s="344">
        <f>IF('Overhead &amp; Margin'!D$10&gt;0,((H185+H186+H187+H188+H189)*'Overhead &amp; Margin'!$D$10/(1-('Overhead &amp; Margin'!$D$10+'Overhead &amp; Margin'!$G$10))),0)</f>
        <v>0</v>
      </c>
      <c r="I190" s="345">
        <f>H190*'kt info'!$G$31</f>
        <v>0</v>
      </c>
      <c r="K190" s="336"/>
    </row>
    <row r="191" spans="1:14" x14ac:dyDescent="0.35">
      <c r="G191" s="178" t="s">
        <v>88</v>
      </c>
      <c r="H191" s="344">
        <f>IF('Overhead &amp; Margin'!$G$10=0,0,'Overhead &amp; Margin'!$G$10*(H185+H186+H187+H188+H189)/(1-('Overhead &amp; Margin'!$D$10+'Overhead &amp; Margin'!$G$10)))</f>
        <v>0</v>
      </c>
      <c r="I191" s="345">
        <f>H191*'kt info'!$G$31</f>
        <v>0</v>
      </c>
    </row>
    <row r="192" spans="1:14" x14ac:dyDescent="0.35">
      <c r="M192" s="605" t="str">
        <f>'kt info'!$B$12</f>
        <v>Form date: 10/24/25</v>
      </c>
    </row>
    <row r="193" spans="1:14" ht="15" thickBot="1" x14ac:dyDescent="0.4">
      <c r="B193" s="348" t="s">
        <v>104</v>
      </c>
    </row>
    <row r="194" spans="1:14" x14ac:dyDescent="0.35">
      <c r="B194" s="84" t="s">
        <v>18</v>
      </c>
      <c r="C194" s="349" t="s">
        <v>19</v>
      </c>
      <c r="D194" s="350" t="s">
        <v>25</v>
      </c>
      <c r="E194" s="350" t="s">
        <v>20</v>
      </c>
      <c r="F194" s="826" t="s">
        <v>22</v>
      </c>
      <c r="G194" s="826"/>
      <c r="H194" s="351" t="s">
        <v>23</v>
      </c>
      <c r="I194" s="350" t="s">
        <v>21</v>
      </c>
      <c r="J194" s="350" t="s">
        <v>24</v>
      </c>
      <c r="K194" s="350" t="s">
        <v>77</v>
      </c>
      <c r="L194" s="352" t="s">
        <v>26</v>
      </c>
      <c r="M194" s="4" t="s">
        <v>27</v>
      </c>
      <c r="N194" s="4" t="s">
        <v>0</v>
      </c>
    </row>
    <row r="195" spans="1:14" ht="15" thickBot="1" x14ac:dyDescent="0.4">
      <c r="B195" s="22" t="s">
        <v>306</v>
      </c>
      <c r="C195" s="353" t="s">
        <v>28</v>
      </c>
      <c r="D195" s="354" t="s">
        <v>33</v>
      </c>
      <c r="E195" s="354" t="s">
        <v>29</v>
      </c>
      <c r="F195" s="827" t="s">
        <v>30</v>
      </c>
      <c r="G195" s="827"/>
      <c r="H195" s="355" t="s">
        <v>31</v>
      </c>
      <c r="I195" s="354"/>
      <c r="J195" s="354" t="s">
        <v>38</v>
      </c>
      <c r="K195" s="354" t="s">
        <v>189</v>
      </c>
      <c r="L195" s="356" t="s">
        <v>0</v>
      </c>
      <c r="M195" s="5" t="s">
        <v>0</v>
      </c>
      <c r="N195" s="5" t="s">
        <v>77</v>
      </c>
    </row>
    <row r="196" spans="1:14" x14ac:dyDescent="0.35">
      <c r="A196" s="100">
        <v>1</v>
      </c>
      <c r="B196" s="474"/>
      <c r="C196" s="358"/>
      <c r="D196" s="359" t="str">
        <f>IF(B196=0," ",'kt info'!$G$31)</f>
        <v xml:space="preserve"> </v>
      </c>
      <c r="E196" s="360" t="str">
        <f>IF(B196=0," ",VLOOKUP(B196,WageBeneTable5[#All],2,FALSE))</f>
        <v xml:space="preserve"> </v>
      </c>
      <c r="F196" s="820">
        <f>IF($E196=" ",0,'Pay &amp; Benefits'!$C$10)</f>
        <v>0</v>
      </c>
      <c r="G196" s="821"/>
      <c r="H196" s="361" t="str">
        <f>IF($E196=" "," ",'Pay &amp; Benefits'!$C$11)</f>
        <v xml:space="preserve"> </v>
      </c>
      <c r="I196" s="362" t="str">
        <f t="shared" ref="I196:I205" si="21">IF(E196=" "," ",0.0765)</f>
        <v xml:space="preserve"> </v>
      </c>
      <c r="J196" s="363" t="str">
        <f>IF(B196=0," ",VLOOKUP(B196,WageBeneTable5[#All],3,FALSE))</f>
        <v xml:space="preserve"> </v>
      </c>
      <c r="K196" s="360" t="str">
        <f t="shared" ref="K196:K205" si="22">IF(B196=0," ",C196*E196*(1+I196+F196+H196+J196))</f>
        <v xml:space="preserve"> </v>
      </c>
      <c r="L196" s="360">
        <f t="shared" ref="L196:L205" si="23">IF(K196=" ",0,K196*D196)</f>
        <v>0</v>
      </c>
      <c r="M196" s="364">
        <f t="shared" ref="M196:M205" si="24">IF(B196=0,0,C196*D196)</f>
        <v>0</v>
      </c>
      <c r="N196" s="365">
        <f t="shared" ref="N196:N205" si="25">IF(L196=0,0,IF(D196=0,0,L196/D196))</f>
        <v>0</v>
      </c>
    </row>
    <row r="197" spans="1:14" x14ac:dyDescent="0.35">
      <c r="A197" s="100">
        <v>2</v>
      </c>
      <c r="B197" s="437"/>
      <c r="C197" s="367"/>
      <c r="D197" s="359" t="str">
        <f>IF(B197=0," ",'kt info'!$G$31)</f>
        <v xml:space="preserve"> </v>
      </c>
      <c r="E197" s="368" t="str">
        <f>IF(B197=0," ",VLOOKUP(B197,WageBeneTable5[#All],2,FALSE))</f>
        <v xml:space="preserve"> </v>
      </c>
      <c r="F197" s="822">
        <f>IF($E197=" ",0,'Pay &amp; Benefits'!$C$10)</f>
        <v>0</v>
      </c>
      <c r="G197" s="823"/>
      <c r="H197" s="369" t="str">
        <f>IF($E197=" "," ",'Pay &amp; Benefits'!$C$11)</f>
        <v xml:space="preserve"> </v>
      </c>
      <c r="I197" s="370" t="str">
        <f t="shared" si="21"/>
        <v xml:space="preserve"> </v>
      </c>
      <c r="J197" s="371" t="str">
        <f>IF(B197=0," ",VLOOKUP(B197,WageBeneTable5[#All],3,FALSE))</f>
        <v xml:space="preserve"> </v>
      </c>
      <c r="K197" s="368" t="str">
        <f t="shared" si="22"/>
        <v xml:space="preserve"> </v>
      </c>
      <c r="L197" s="368">
        <f t="shared" si="23"/>
        <v>0</v>
      </c>
      <c r="M197" s="372">
        <f t="shared" si="24"/>
        <v>0</v>
      </c>
      <c r="N197" s="373">
        <f t="shared" si="25"/>
        <v>0</v>
      </c>
    </row>
    <row r="198" spans="1:14" x14ac:dyDescent="0.35">
      <c r="A198" s="100">
        <v>3</v>
      </c>
      <c r="B198" s="437"/>
      <c r="C198" s="367"/>
      <c r="D198" s="359" t="str">
        <f>IF(B198=0," ",'kt info'!$G$31)</f>
        <v xml:space="preserve"> </v>
      </c>
      <c r="E198" s="368" t="str">
        <f>IF(B198=0," ",VLOOKUP(B198,WageBeneTable5[#All],2,FALSE))</f>
        <v xml:space="preserve"> </v>
      </c>
      <c r="F198" s="822">
        <f>IF($E198=" ",0,'Pay &amp; Benefits'!$C$10)</f>
        <v>0</v>
      </c>
      <c r="G198" s="823"/>
      <c r="H198" s="369" t="str">
        <f>IF($E198=" "," ",'Pay &amp; Benefits'!$C$11)</f>
        <v xml:space="preserve"> </v>
      </c>
      <c r="I198" s="370" t="str">
        <f t="shared" si="21"/>
        <v xml:space="preserve"> </v>
      </c>
      <c r="J198" s="371" t="str">
        <f>IF(B198=0," ",VLOOKUP(B198,WageBeneTable5[#All],3,FALSE))</f>
        <v xml:space="preserve"> </v>
      </c>
      <c r="K198" s="368" t="str">
        <f t="shared" si="22"/>
        <v xml:space="preserve"> </v>
      </c>
      <c r="L198" s="368">
        <f t="shared" si="23"/>
        <v>0</v>
      </c>
      <c r="M198" s="372">
        <f t="shared" si="24"/>
        <v>0</v>
      </c>
      <c r="N198" s="373">
        <f t="shared" si="25"/>
        <v>0</v>
      </c>
    </row>
    <row r="199" spans="1:14" x14ac:dyDescent="0.35">
      <c r="A199" s="100">
        <v>4</v>
      </c>
      <c r="B199" s="437"/>
      <c r="C199" s="367"/>
      <c r="D199" s="359" t="str">
        <f>IF(B199=0," ",'kt info'!$G$31)</f>
        <v xml:space="preserve"> </v>
      </c>
      <c r="E199" s="368" t="str">
        <f>IF(B199=0," ",VLOOKUP(B199,WageBeneTable5[#All],2,FALSE))</f>
        <v xml:space="preserve"> </v>
      </c>
      <c r="F199" s="822">
        <f>IF($E199=" ",0,'Pay &amp; Benefits'!$C$10)</f>
        <v>0</v>
      </c>
      <c r="G199" s="823"/>
      <c r="H199" s="369" t="str">
        <f>IF($E199=" "," ",'Pay &amp; Benefits'!$C$11)</f>
        <v xml:space="preserve"> </v>
      </c>
      <c r="I199" s="370" t="str">
        <f t="shared" si="21"/>
        <v xml:space="preserve"> </v>
      </c>
      <c r="J199" s="371" t="str">
        <f>IF(B199=0," ",VLOOKUP(B199,WageBeneTable5[#All],3,FALSE))</f>
        <v xml:space="preserve"> </v>
      </c>
      <c r="K199" s="368" t="str">
        <f t="shared" si="22"/>
        <v xml:space="preserve"> </v>
      </c>
      <c r="L199" s="368">
        <f t="shared" si="23"/>
        <v>0</v>
      </c>
      <c r="M199" s="372">
        <f t="shared" si="24"/>
        <v>0</v>
      </c>
      <c r="N199" s="373">
        <f t="shared" si="25"/>
        <v>0</v>
      </c>
    </row>
    <row r="200" spans="1:14" ht="15" thickBot="1" x14ac:dyDescent="0.4">
      <c r="A200" s="100">
        <v>5</v>
      </c>
      <c r="B200" s="439"/>
      <c r="C200" s="375"/>
      <c r="D200" s="376" t="str">
        <f>IF(B200=0," ",'kt info'!$G$31)</f>
        <v xml:space="preserve"> </v>
      </c>
      <c r="E200" s="377" t="str">
        <f>IF(B200=0," ",VLOOKUP(B200,WageBeneTable5[#All],2,FALSE))</f>
        <v xml:space="preserve"> </v>
      </c>
      <c r="F200" s="813">
        <f>IF($E200=" ",0,'Pay &amp; Benefits'!$C$10)</f>
        <v>0</v>
      </c>
      <c r="G200" s="814"/>
      <c r="H200" s="378" t="str">
        <f>IF($E200=" "," ",'Pay &amp; Benefits'!$C$11)</f>
        <v xml:space="preserve"> </v>
      </c>
      <c r="I200" s="379" t="str">
        <f t="shared" si="21"/>
        <v xml:space="preserve"> </v>
      </c>
      <c r="J200" s="380" t="str">
        <f>IF(B200=0," ",VLOOKUP(B200,WageBeneTable5[#All],3,FALSE))</f>
        <v xml:space="preserve"> </v>
      </c>
      <c r="K200" s="377" t="str">
        <f t="shared" si="22"/>
        <v xml:space="preserve"> </v>
      </c>
      <c r="L200" s="377">
        <f t="shared" si="23"/>
        <v>0</v>
      </c>
      <c r="M200" s="381">
        <f t="shared" si="24"/>
        <v>0</v>
      </c>
      <c r="N200" s="382">
        <f t="shared" si="25"/>
        <v>0</v>
      </c>
    </row>
    <row r="201" spans="1:14" x14ac:dyDescent="0.35">
      <c r="A201" s="100">
        <v>6</v>
      </c>
      <c r="B201" s="474"/>
      <c r="C201" s="383"/>
      <c r="D201" s="384" t="str">
        <f>IF(B201=0," ",'kt info'!$G$31)</f>
        <v xml:space="preserve"> </v>
      </c>
      <c r="E201" s="385" t="str">
        <f>IF(B201=0," ",VLOOKUP(B201,WageBeneTable5[#All],2,FALSE))</f>
        <v xml:space="preserve"> </v>
      </c>
      <c r="F201" s="820">
        <f>IF($E201=" ",0,'Pay &amp; Benefits'!$C$10)</f>
        <v>0</v>
      </c>
      <c r="G201" s="821"/>
      <c r="H201" s="386" t="str">
        <f>IF($E201=" "," ",'Pay &amp; Benefits'!$C$11)</f>
        <v xml:space="preserve"> </v>
      </c>
      <c r="I201" s="387" t="str">
        <f t="shared" si="21"/>
        <v xml:space="preserve"> </v>
      </c>
      <c r="J201" s="388" t="str">
        <f>IF(B201=0," ",VLOOKUP(B201,WageBeneTable5[#All],3,FALSE))</f>
        <v xml:space="preserve"> </v>
      </c>
      <c r="K201" s="385" t="str">
        <f t="shared" si="22"/>
        <v xml:space="preserve"> </v>
      </c>
      <c r="L201" s="385">
        <f t="shared" si="23"/>
        <v>0</v>
      </c>
      <c r="M201" s="389">
        <f t="shared" si="24"/>
        <v>0</v>
      </c>
      <c r="N201" s="390">
        <f t="shared" si="25"/>
        <v>0</v>
      </c>
    </row>
    <row r="202" spans="1:14" x14ac:dyDescent="0.35">
      <c r="A202" s="100">
        <v>7</v>
      </c>
      <c r="B202" s="437"/>
      <c r="C202" s="367"/>
      <c r="D202" s="384" t="str">
        <f>IF(B202=0," ",'kt info'!$G$31)</f>
        <v xml:space="preserve"> </v>
      </c>
      <c r="E202" s="385" t="str">
        <f>IF(B202=0," ",VLOOKUP(B202,WageBeneTable5[#All],2,FALSE))</f>
        <v xml:space="preserve"> </v>
      </c>
      <c r="F202" s="822">
        <f>IF($E202=" ",0,'Pay &amp; Benefits'!$C$10)</f>
        <v>0</v>
      </c>
      <c r="G202" s="823"/>
      <c r="H202" s="386" t="str">
        <f>IF($E202=" "," ",'Pay &amp; Benefits'!$C$11)</f>
        <v xml:space="preserve"> </v>
      </c>
      <c r="I202" s="387" t="str">
        <f t="shared" si="21"/>
        <v xml:space="preserve"> </v>
      </c>
      <c r="J202" s="388" t="str">
        <f>IF(B202=0," ",VLOOKUP(B202,WageBeneTable5[#All],3,FALSE))</f>
        <v xml:space="preserve"> </v>
      </c>
      <c r="K202" s="385" t="str">
        <f t="shared" si="22"/>
        <v xml:space="preserve"> </v>
      </c>
      <c r="L202" s="385">
        <f t="shared" si="23"/>
        <v>0</v>
      </c>
      <c r="M202" s="389">
        <f t="shared" si="24"/>
        <v>0</v>
      </c>
      <c r="N202" s="390">
        <f t="shared" si="25"/>
        <v>0</v>
      </c>
    </row>
    <row r="203" spans="1:14" x14ac:dyDescent="0.35">
      <c r="A203" s="100">
        <v>8</v>
      </c>
      <c r="B203" s="437"/>
      <c r="C203" s="367"/>
      <c r="D203" s="384" t="str">
        <f>IF(B203=0," ",'kt info'!$G$31)</f>
        <v xml:space="preserve"> </v>
      </c>
      <c r="E203" s="385" t="str">
        <f>IF(B203=0," ",VLOOKUP(B203,WageBeneTable5[#All],2,FALSE))</f>
        <v xml:space="preserve"> </v>
      </c>
      <c r="F203" s="822">
        <f>IF($E203=" ",0,'Pay &amp; Benefits'!$C$10)</f>
        <v>0</v>
      </c>
      <c r="G203" s="823"/>
      <c r="H203" s="386" t="str">
        <f>IF($E203=" "," ",'Pay &amp; Benefits'!$C$11)</f>
        <v xml:space="preserve"> </v>
      </c>
      <c r="I203" s="387" t="str">
        <f t="shared" si="21"/>
        <v xml:space="preserve"> </v>
      </c>
      <c r="J203" s="388" t="str">
        <f>IF(B203=0," ",VLOOKUP(B203,WageBeneTable5[#All],3,FALSE))</f>
        <v xml:space="preserve"> </v>
      </c>
      <c r="K203" s="385" t="str">
        <f t="shared" si="22"/>
        <v xml:space="preserve"> </v>
      </c>
      <c r="L203" s="385">
        <f t="shared" si="23"/>
        <v>0</v>
      </c>
      <c r="M203" s="389">
        <f t="shared" si="24"/>
        <v>0</v>
      </c>
      <c r="N203" s="390">
        <f t="shared" si="25"/>
        <v>0</v>
      </c>
    </row>
    <row r="204" spans="1:14" x14ac:dyDescent="0.35">
      <c r="A204" s="100">
        <v>9</v>
      </c>
      <c r="B204" s="437"/>
      <c r="C204" s="367"/>
      <c r="D204" s="384" t="str">
        <f>IF(B204=0," ",'kt info'!$G$31)</f>
        <v xml:space="preserve"> </v>
      </c>
      <c r="E204" s="385" t="str">
        <f>IF(B204=0," ",VLOOKUP(B204,WageBeneTable5[#All],2,FALSE))</f>
        <v xml:space="preserve"> </v>
      </c>
      <c r="F204" s="822">
        <f>IF($E204=" ",0,'Pay &amp; Benefits'!$C$10)</f>
        <v>0</v>
      </c>
      <c r="G204" s="823"/>
      <c r="H204" s="386" t="str">
        <f>IF($E204=" "," ",'Pay &amp; Benefits'!$C$11)</f>
        <v xml:space="preserve"> </v>
      </c>
      <c r="I204" s="387" t="str">
        <f t="shared" si="21"/>
        <v xml:space="preserve"> </v>
      </c>
      <c r="J204" s="388" t="str">
        <f>IF(B204=0," ",VLOOKUP(B204,WageBeneTable5[#All],3,FALSE))</f>
        <v xml:space="preserve"> </v>
      </c>
      <c r="K204" s="385" t="str">
        <f t="shared" si="22"/>
        <v xml:space="preserve"> </v>
      </c>
      <c r="L204" s="385">
        <f t="shared" si="23"/>
        <v>0</v>
      </c>
      <c r="M204" s="389">
        <f t="shared" si="24"/>
        <v>0</v>
      </c>
      <c r="N204" s="390">
        <f t="shared" si="25"/>
        <v>0</v>
      </c>
    </row>
    <row r="205" spans="1:14" ht="15" thickBot="1" x14ac:dyDescent="0.4">
      <c r="A205" s="100">
        <v>10</v>
      </c>
      <c r="B205" s="439"/>
      <c r="C205" s="375"/>
      <c r="D205" s="376" t="str">
        <f>IF(B205=0," ",'kt info'!$G$31)</f>
        <v xml:space="preserve"> </v>
      </c>
      <c r="E205" s="377" t="str">
        <f>IF(B205=0," ",VLOOKUP(B205,WageBeneTable5[#All],2,FALSE))</f>
        <v xml:space="preserve"> </v>
      </c>
      <c r="F205" s="813">
        <f>IF($E205=" ",0,'Pay &amp; Benefits'!$C$10)</f>
        <v>0</v>
      </c>
      <c r="G205" s="814"/>
      <c r="H205" s="378" t="str">
        <f>IF($E205=" "," ",'Pay &amp; Benefits'!$C$11)</f>
        <v xml:space="preserve"> </v>
      </c>
      <c r="I205" s="379" t="str">
        <f t="shared" si="21"/>
        <v xml:space="preserve"> </v>
      </c>
      <c r="J205" s="380" t="str">
        <f>IF(B205=0," ",VLOOKUP(B205,WageBeneTable5[#All],3,FALSE))</f>
        <v xml:space="preserve"> </v>
      </c>
      <c r="K205" s="377" t="str">
        <f t="shared" si="22"/>
        <v xml:space="preserve"> </v>
      </c>
      <c r="L205" s="377">
        <f t="shared" si="23"/>
        <v>0</v>
      </c>
      <c r="M205" s="381">
        <f t="shared" si="24"/>
        <v>0</v>
      </c>
      <c r="N205" s="382">
        <f t="shared" si="25"/>
        <v>0</v>
      </c>
    </row>
    <row r="206" spans="1:14" x14ac:dyDescent="0.35">
      <c r="K206" s="391"/>
      <c r="L206" s="392"/>
      <c r="M206" s="393"/>
    </row>
    <row r="207" spans="1:14" ht="15" thickBot="1" x14ac:dyDescent="0.4">
      <c r="B207" s="394" t="s">
        <v>203</v>
      </c>
      <c r="E207" s="395"/>
      <c r="H207" s="815" t="s">
        <v>199</v>
      </c>
      <c r="I207" s="816"/>
      <c r="M207" s="475"/>
      <c r="N207" s="100"/>
    </row>
    <row r="208" spans="1:14" x14ac:dyDescent="0.35">
      <c r="B208" s="32" t="s">
        <v>123</v>
      </c>
      <c r="C208" s="398" t="s">
        <v>239</v>
      </c>
      <c r="D208" s="399" t="s">
        <v>9</v>
      </c>
      <c r="E208" s="400" t="s">
        <v>83</v>
      </c>
      <c r="H208" s="303" t="s">
        <v>15</v>
      </c>
      <c r="I208" s="4" t="s">
        <v>85</v>
      </c>
      <c r="J208" s="4" t="s">
        <v>16</v>
      </c>
      <c r="K208" s="4" t="s">
        <v>241</v>
      </c>
      <c r="L208" s="4" t="s">
        <v>83</v>
      </c>
      <c r="M208" s="476"/>
      <c r="N208" s="477"/>
    </row>
    <row r="209" spans="1:14" ht="15" thickBot="1" x14ac:dyDescent="0.4">
      <c r="B209" s="33" t="s">
        <v>124</v>
      </c>
      <c r="C209" s="401" t="s">
        <v>84</v>
      </c>
      <c r="D209" s="402" t="s">
        <v>10</v>
      </c>
      <c r="E209" s="403" t="s">
        <v>84</v>
      </c>
      <c r="H209" s="304" t="s">
        <v>13</v>
      </c>
      <c r="I209" s="5" t="s">
        <v>86</v>
      </c>
      <c r="J209" s="5" t="s">
        <v>17</v>
      </c>
      <c r="K209" s="5" t="s">
        <v>12</v>
      </c>
      <c r="L209" s="5" t="s">
        <v>84</v>
      </c>
      <c r="M209" s="478"/>
      <c r="N209" s="479"/>
    </row>
    <row r="210" spans="1:14" x14ac:dyDescent="0.35">
      <c r="A210" s="100">
        <v>1</v>
      </c>
      <c r="B210" s="474"/>
      <c r="C210" s="406"/>
      <c r="D210" s="407">
        <f>IF(B210=0,0,VLOOKUP(B210,Supplies!$B$13:$C$97,2,FALSE))</f>
        <v>0</v>
      </c>
      <c r="E210" s="360">
        <f>IF(D210=" "," ",D210*C210)</f>
        <v>0</v>
      </c>
      <c r="G210" s="100">
        <v>1</v>
      </c>
      <c r="H210" s="408"/>
      <c r="I210" s="409"/>
      <c r="J210" s="410"/>
      <c r="K210" s="332" t="str">
        <f>IF(H210=0," ",IF(VLOOKUP(H210,'Equipment List'!$B$12:$F$96,5,FALSE)=0,0,IF(VLOOKUP(H210,'Equipment List'!$B$12:$F$96,5,FALSE)="Grant","Grant",IF(VLOOKUP(H210,'Equipment List'!$B$12:$F$96,5,FALSE)="Depreciated","Depreciated",VLOOKUP(H210,'Equipment List'!$B$12:$F$96,5,FALSE)*I210*J210))))</f>
        <v xml:space="preserve"> </v>
      </c>
      <c r="L210" s="365" t="str">
        <f>IF(K210=" "," ",IF(K210="Grant",0,IF(K210="Depreciated",0,IF('kt info'!$G$31=0,"No Service Frequency",K210/'kt info'!$G$31))))</f>
        <v xml:space="preserve"> </v>
      </c>
      <c r="M210" s="480"/>
      <c r="N210" s="404"/>
    </row>
    <row r="211" spans="1:14" x14ac:dyDescent="0.35">
      <c r="A211" s="100">
        <v>2</v>
      </c>
      <c r="B211" s="437"/>
      <c r="C211" s="414"/>
      <c r="D211" s="415">
        <f>IF(B211=0,0,VLOOKUP(B211,Supplies!$B$13:$C$97,2,FALSE))</f>
        <v>0</v>
      </c>
      <c r="E211" s="385">
        <f t="shared" ref="E211:E225" si="26">IF(D211=" "," ",D211*C211)</f>
        <v>0</v>
      </c>
      <c r="G211" s="100">
        <v>2</v>
      </c>
      <c r="H211" s="416"/>
      <c r="I211" s="417"/>
      <c r="J211" s="418"/>
      <c r="K211" s="421" t="str">
        <f>IF(H211=0," ",IF(VLOOKUP(H211,'Equipment List'!$B$12:$F$96,5,FALSE)=0,0,IF(VLOOKUP(H211,'Equipment List'!$B$12:$F$96,5,FALSE)="Grant","Grant",IF(VLOOKUP(H211,'Equipment List'!$B$12:$F$96,5,FALSE)="Depreciated","Depreciated",VLOOKUP(H211,'Equipment List'!$B$12:$F$96,5,FALSE)*I211*J211))))</f>
        <v xml:space="preserve"> </v>
      </c>
      <c r="L211" s="390" t="str">
        <f>IF(K211=" "," ",IF(K211="Grant",0,IF(K211="Depreciated",0,IF('kt info'!$G$31=0,"No Service Frequency",K211/'kt info'!$G$31))))</f>
        <v xml:space="preserve"> </v>
      </c>
    </row>
    <row r="212" spans="1:14" x14ac:dyDescent="0.35">
      <c r="A212" s="100">
        <v>3</v>
      </c>
      <c r="B212" s="437"/>
      <c r="C212" s="414"/>
      <c r="D212" s="415">
        <f>IF(B212=0,0,VLOOKUP(B212,Supplies!$B$13:$C$97,2,FALSE))</f>
        <v>0</v>
      </c>
      <c r="E212" s="385">
        <f t="shared" si="26"/>
        <v>0</v>
      </c>
      <c r="G212" s="100">
        <v>3</v>
      </c>
      <c r="H212" s="416"/>
      <c r="I212" s="417"/>
      <c r="J212" s="418"/>
      <c r="K212" s="421" t="str">
        <f>IF(H212=0," ",IF(VLOOKUP(H212,'Equipment List'!$B$12:$F$96,5,FALSE)=0,0,IF(VLOOKUP(H212,'Equipment List'!$B$12:$F$96,5,FALSE)="Grant","Grant",IF(VLOOKUP(H212,'Equipment List'!$B$12:$F$96,5,FALSE)="Depreciated","Depreciated",VLOOKUP(H212,'Equipment List'!$B$12:$F$96,5,FALSE)*I212*J212))))</f>
        <v xml:space="preserve"> </v>
      </c>
      <c r="L212" s="390" t="str">
        <f>IF(K212=" "," ",IF(K212="Grant",0,IF(K212="Depreciated",0,IF('kt info'!$G$31=0,"No Service Frequency",K212/'kt info'!$G$31))))</f>
        <v xml:space="preserve"> </v>
      </c>
    </row>
    <row r="213" spans="1:14" x14ac:dyDescent="0.35">
      <c r="A213" s="100">
        <v>4</v>
      </c>
      <c r="B213" s="437"/>
      <c r="C213" s="414"/>
      <c r="D213" s="415">
        <f>IF(B213=0,0,VLOOKUP(B213,Supplies!$B$13:$C$97,2,FALSE))</f>
        <v>0</v>
      </c>
      <c r="E213" s="385">
        <f t="shared" si="26"/>
        <v>0</v>
      </c>
      <c r="G213" s="100">
        <v>4</v>
      </c>
      <c r="H213" s="416"/>
      <c r="I213" s="417"/>
      <c r="J213" s="418"/>
      <c r="K213" s="421" t="str">
        <f>IF(H213=0," ",IF(VLOOKUP(H213,'Equipment List'!$B$12:$F$96,5,FALSE)=0,0,IF(VLOOKUP(H213,'Equipment List'!$B$12:$F$96,5,FALSE)="Grant","Grant",IF(VLOOKUP(H213,'Equipment List'!$B$12:$F$96,5,FALSE)="Depreciated","Depreciated",VLOOKUP(H213,'Equipment List'!$B$12:$F$96,5,FALSE)*I213*J213))))</f>
        <v xml:space="preserve"> </v>
      </c>
      <c r="L213" s="390" t="str">
        <f>IF(K213=" "," ",IF(K213="Grant",0,IF(K213="Depreciated",0,IF('kt info'!$G$31=0,"No Service Frequency",K213/'kt info'!$G$31))))</f>
        <v xml:space="preserve"> </v>
      </c>
    </row>
    <row r="214" spans="1:14" ht="15" thickBot="1" x14ac:dyDescent="0.4">
      <c r="A214" s="100">
        <v>5</v>
      </c>
      <c r="B214" s="439"/>
      <c r="C214" s="423"/>
      <c r="D214" s="424">
        <f>IF(B214=0,0,VLOOKUP(B214,Supplies!$B$13:$C$97,2,FALSE))</f>
        <v>0</v>
      </c>
      <c r="E214" s="377">
        <f t="shared" si="26"/>
        <v>0</v>
      </c>
      <c r="G214" s="100">
        <v>5</v>
      </c>
      <c r="H214" s="425"/>
      <c r="I214" s="426"/>
      <c r="J214" s="427"/>
      <c r="K214" s="428" t="str">
        <f>IF(H214=0," ",IF(VLOOKUP(H214,'Equipment List'!$B$12:$F$96,5,FALSE)=0,0,IF(VLOOKUP(H214,'Equipment List'!$B$12:$F$96,5,FALSE)="Grant","Grant",IF(VLOOKUP(H214,'Equipment List'!$B$12:$F$96,5,FALSE)="Depreciated","Depreciated",VLOOKUP(H214,'Equipment List'!$B$12:$F$96,5,FALSE)*I214*J214))))</f>
        <v xml:space="preserve"> </v>
      </c>
      <c r="L214" s="382" t="str">
        <f>IF(K214=" "," ",IF(K214="Grant",0,IF(K214="Depreciated",0,IF('kt info'!$G$31=0,"No Service Frequency",K214/'kt info'!$G$31))))</f>
        <v xml:space="preserve"> </v>
      </c>
    </row>
    <row r="215" spans="1:14" x14ac:dyDescent="0.35">
      <c r="A215" s="100">
        <v>6</v>
      </c>
      <c r="B215" s="433"/>
      <c r="C215" s="431"/>
      <c r="D215" s="432">
        <f>IF(B215=0,0,VLOOKUP(B215,Supplies!$B$13:$C$97,2,FALSE))</f>
        <v>0</v>
      </c>
      <c r="E215" s="385">
        <f t="shared" si="26"/>
        <v>0</v>
      </c>
      <c r="G215" s="100">
        <v>6</v>
      </c>
      <c r="H215" s="433"/>
      <c r="I215" s="434"/>
      <c r="J215" s="435"/>
      <c r="K215" s="436" t="str">
        <f>IF(H215=0," ",IF(VLOOKUP(H215,'Equipment List'!$B$12:$F$96,5,FALSE)=0,0,IF(VLOOKUP(H215,'Equipment List'!$B$12:$F$96,5,FALSE)="Grant","Grant",IF(VLOOKUP(H215,'Equipment List'!$B$12:$F$96,5,FALSE)="Depreciated","Depreciated",VLOOKUP(H215,'Equipment List'!$B$12:$F$96,5,FALSE)*I215*J215))))</f>
        <v xml:space="preserve"> </v>
      </c>
      <c r="L215" s="390" t="str">
        <f>IF(K215=" "," ",IF(K215="Grant",0,IF(K215="Depreciated",0,IF('kt info'!$G$31=0,"No Service Frequency",K215/'kt info'!$G$31))))</f>
        <v xml:space="preserve"> </v>
      </c>
    </row>
    <row r="216" spans="1:14" x14ac:dyDescent="0.35">
      <c r="A216" s="100">
        <v>7</v>
      </c>
      <c r="B216" s="437"/>
      <c r="C216" s="414"/>
      <c r="D216" s="415">
        <f>IF(B216=0,0,VLOOKUP(B216,Supplies!$B$13:$C$97,2,FALSE))</f>
        <v>0</v>
      </c>
      <c r="E216" s="385">
        <f t="shared" si="26"/>
        <v>0</v>
      </c>
      <c r="G216" s="100">
        <v>7</v>
      </c>
      <c r="H216" s="437"/>
      <c r="I216" s="417"/>
      <c r="J216" s="418"/>
      <c r="K216" s="438" t="str">
        <f>IF(H216=0," ",IF(VLOOKUP(H216,'Equipment List'!$B$12:$F$96,5,FALSE)=0,0,IF(VLOOKUP(H216,'Equipment List'!$B$12:$F$96,5,FALSE)="Grant","Grant",IF(VLOOKUP(H216,'Equipment List'!$B$12:$F$96,5,FALSE)="Depreciated","Depreciated",VLOOKUP(H216,'Equipment List'!$B$12:$F$96,5,FALSE)*I216*J216))))</f>
        <v xml:space="preserve"> </v>
      </c>
      <c r="L216" s="390" t="str">
        <f>IF(K216=" "," ",IF(K216="Grant",0,IF(K216="Depreciated",0,IF('kt info'!$G$31=0,"No Service Frequency",K216/'kt info'!$G$31))))</f>
        <v xml:space="preserve"> </v>
      </c>
    </row>
    <row r="217" spans="1:14" x14ac:dyDescent="0.35">
      <c r="A217" s="100">
        <v>8</v>
      </c>
      <c r="B217" s="437"/>
      <c r="C217" s="414"/>
      <c r="D217" s="415">
        <f>IF(B217=0,0,VLOOKUP(B217,Supplies!$B$13:$C$97,2,FALSE))</f>
        <v>0</v>
      </c>
      <c r="E217" s="385">
        <f t="shared" si="26"/>
        <v>0</v>
      </c>
      <c r="G217" s="100">
        <v>8</v>
      </c>
      <c r="H217" s="437"/>
      <c r="I217" s="417"/>
      <c r="J217" s="418"/>
      <c r="K217" s="438" t="str">
        <f>IF(H217=0," ",IF(VLOOKUP(H217,'Equipment List'!$B$12:$F$96,5,FALSE)=0,0,IF(VLOOKUP(H217,'Equipment List'!$B$12:$F$96,5,FALSE)="Grant","Grant",IF(VLOOKUP(H217,'Equipment List'!$B$12:$F$96,5,FALSE)="Depreciated","Depreciated",VLOOKUP(H217,'Equipment List'!$B$12:$F$96,5,FALSE)*I217*J217))))</f>
        <v xml:space="preserve"> </v>
      </c>
      <c r="L217" s="390" t="str">
        <f>IF(K217=" "," ",IF(K217="Grant",0,IF(K217="Depreciated",0,IF('kt info'!$G$31=0,"No Service Frequency",K217/'kt info'!$G$31))))</f>
        <v xml:space="preserve"> </v>
      </c>
    </row>
    <row r="218" spans="1:14" x14ac:dyDescent="0.35">
      <c r="A218" s="100">
        <v>9</v>
      </c>
      <c r="B218" s="437"/>
      <c r="C218" s="414"/>
      <c r="D218" s="415">
        <f>IF(B218=0,0,VLOOKUP(B218,Supplies!$B$13:$C$97,2,FALSE))</f>
        <v>0</v>
      </c>
      <c r="E218" s="385">
        <f t="shared" si="26"/>
        <v>0</v>
      </c>
      <c r="G218" s="100">
        <v>9</v>
      </c>
      <c r="H218" s="437"/>
      <c r="I218" s="417"/>
      <c r="J218" s="418"/>
      <c r="K218" s="438" t="str">
        <f>IF(H218=0," ",IF(VLOOKUP(H218,'Equipment List'!$B$12:$F$96,5,FALSE)=0,0,IF(VLOOKUP(H218,'Equipment List'!$B$12:$F$96,5,FALSE)="Grant","Grant",IF(VLOOKUP(H218,'Equipment List'!$B$12:$F$96,5,FALSE)="Depreciated","Depreciated",VLOOKUP(H218,'Equipment List'!$B$12:$F$96,5,FALSE)*I218*J218))))</f>
        <v xml:space="preserve"> </v>
      </c>
      <c r="L218" s="390" t="str">
        <f>IF(K218=" "," ",IF(K218="Grant",0,IF(K218="Depreciated",0,IF('kt info'!$G$31=0,"No Service Frequency",K218/'kt info'!$G$31))))</f>
        <v xml:space="preserve"> </v>
      </c>
    </row>
    <row r="219" spans="1:14" ht="15" thickBot="1" x14ac:dyDescent="0.4">
      <c r="A219" s="100">
        <v>10</v>
      </c>
      <c r="B219" s="439"/>
      <c r="C219" s="423"/>
      <c r="D219" s="424">
        <f>IF(B219=0,0,VLOOKUP(B219,Supplies!$B$13:$C$97,2,FALSE))</f>
        <v>0</v>
      </c>
      <c r="E219" s="377">
        <f t="shared" si="26"/>
        <v>0</v>
      </c>
      <c r="G219" s="100">
        <v>10</v>
      </c>
      <c r="H219" s="439"/>
      <c r="I219" s="426"/>
      <c r="J219" s="427"/>
      <c r="K219" s="440" t="str">
        <f>IF(H219=0," ",IF(VLOOKUP(H219,'Equipment List'!$B$12:$F$96,5,FALSE)=0,0,IF(VLOOKUP(H219,'Equipment List'!$B$12:$F$96,5,FALSE)="Grant","Grant",IF(VLOOKUP(H219,'Equipment List'!$B$12:$F$96,5,FALSE)="Depreciated","Depreciated",VLOOKUP(H219,'Equipment List'!$B$12:$F$96,5,FALSE)*I219*J219))))</f>
        <v xml:space="preserve"> </v>
      </c>
      <c r="L219" s="382" t="str">
        <f>IF(K219=" "," ",IF(K219="Grant",0,IF(K219="Depreciated",0,IF('kt info'!$G$31=0,"No Service Frequency",K219/'kt info'!$G$31))))</f>
        <v xml:space="preserve"> </v>
      </c>
    </row>
    <row r="220" spans="1:14" x14ac:dyDescent="0.35">
      <c r="A220" s="100">
        <v>11</v>
      </c>
      <c r="B220" s="433"/>
      <c r="C220" s="431"/>
      <c r="D220" s="432">
        <f>IF(B220=0,0,VLOOKUP(B220,Supplies!$B$13:$C$97,2,FALSE))</f>
        <v>0</v>
      </c>
      <c r="E220" s="385">
        <f t="shared" si="26"/>
        <v>0</v>
      </c>
    </row>
    <row r="221" spans="1:14" ht="15" thickBot="1" x14ac:dyDescent="0.4">
      <c r="A221" s="100">
        <v>12</v>
      </c>
      <c r="B221" s="437"/>
      <c r="C221" s="414"/>
      <c r="D221" s="415">
        <f>IF(B221=0,0,VLOOKUP(B221,Supplies!$B$13:$C$97,2,FALSE))</f>
        <v>0</v>
      </c>
      <c r="E221" s="385">
        <f t="shared" si="26"/>
        <v>0</v>
      </c>
      <c r="H221" s="834" t="s">
        <v>200</v>
      </c>
      <c r="I221" s="835"/>
      <c r="J221" s="354"/>
      <c r="K221" s="354"/>
      <c r="L221" s="354"/>
      <c r="M221" s="354"/>
    </row>
    <row r="222" spans="1:14" x14ac:dyDescent="0.35">
      <c r="A222" s="100">
        <v>13</v>
      </c>
      <c r="B222" s="437"/>
      <c r="C222" s="414"/>
      <c r="D222" s="415">
        <f>IF(B222=0,0,VLOOKUP(B222,Supplies!$B$13:$C$97,2,FALSE))</f>
        <v>0</v>
      </c>
      <c r="E222" s="385">
        <f t="shared" si="26"/>
        <v>0</v>
      </c>
      <c r="H222" s="441" t="s">
        <v>159</v>
      </c>
      <c r="I222" s="4" t="s">
        <v>92</v>
      </c>
      <c r="J222" s="4" t="s">
        <v>300</v>
      </c>
      <c r="K222" s="350" t="s">
        <v>93</v>
      </c>
      <c r="L222" s="4" t="s">
        <v>12</v>
      </c>
      <c r="M222" s="4" t="s">
        <v>12</v>
      </c>
      <c r="N222" s="481"/>
    </row>
    <row r="223" spans="1:14" ht="15" thickBot="1" x14ac:dyDescent="0.4">
      <c r="A223" s="100">
        <v>14</v>
      </c>
      <c r="B223" s="437"/>
      <c r="C223" s="414"/>
      <c r="D223" s="415">
        <f>IF(B223=0,0,VLOOKUP(B223,Supplies!$B$13:$C$97,2,FALSE))</f>
        <v>0</v>
      </c>
      <c r="E223" s="385">
        <f t="shared" si="26"/>
        <v>0</v>
      </c>
      <c r="H223" s="305" t="s">
        <v>13</v>
      </c>
      <c r="I223" s="5" t="s">
        <v>301</v>
      </c>
      <c r="J223" s="5" t="s">
        <v>169</v>
      </c>
      <c r="K223" s="354" t="s">
        <v>94</v>
      </c>
      <c r="L223" s="5" t="s">
        <v>302</v>
      </c>
      <c r="M223" s="5" t="s">
        <v>240</v>
      </c>
      <c r="N223" s="481"/>
    </row>
    <row r="224" spans="1:14" ht="15" thickBot="1" x14ac:dyDescent="0.4">
      <c r="A224" s="100">
        <v>15</v>
      </c>
      <c r="B224" s="439"/>
      <c r="C224" s="442"/>
      <c r="D224" s="443">
        <f>IF(B224=0,0,VLOOKUP(B224,Supplies!$B$13:$C$97,2,FALSE))</f>
        <v>0</v>
      </c>
      <c r="E224" s="377">
        <f t="shared" si="26"/>
        <v>0</v>
      </c>
      <c r="G224" s="393"/>
      <c r="H224" s="258"/>
      <c r="I224" s="444"/>
      <c r="J224" s="445"/>
      <c r="K224" s="446">
        <f>IF(H224=0,0,VLOOKUP(H224,Transportation!$B$6:$L$16,11,FALSE))</f>
        <v>0</v>
      </c>
      <c r="L224" s="447">
        <f>IF(I224=0,0,I224*K224)</f>
        <v>0</v>
      </c>
      <c r="M224" s="448">
        <f>IF(I224=0,0,I224*K224*J224)</f>
        <v>0</v>
      </c>
      <c r="N224" s="487"/>
    </row>
    <row r="225" spans="1:14" ht="15" thickBot="1" x14ac:dyDescent="0.4">
      <c r="A225" s="100">
        <v>16</v>
      </c>
      <c r="B225" s="433"/>
      <c r="C225" s="449"/>
      <c r="D225" s="450">
        <f>IF(B225=0,0,VLOOKUP(B225,Supplies!$B$13:$C$97,2,FALSE))</f>
        <v>0</v>
      </c>
      <c r="E225" s="385">
        <f t="shared" si="26"/>
        <v>0</v>
      </c>
      <c r="H225" s="259"/>
      <c r="I225" s="451"/>
      <c r="J225" s="452"/>
      <c r="K225" s="453">
        <f>IF(H225=0,0,VLOOKUP(H225,Transportation!$B$6:$L$16,11,FALSE))</f>
        <v>0</v>
      </c>
      <c r="L225" s="454">
        <f>IF(I225=0,0,I225*K225)</f>
        <v>0</v>
      </c>
      <c r="M225" s="455">
        <f>IF(I225=0,0,I225*K225*J225)</f>
        <v>0</v>
      </c>
      <c r="N225" s="487"/>
    </row>
    <row r="226" spans="1:14" x14ac:dyDescent="0.35">
      <c r="A226" s="100">
        <v>17</v>
      </c>
      <c r="B226" s="437"/>
      <c r="C226" s="456"/>
      <c r="D226" s="457">
        <f>IF(B226=0,0,VLOOKUP(B226,Supplies!$B$13:$C$97,2,FALSE))</f>
        <v>0</v>
      </c>
      <c r="E226" s="385">
        <f>IF(D226=" "," ",D226*C226)</f>
        <v>0</v>
      </c>
      <c r="H226" s="260"/>
      <c r="I226" s="458"/>
      <c r="J226" s="459"/>
      <c r="K226" s="460"/>
      <c r="L226" s="460"/>
      <c r="M226" s="460"/>
      <c r="N226" s="483"/>
    </row>
    <row r="227" spans="1:14" ht="15" thickBot="1" x14ac:dyDescent="0.4">
      <c r="A227" s="100">
        <v>18</v>
      </c>
      <c r="B227" s="437"/>
      <c r="C227" s="456"/>
      <c r="D227" s="457">
        <f>IF(B227=0,0,VLOOKUP(B227,Supplies!$B$13:$C$97,2,FALSE))</f>
        <v>0</v>
      </c>
      <c r="E227" s="385">
        <f>IF(D227=" "," ",D227*C227)</f>
        <v>0</v>
      </c>
      <c r="H227" s="461" t="s">
        <v>201</v>
      </c>
      <c r="I227" s="462"/>
      <c r="J227" s="463"/>
      <c r="K227" s="464"/>
      <c r="L227" s="464"/>
      <c r="M227" s="464"/>
      <c r="N227" s="483"/>
    </row>
    <row r="228" spans="1:14" x14ac:dyDescent="0.35">
      <c r="A228" s="100">
        <v>19</v>
      </c>
      <c r="B228" s="437"/>
      <c r="C228" s="456"/>
      <c r="D228" s="457">
        <f>IF(B228=0,0,VLOOKUP(B228,Supplies!$B$13:$C$97,2,FALSE))</f>
        <v>0</v>
      </c>
      <c r="E228" s="385">
        <f>IF(D228=" "," ",D228*C228)</f>
        <v>0</v>
      </c>
      <c r="H228" s="465" t="s">
        <v>202</v>
      </c>
      <c r="I228" s="466" t="s">
        <v>204</v>
      </c>
      <c r="J228" s="463"/>
      <c r="K228" s="464"/>
      <c r="L228" s="464"/>
      <c r="M228" s="464"/>
      <c r="N228" s="483"/>
    </row>
    <row r="229" spans="1:14" ht="15" thickBot="1" x14ac:dyDescent="0.4">
      <c r="A229" s="100">
        <v>20</v>
      </c>
      <c r="B229" s="439"/>
      <c r="C229" s="442"/>
      <c r="D229" s="443">
        <f>IF(B229=0,0,VLOOKUP(B229,Supplies!$B$13:$C$97,2,FALSE))</f>
        <v>0</v>
      </c>
      <c r="E229" s="377">
        <f>IF(D229=" "," ",D229*C229)</f>
        <v>0</v>
      </c>
      <c r="H229" s="467"/>
      <c r="I229" s="484" t="str">
        <f>IF(H229=0," ",VLOOKUP(H229,Subcontractors!$B$15:$E$25,4))</f>
        <v xml:space="preserve"> </v>
      </c>
      <c r="J229" s="463"/>
      <c r="K229" s="464"/>
      <c r="L229" s="464"/>
      <c r="M229" s="464"/>
    </row>
    <row r="230" spans="1:14" ht="15" thickBot="1" x14ac:dyDescent="0.4">
      <c r="A230" s="100"/>
      <c r="B230" s="335"/>
      <c r="C230" s="485"/>
      <c r="D230" s="397"/>
      <c r="E230" s="397"/>
      <c r="H230" s="469"/>
      <c r="I230" s="486" t="str">
        <f>IF(H230=0," ",VLOOKUP(H230,Subcontractors!$B$15:$E$25,4))</f>
        <v xml:space="preserve"> </v>
      </c>
    </row>
    <row r="231" spans="1:14" x14ac:dyDescent="0.35">
      <c r="A231" s="100"/>
      <c r="B231" s="335"/>
      <c r="C231" s="485"/>
      <c r="D231" s="397"/>
      <c r="E231" s="397"/>
      <c r="H231" s="473"/>
      <c r="I231" s="404"/>
    </row>
    <row r="232" spans="1:14" ht="18.5" x14ac:dyDescent="0.35">
      <c r="A232" s="818" t="s">
        <v>192</v>
      </c>
      <c r="B232" s="828"/>
      <c r="C232" s="828"/>
      <c r="D232" s="828"/>
      <c r="E232" s="828"/>
      <c r="F232" s="828"/>
      <c r="G232" s="150" t="str">
        <f>B183</f>
        <v>Hard Floor Scrub and Seal</v>
      </c>
      <c r="H232" s="301"/>
      <c r="I232" s="150"/>
      <c r="J232" s="150"/>
      <c r="K232" s="150"/>
      <c r="L232" s="150"/>
      <c r="M232" s="150"/>
      <c r="N232" s="150"/>
    </row>
    <row r="233" spans="1:14" ht="18.5" x14ac:dyDescent="0.35">
      <c r="A233" s="818" t="s">
        <v>193</v>
      </c>
      <c r="B233" s="828"/>
      <c r="C233" s="828"/>
      <c r="D233" s="828"/>
      <c r="E233" s="828"/>
      <c r="F233" s="828"/>
      <c r="G233" s="150" t="str">
        <f>B241</f>
        <v>Window Washing</v>
      </c>
      <c r="H233" s="301"/>
      <c r="I233" s="150"/>
      <c r="J233" s="150"/>
      <c r="K233" s="150"/>
      <c r="L233" s="150"/>
      <c r="M233" s="150"/>
      <c r="N233" s="150"/>
    </row>
    <row r="235" spans="1:14" x14ac:dyDescent="0.35">
      <c r="B235" s="222" t="s">
        <v>109</v>
      </c>
      <c r="C235" s="735">
        <f>'kt info'!$C$3</f>
        <v>0</v>
      </c>
      <c r="D235" s="735"/>
      <c r="E235" s="736"/>
      <c r="F235" s="737"/>
      <c r="H235" s="333"/>
      <c r="J235" s="811" t="s">
        <v>170</v>
      </c>
      <c r="K235" s="708"/>
      <c r="L235" s="708"/>
      <c r="M235" s="708"/>
    </row>
    <row r="236" spans="1:14" x14ac:dyDescent="0.35">
      <c r="C236" s="300"/>
      <c r="D236" s="100"/>
      <c r="E236" s="100"/>
      <c r="F236" s="100"/>
      <c r="I236" s="329"/>
      <c r="J236" s="329" t="str">
        <f>$B$10</f>
        <v>All Carpets</v>
      </c>
      <c r="L236" s="336" t="str">
        <f>$B$415</f>
        <v>Enter Periodical Service 1</v>
      </c>
    </row>
    <row r="237" spans="1:14" x14ac:dyDescent="0.35">
      <c r="B237" s="222" t="s">
        <v>110</v>
      </c>
      <c r="C237" s="735">
        <f>'kt info'!$C$5</f>
        <v>0</v>
      </c>
      <c r="D237" s="735"/>
      <c r="E237" s="737"/>
      <c r="F237" s="737"/>
      <c r="J237" s="329" t="str">
        <f>$B$67</f>
        <v>High Traffic Carpet</v>
      </c>
      <c r="L237" s="336" t="str">
        <f>$B$473</f>
        <v>Enter Periodical Service 2</v>
      </c>
    </row>
    <row r="238" spans="1:14" x14ac:dyDescent="0.35">
      <c r="C238" s="300"/>
      <c r="D238" s="100"/>
      <c r="E238" s="100"/>
      <c r="F238" s="100"/>
      <c r="J238" s="329" t="str">
        <f>$B$125</f>
        <v>Hard Floor Strip and Wax</v>
      </c>
      <c r="L238" s="336" t="str">
        <f>$B$531</f>
        <v>Enter Periodical Service 3</v>
      </c>
    </row>
    <row r="239" spans="1:14" x14ac:dyDescent="0.35">
      <c r="B239" s="222" t="s">
        <v>135</v>
      </c>
      <c r="C239" s="735">
        <f>'kt info'!$C$7</f>
        <v>0</v>
      </c>
      <c r="D239" s="735"/>
      <c r="E239" s="737"/>
      <c r="F239" s="737"/>
      <c r="J239" s="329" t="str">
        <f>$B$183</f>
        <v>Hard Floor Scrub and Seal</v>
      </c>
      <c r="L239" s="336" t="str">
        <f>$B$589</f>
        <v>Enter Periodical Service 4</v>
      </c>
    </row>
    <row r="240" spans="1:14" x14ac:dyDescent="0.35">
      <c r="J240" s="336" t="str">
        <f>$B$241</f>
        <v>Window Washing</v>
      </c>
      <c r="L240" s="336" t="str">
        <f>$B$647</f>
        <v>Enter Periodical Service 5</v>
      </c>
    </row>
    <row r="241" spans="1:14" ht="18.5" x14ac:dyDescent="0.35">
      <c r="A241" s="337"/>
      <c r="B241" s="338" t="str">
        <f>'kt info'!B33</f>
        <v>Window Washing</v>
      </c>
      <c r="C241" s="339"/>
      <c r="D241" s="337"/>
      <c r="E241" s="337"/>
      <c r="F241" s="337"/>
      <c r="G241" s="337"/>
      <c r="H241" s="302" t="s">
        <v>77</v>
      </c>
      <c r="I241" s="236" t="s">
        <v>238</v>
      </c>
      <c r="J241" s="336" t="str">
        <f>$B$299</f>
        <v>Clean Chairs</v>
      </c>
      <c r="L241" s="336" t="str">
        <f>$B$705</f>
        <v>Enter Periodical Service 6</v>
      </c>
      <c r="M241" s="337"/>
      <c r="N241" s="337"/>
    </row>
    <row r="242" spans="1:14" x14ac:dyDescent="0.35">
      <c r="E242" s="830" t="s">
        <v>79</v>
      </c>
      <c r="F242" s="831"/>
      <c r="G242" s="832"/>
      <c r="H242" s="341">
        <f>IF(SUM(M254:M263)&gt;0,SUM(M254:M263)/'kt info'!$G$33,0)</f>
        <v>0</v>
      </c>
      <c r="I242" s="342">
        <f>H242*'kt info'!$G$33</f>
        <v>0</v>
      </c>
      <c r="J242" s="336" t="str">
        <f>$B$357</f>
        <v>High Dusting</v>
      </c>
      <c r="L242" s="336" t="str">
        <f>$B$763</f>
        <v>Enter Periodical Service 7</v>
      </c>
    </row>
    <row r="243" spans="1:14" x14ac:dyDescent="0.35">
      <c r="B243" s="343"/>
      <c r="E243" s="830" t="s">
        <v>189</v>
      </c>
      <c r="F243" s="831"/>
      <c r="G243" s="832"/>
      <c r="H243" s="344">
        <f>IF(SUM(K254:K263)&gt;0,SUM(K254:K263),0)</f>
        <v>0</v>
      </c>
      <c r="I243" s="345">
        <f>H243*'kt info'!$G$33</f>
        <v>0</v>
      </c>
      <c r="J243" s="336"/>
      <c r="L243" s="336" t="str">
        <f>$B$821</f>
        <v>Enter Periodical Service 8</v>
      </c>
    </row>
    <row r="244" spans="1:14" x14ac:dyDescent="0.35">
      <c r="B244" s="177"/>
      <c r="C244" s="488"/>
      <c r="E244" s="830" t="s">
        <v>80</v>
      </c>
      <c r="F244" s="831"/>
      <c r="G244" s="832"/>
      <c r="H244" s="344">
        <f>IF(SUM(E268:E287)&gt;0,SUM(E268:E287),0)</f>
        <v>0</v>
      </c>
      <c r="I244" s="345">
        <f>H244*'kt info'!$G$33</f>
        <v>0</v>
      </c>
      <c r="J244" s="336"/>
      <c r="L244" s="336" t="str">
        <f>$B$879</f>
        <v>Enter Periodical Service 9</v>
      </c>
    </row>
    <row r="245" spans="1:14" x14ac:dyDescent="0.35">
      <c r="E245" s="830" t="s">
        <v>81</v>
      </c>
      <c r="F245" s="831"/>
      <c r="G245" s="832"/>
      <c r="H245" s="344">
        <f>IF(SUM(L268:L277)&gt;0,SUM(L268:L277),0)</f>
        <v>0</v>
      </c>
      <c r="I245" s="345">
        <f>H245*'kt info'!$G$33</f>
        <v>0</v>
      </c>
      <c r="J245" s="336"/>
      <c r="L245" s="336" t="str">
        <f>$B$937</f>
        <v>Enter Periodical Service 10</v>
      </c>
    </row>
    <row r="246" spans="1:14" x14ac:dyDescent="0.35">
      <c r="B246" s="177" t="s">
        <v>98</v>
      </c>
      <c r="C246" s="347">
        <f>ROUND(IF(SUM(H243:H249)&gt;0,SUM(H243:H249),0),0)</f>
        <v>0</v>
      </c>
      <c r="E246" s="830" t="s">
        <v>89</v>
      </c>
      <c r="F246" s="831"/>
      <c r="G246" s="832"/>
      <c r="H246" s="344">
        <f>IF(SUM(J281:J285)&gt;0,SUM(L281:L285),0)</f>
        <v>0</v>
      </c>
      <c r="I246" s="345">
        <f>H246*'kt info'!$G$33</f>
        <v>0</v>
      </c>
      <c r="J246" s="329"/>
      <c r="K246" s="336"/>
    </row>
    <row r="247" spans="1:14" x14ac:dyDescent="0.35">
      <c r="E247" s="830" t="s">
        <v>201</v>
      </c>
      <c r="F247" s="831"/>
      <c r="G247" s="832"/>
      <c r="H247" s="344">
        <f>IF(SUM(I287:I288)=0,0,SUM(I287:I288))</f>
        <v>0</v>
      </c>
      <c r="I247" s="345">
        <f>H247*'kt info'!$G$33</f>
        <v>0</v>
      </c>
      <c r="K247" s="336"/>
    </row>
    <row r="248" spans="1:14" x14ac:dyDescent="0.35">
      <c r="B248" s="177"/>
      <c r="C248" s="489"/>
      <c r="E248" s="830" t="s">
        <v>87</v>
      </c>
      <c r="F248" s="831"/>
      <c r="G248" s="832"/>
      <c r="H248" s="344">
        <f>IF('Overhead &amp; Margin'!D$10&gt;0,((H243+H244+H245+H246+H247)*'Overhead &amp; Margin'!$D$10/(1-('Overhead &amp; Margin'!$D$10+'Overhead &amp; Margin'!$G$10))),0)</f>
        <v>0</v>
      </c>
      <c r="I248" s="345">
        <f>H248*'kt info'!$G$33</f>
        <v>0</v>
      </c>
      <c r="K248" s="336"/>
    </row>
    <row r="249" spans="1:14" x14ac:dyDescent="0.35">
      <c r="G249" s="178" t="s">
        <v>88</v>
      </c>
      <c r="H249" s="344">
        <f>IF('Overhead &amp; Margin'!$G$10=0,0,'Overhead &amp; Margin'!$G$10*(H243+H244+H245+H246+H247)/(1-('Overhead &amp; Margin'!$D$10+'Overhead &amp; Margin'!$G$10)))</f>
        <v>0</v>
      </c>
      <c r="I249" s="345">
        <f>H249*'kt info'!$G$33</f>
        <v>0</v>
      </c>
    </row>
    <row r="250" spans="1:14" x14ac:dyDescent="0.35">
      <c r="M250" s="605" t="str">
        <f>'kt info'!$B$12</f>
        <v>Form date: 10/24/25</v>
      </c>
    </row>
    <row r="251" spans="1:14" ht="15" thickBot="1" x14ac:dyDescent="0.4">
      <c r="B251" s="348" t="s">
        <v>104</v>
      </c>
    </row>
    <row r="252" spans="1:14" x14ac:dyDescent="0.35">
      <c r="B252" s="84" t="s">
        <v>18</v>
      </c>
      <c r="C252" s="349" t="s">
        <v>19</v>
      </c>
      <c r="D252" s="350" t="s">
        <v>25</v>
      </c>
      <c r="E252" s="350" t="s">
        <v>20</v>
      </c>
      <c r="F252" s="826" t="s">
        <v>22</v>
      </c>
      <c r="G252" s="826"/>
      <c r="H252" s="351" t="s">
        <v>23</v>
      </c>
      <c r="I252" s="350" t="s">
        <v>21</v>
      </c>
      <c r="J252" s="350" t="s">
        <v>24</v>
      </c>
      <c r="K252" s="350" t="s">
        <v>77</v>
      </c>
      <c r="L252" s="352" t="s">
        <v>26</v>
      </c>
      <c r="M252" s="4" t="s">
        <v>27</v>
      </c>
      <c r="N252" s="4" t="s">
        <v>0</v>
      </c>
    </row>
    <row r="253" spans="1:14" ht="15" thickBot="1" x14ac:dyDescent="0.4">
      <c r="B253" s="22" t="s">
        <v>306</v>
      </c>
      <c r="C253" s="353" t="s">
        <v>28</v>
      </c>
      <c r="D253" s="354" t="s">
        <v>33</v>
      </c>
      <c r="E253" s="354" t="s">
        <v>29</v>
      </c>
      <c r="F253" s="827" t="s">
        <v>30</v>
      </c>
      <c r="G253" s="827"/>
      <c r="H253" s="355" t="s">
        <v>31</v>
      </c>
      <c r="I253" s="354"/>
      <c r="J253" s="354" t="s">
        <v>38</v>
      </c>
      <c r="K253" s="354" t="s">
        <v>189</v>
      </c>
      <c r="L253" s="356" t="s">
        <v>0</v>
      </c>
      <c r="M253" s="5" t="s">
        <v>0</v>
      </c>
      <c r="N253" s="5" t="s">
        <v>77</v>
      </c>
    </row>
    <row r="254" spans="1:14" x14ac:dyDescent="0.35">
      <c r="A254" s="100">
        <v>1</v>
      </c>
      <c r="B254" s="474"/>
      <c r="C254" s="358"/>
      <c r="D254" s="359" t="str">
        <f>IF(B254=0," ",'kt info'!$G$33)</f>
        <v xml:space="preserve"> </v>
      </c>
      <c r="E254" s="360" t="str">
        <f>IF(B254=0," ",VLOOKUP(B254,WageBeneTable5[#All],2,FALSE))</f>
        <v xml:space="preserve"> </v>
      </c>
      <c r="F254" s="820">
        <f>IF($E254=" ",0,'Pay &amp; Benefits'!$C$10)</f>
        <v>0</v>
      </c>
      <c r="G254" s="821"/>
      <c r="H254" s="361" t="str">
        <f>IF($E254=" "," ",'Pay &amp; Benefits'!$C$11)</f>
        <v xml:space="preserve"> </v>
      </c>
      <c r="I254" s="362" t="str">
        <f t="shared" ref="I254:I263" si="27">IF(E254=" "," ",0.0765)</f>
        <v xml:space="preserve"> </v>
      </c>
      <c r="J254" s="363" t="str">
        <f>IF(B254=0," ",VLOOKUP(B254,WageBeneTable5[#All],3,FALSE))</f>
        <v xml:space="preserve"> </v>
      </c>
      <c r="K254" s="360" t="str">
        <f t="shared" ref="K254:K263" si="28">IF(B254=0," ",C254*E254*(1+I254+F254+H254+J254))</f>
        <v xml:space="preserve"> </v>
      </c>
      <c r="L254" s="360">
        <f t="shared" ref="L254:L263" si="29">IF(K254=" ",0,K254*D254)</f>
        <v>0</v>
      </c>
      <c r="M254" s="364">
        <f t="shared" ref="M254:M263" si="30">IF(B254=0,0,C254*D254)</f>
        <v>0</v>
      </c>
      <c r="N254" s="365">
        <f t="shared" ref="N254:N263" si="31">IF(L254=0,0,IF(D254=0,0,L254/D254))</f>
        <v>0</v>
      </c>
    </row>
    <row r="255" spans="1:14" x14ac:dyDescent="0.35">
      <c r="A255" s="100">
        <v>2</v>
      </c>
      <c r="B255" s="437"/>
      <c r="C255" s="367"/>
      <c r="D255" s="359" t="str">
        <f>IF(B255=0," ",'kt info'!$G$33)</f>
        <v xml:space="preserve"> </v>
      </c>
      <c r="E255" s="368" t="str">
        <f>IF(B255=0," ",VLOOKUP(B255,WageBeneTable5[#All],2,FALSE))</f>
        <v xml:space="preserve"> </v>
      </c>
      <c r="F255" s="822">
        <f>IF($E255=" ",0,'Pay &amp; Benefits'!$C$10)</f>
        <v>0</v>
      </c>
      <c r="G255" s="823"/>
      <c r="H255" s="369" t="str">
        <f>IF($E255=" "," ",'Pay &amp; Benefits'!$C$11)</f>
        <v xml:space="preserve"> </v>
      </c>
      <c r="I255" s="370" t="str">
        <f t="shared" si="27"/>
        <v xml:space="preserve"> </v>
      </c>
      <c r="J255" s="371" t="str">
        <f>IF(B255=0," ",VLOOKUP(B255,WageBeneTable5[#All],3,FALSE))</f>
        <v xml:space="preserve"> </v>
      </c>
      <c r="K255" s="368" t="str">
        <f t="shared" si="28"/>
        <v xml:space="preserve"> </v>
      </c>
      <c r="L255" s="368">
        <f t="shared" si="29"/>
        <v>0</v>
      </c>
      <c r="M255" s="372">
        <f t="shared" si="30"/>
        <v>0</v>
      </c>
      <c r="N255" s="373">
        <f t="shared" si="31"/>
        <v>0</v>
      </c>
    </row>
    <row r="256" spans="1:14" x14ac:dyDescent="0.35">
      <c r="A256" s="100">
        <v>3</v>
      </c>
      <c r="B256" s="437"/>
      <c r="C256" s="367"/>
      <c r="D256" s="359" t="str">
        <f>IF(B256=0," ",'kt info'!$G$33)</f>
        <v xml:space="preserve"> </v>
      </c>
      <c r="E256" s="368" t="str">
        <f>IF(B256=0," ",VLOOKUP(B256,WageBeneTable5[#All],2,FALSE))</f>
        <v xml:space="preserve"> </v>
      </c>
      <c r="F256" s="822">
        <f>IF($E256=" ",0,'Pay &amp; Benefits'!$C$10)</f>
        <v>0</v>
      </c>
      <c r="G256" s="823"/>
      <c r="H256" s="369" t="str">
        <f>IF($E256=" "," ",'Pay &amp; Benefits'!$C$11)</f>
        <v xml:space="preserve"> </v>
      </c>
      <c r="I256" s="370" t="str">
        <f t="shared" si="27"/>
        <v xml:space="preserve"> </v>
      </c>
      <c r="J256" s="371" t="str">
        <f>IF(B256=0," ",VLOOKUP(B256,WageBeneTable5[#All],3,FALSE))</f>
        <v xml:space="preserve"> </v>
      </c>
      <c r="K256" s="368" t="str">
        <f t="shared" si="28"/>
        <v xml:space="preserve"> </v>
      </c>
      <c r="L256" s="368">
        <f t="shared" si="29"/>
        <v>0</v>
      </c>
      <c r="M256" s="372">
        <f t="shared" si="30"/>
        <v>0</v>
      </c>
      <c r="N256" s="373">
        <f t="shared" si="31"/>
        <v>0</v>
      </c>
    </row>
    <row r="257" spans="1:14" x14ac:dyDescent="0.35">
      <c r="A257" s="100">
        <v>4</v>
      </c>
      <c r="B257" s="437"/>
      <c r="C257" s="367"/>
      <c r="D257" s="359" t="str">
        <f>IF(B257=0," ",'kt info'!$G$33)</f>
        <v xml:space="preserve"> </v>
      </c>
      <c r="E257" s="368" t="str">
        <f>IF(B257=0," ",VLOOKUP(B257,WageBeneTable5[#All],2,FALSE))</f>
        <v xml:space="preserve"> </v>
      </c>
      <c r="F257" s="822">
        <f>IF($E257=" ",0,'Pay &amp; Benefits'!$C$10)</f>
        <v>0</v>
      </c>
      <c r="G257" s="823"/>
      <c r="H257" s="369" t="str">
        <f>IF($E257=" "," ",'Pay &amp; Benefits'!$C$11)</f>
        <v xml:space="preserve"> </v>
      </c>
      <c r="I257" s="370" t="str">
        <f t="shared" si="27"/>
        <v xml:space="preserve"> </v>
      </c>
      <c r="J257" s="371" t="str">
        <f>IF(B257=0," ",VLOOKUP(B257,WageBeneTable5[#All],3,FALSE))</f>
        <v xml:space="preserve"> </v>
      </c>
      <c r="K257" s="368" t="str">
        <f t="shared" si="28"/>
        <v xml:space="preserve"> </v>
      </c>
      <c r="L257" s="368">
        <f t="shared" si="29"/>
        <v>0</v>
      </c>
      <c r="M257" s="372">
        <f t="shared" si="30"/>
        <v>0</v>
      </c>
      <c r="N257" s="373">
        <f t="shared" si="31"/>
        <v>0</v>
      </c>
    </row>
    <row r="258" spans="1:14" ht="15" thickBot="1" x14ac:dyDescent="0.4">
      <c r="A258" s="100">
        <v>5</v>
      </c>
      <c r="B258" s="439"/>
      <c r="C258" s="375"/>
      <c r="D258" s="376" t="str">
        <f>IF(B258=0," ",'kt info'!$G$33)</f>
        <v xml:space="preserve"> </v>
      </c>
      <c r="E258" s="377" t="str">
        <f>IF(B258=0," ",VLOOKUP(B258,WageBeneTable5[#All],2,FALSE))</f>
        <v xml:space="preserve"> </v>
      </c>
      <c r="F258" s="813">
        <f>IF($E258=" ",0,'Pay &amp; Benefits'!$C$10)</f>
        <v>0</v>
      </c>
      <c r="G258" s="814"/>
      <c r="H258" s="378" t="str">
        <f>IF($E258=" "," ",'Pay &amp; Benefits'!$C$11)</f>
        <v xml:space="preserve"> </v>
      </c>
      <c r="I258" s="379" t="str">
        <f t="shared" si="27"/>
        <v xml:space="preserve"> </v>
      </c>
      <c r="J258" s="380" t="str">
        <f>IF(B258=0," ",VLOOKUP(B258,WageBeneTable5[#All],3,FALSE))</f>
        <v xml:space="preserve"> </v>
      </c>
      <c r="K258" s="377" t="str">
        <f t="shared" si="28"/>
        <v xml:space="preserve"> </v>
      </c>
      <c r="L258" s="377">
        <f t="shared" si="29"/>
        <v>0</v>
      </c>
      <c r="M258" s="381">
        <f t="shared" si="30"/>
        <v>0</v>
      </c>
      <c r="N258" s="382">
        <f t="shared" si="31"/>
        <v>0</v>
      </c>
    </row>
    <row r="259" spans="1:14" x14ac:dyDescent="0.35">
      <c r="A259" s="100">
        <v>6</v>
      </c>
      <c r="B259" s="474"/>
      <c r="C259" s="383"/>
      <c r="D259" s="384" t="str">
        <f>IF(B259=0," ",'kt info'!$G$33)</f>
        <v xml:space="preserve"> </v>
      </c>
      <c r="E259" s="385" t="str">
        <f>IF(B259=0," ",VLOOKUP(B259,WageBeneTable5[#All],2,FALSE))</f>
        <v xml:space="preserve"> </v>
      </c>
      <c r="F259" s="820">
        <f>IF($E259=" ",0,'Pay &amp; Benefits'!$C$10)</f>
        <v>0</v>
      </c>
      <c r="G259" s="821"/>
      <c r="H259" s="386" t="str">
        <f>IF($E259=" "," ",'Pay &amp; Benefits'!$C$11)</f>
        <v xml:space="preserve"> </v>
      </c>
      <c r="I259" s="387" t="str">
        <f t="shared" si="27"/>
        <v xml:space="preserve"> </v>
      </c>
      <c r="J259" s="388" t="str">
        <f>IF(B259=0," ",VLOOKUP(B259,WageBeneTable5[#All],3,FALSE))</f>
        <v xml:space="preserve"> </v>
      </c>
      <c r="K259" s="385" t="str">
        <f t="shared" si="28"/>
        <v xml:space="preserve"> </v>
      </c>
      <c r="L259" s="385">
        <f t="shared" si="29"/>
        <v>0</v>
      </c>
      <c r="M259" s="389">
        <f t="shared" si="30"/>
        <v>0</v>
      </c>
      <c r="N259" s="390">
        <f t="shared" si="31"/>
        <v>0</v>
      </c>
    </row>
    <row r="260" spans="1:14" x14ac:dyDescent="0.35">
      <c r="A260" s="100">
        <v>7</v>
      </c>
      <c r="B260" s="437"/>
      <c r="C260" s="367"/>
      <c r="D260" s="384" t="str">
        <f>IF(B260=0," ",'kt info'!$G$33)</f>
        <v xml:space="preserve"> </v>
      </c>
      <c r="E260" s="385" t="str">
        <f>IF(B260=0," ",VLOOKUP(B260,WageBeneTable5[#All],2,FALSE))</f>
        <v xml:space="preserve"> </v>
      </c>
      <c r="F260" s="822">
        <f>IF($E260=" ",0,'Pay &amp; Benefits'!$C$10)</f>
        <v>0</v>
      </c>
      <c r="G260" s="823"/>
      <c r="H260" s="386" t="str">
        <f>IF($E260=" "," ",'Pay &amp; Benefits'!$C$11)</f>
        <v xml:space="preserve"> </v>
      </c>
      <c r="I260" s="387" t="str">
        <f t="shared" si="27"/>
        <v xml:space="preserve"> </v>
      </c>
      <c r="J260" s="388" t="str">
        <f>IF(B260=0," ",VLOOKUP(B260,WageBeneTable5[#All],3,FALSE))</f>
        <v xml:space="preserve"> </v>
      </c>
      <c r="K260" s="385" t="str">
        <f t="shared" si="28"/>
        <v xml:space="preserve"> </v>
      </c>
      <c r="L260" s="385">
        <f t="shared" si="29"/>
        <v>0</v>
      </c>
      <c r="M260" s="389">
        <f t="shared" si="30"/>
        <v>0</v>
      </c>
      <c r="N260" s="390">
        <f t="shared" si="31"/>
        <v>0</v>
      </c>
    </row>
    <row r="261" spans="1:14" x14ac:dyDescent="0.35">
      <c r="A261" s="100">
        <v>8</v>
      </c>
      <c r="B261" s="437"/>
      <c r="C261" s="367"/>
      <c r="D261" s="384" t="str">
        <f>IF(B261=0," ",'kt info'!$G$33)</f>
        <v xml:space="preserve"> </v>
      </c>
      <c r="E261" s="385" t="str">
        <f>IF(B261=0," ",VLOOKUP(B261,WageBeneTable5[#All],2,FALSE))</f>
        <v xml:space="preserve"> </v>
      </c>
      <c r="F261" s="822">
        <f>IF($E261=" ",0,'Pay &amp; Benefits'!$C$10)</f>
        <v>0</v>
      </c>
      <c r="G261" s="823"/>
      <c r="H261" s="386" t="str">
        <f>IF($E261=" "," ",'Pay &amp; Benefits'!$C$11)</f>
        <v xml:space="preserve"> </v>
      </c>
      <c r="I261" s="387" t="str">
        <f t="shared" si="27"/>
        <v xml:space="preserve"> </v>
      </c>
      <c r="J261" s="388" t="str">
        <f>IF(B261=0," ",VLOOKUP(B261,WageBeneTable5[#All],3,FALSE))</f>
        <v xml:space="preserve"> </v>
      </c>
      <c r="K261" s="385" t="str">
        <f t="shared" si="28"/>
        <v xml:space="preserve"> </v>
      </c>
      <c r="L261" s="385">
        <f t="shared" si="29"/>
        <v>0</v>
      </c>
      <c r="M261" s="389">
        <f t="shared" si="30"/>
        <v>0</v>
      </c>
      <c r="N261" s="390">
        <f t="shared" si="31"/>
        <v>0</v>
      </c>
    </row>
    <row r="262" spans="1:14" x14ac:dyDescent="0.35">
      <c r="A262" s="100">
        <v>9</v>
      </c>
      <c r="B262" s="437"/>
      <c r="C262" s="367"/>
      <c r="D262" s="384" t="str">
        <f>IF(B262=0," ",'kt info'!$G$33)</f>
        <v xml:space="preserve"> </v>
      </c>
      <c r="E262" s="385" t="str">
        <f>IF(B262=0," ",VLOOKUP(B262,WageBeneTable5[#All],2,FALSE))</f>
        <v xml:space="preserve"> </v>
      </c>
      <c r="F262" s="822">
        <f>IF($E262=" ",0,'Pay &amp; Benefits'!$C$10)</f>
        <v>0</v>
      </c>
      <c r="G262" s="823"/>
      <c r="H262" s="386" t="str">
        <f>IF($E262=" "," ",'Pay &amp; Benefits'!$C$11)</f>
        <v xml:space="preserve"> </v>
      </c>
      <c r="I262" s="387" t="str">
        <f t="shared" si="27"/>
        <v xml:space="preserve"> </v>
      </c>
      <c r="J262" s="388" t="str">
        <f>IF(B262=0," ",VLOOKUP(B262,WageBeneTable5[#All],3,FALSE))</f>
        <v xml:space="preserve"> </v>
      </c>
      <c r="K262" s="385" t="str">
        <f t="shared" si="28"/>
        <v xml:space="preserve"> </v>
      </c>
      <c r="L262" s="385">
        <f t="shared" si="29"/>
        <v>0</v>
      </c>
      <c r="M262" s="389">
        <f t="shared" si="30"/>
        <v>0</v>
      </c>
      <c r="N262" s="390">
        <f t="shared" si="31"/>
        <v>0</v>
      </c>
    </row>
    <row r="263" spans="1:14" ht="15" thickBot="1" x14ac:dyDescent="0.4">
      <c r="A263" s="100">
        <v>10</v>
      </c>
      <c r="B263" s="439"/>
      <c r="C263" s="375"/>
      <c r="D263" s="376" t="str">
        <f>IF(B263=0," ",'kt info'!$G$33)</f>
        <v xml:space="preserve"> </v>
      </c>
      <c r="E263" s="377" t="str">
        <f>IF(B263=0," ",VLOOKUP(B263,WageBeneTable5[#All],2,FALSE))</f>
        <v xml:space="preserve"> </v>
      </c>
      <c r="F263" s="813">
        <f>IF($E263=" ",0,'Pay &amp; Benefits'!$C$10)</f>
        <v>0</v>
      </c>
      <c r="G263" s="814"/>
      <c r="H263" s="378" t="str">
        <f>IF($E263=" "," ",'Pay &amp; Benefits'!$C$11)</f>
        <v xml:space="preserve"> </v>
      </c>
      <c r="I263" s="379" t="str">
        <f t="shared" si="27"/>
        <v xml:space="preserve"> </v>
      </c>
      <c r="J263" s="380" t="str">
        <f>IF(B263=0," ",VLOOKUP(B263,WageBeneTable5[#All],3,FALSE))</f>
        <v xml:space="preserve"> </v>
      </c>
      <c r="K263" s="377" t="str">
        <f t="shared" si="28"/>
        <v xml:space="preserve"> </v>
      </c>
      <c r="L263" s="377">
        <f t="shared" si="29"/>
        <v>0</v>
      </c>
      <c r="M263" s="381">
        <f t="shared" si="30"/>
        <v>0</v>
      </c>
      <c r="N263" s="382">
        <f t="shared" si="31"/>
        <v>0</v>
      </c>
    </row>
    <row r="264" spans="1:14" x14ac:dyDescent="0.35">
      <c r="K264" s="391"/>
      <c r="L264" s="392"/>
      <c r="M264" s="393"/>
    </row>
    <row r="265" spans="1:14" ht="15" thickBot="1" x14ac:dyDescent="0.4">
      <c r="B265" s="394" t="s">
        <v>203</v>
      </c>
      <c r="E265" s="395"/>
      <c r="H265" s="815" t="s">
        <v>199</v>
      </c>
      <c r="I265" s="816"/>
      <c r="M265" s="475"/>
      <c r="N265" s="100"/>
    </row>
    <row r="266" spans="1:14" x14ac:dyDescent="0.35">
      <c r="B266" s="32" t="s">
        <v>123</v>
      </c>
      <c r="C266" s="398" t="s">
        <v>239</v>
      </c>
      <c r="D266" s="399" t="s">
        <v>9</v>
      </c>
      <c r="E266" s="400" t="s">
        <v>83</v>
      </c>
      <c r="H266" s="303" t="s">
        <v>15</v>
      </c>
      <c r="I266" s="4" t="s">
        <v>85</v>
      </c>
      <c r="J266" s="4" t="s">
        <v>16</v>
      </c>
      <c r="K266" s="4" t="s">
        <v>241</v>
      </c>
      <c r="L266" s="4" t="s">
        <v>83</v>
      </c>
      <c r="M266" s="476"/>
      <c r="N266" s="477"/>
    </row>
    <row r="267" spans="1:14" ht="15" thickBot="1" x14ac:dyDescent="0.4">
      <c r="B267" s="33" t="s">
        <v>124</v>
      </c>
      <c r="C267" s="401" t="s">
        <v>84</v>
      </c>
      <c r="D267" s="402" t="s">
        <v>10</v>
      </c>
      <c r="E267" s="403" t="s">
        <v>84</v>
      </c>
      <c r="H267" s="304" t="s">
        <v>13</v>
      </c>
      <c r="I267" s="5" t="s">
        <v>86</v>
      </c>
      <c r="J267" s="5" t="s">
        <v>17</v>
      </c>
      <c r="K267" s="5" t="s">
        <v>12</v>
      </c>
      <c r="L267" s="5" t="s">
        <v>84</v>
      </c>
      <c r="M267" s="478"/>
      <c r="N267" s="479"/>
    </row>
    <row r="268" spans="1:14" x14ac:dyDescent="0.35">
      <c r="A268" s="100">
        <v>1</v>
      </c>
      <c r="B268" s="474"/>
      <c r="C268" s="406"/>
      <c r="D268" s="407">
        <f>IF(B268=0,0,VLOOKUP(B268,Supplies!$B$13:$C$97,2,FALSE))</f>
        <v>0</v>
      </c>
      <c r="E268" s="360">
        <f>IF(D268=" "," ",D268*C268)</f>
        <v>0</v>
      </c>
      <c r="G268" s="100">
        <v>1</v>
      </c>
      <c r="H268" s="408"/>
      <c r="I268" s="409"/>
      <c r="J268" s="410"/>
      <c r="K268" s="331" t="str">
        <f>IF(H268=0," ",IF(VLOOKUP(H268,'Equipment List'!$B$12:$F$96,5,FALSE)=0,0,IF(VLOOKUP(H268,'Equipment List'!$B$12:$F$96,5,FALSE)="Grant","Grant",IF(VLOOKUP(H268,'Equipment List'!$B$12:$F$96,5,FALSE)="Depreciated","Depreciated",VLOOKUP(H268,'Equipment List'!$B$12:$F$96,5,FALSE)*I268*J268))))</f>
        <v xml:space="preserve"> </v>
      </c>
      <c r="L268" s="365" t="str">
        <f>IF(K268=" "," ",IF(K268="Grant",0,IF(K268="Depreciated",0,IF('kt info'!$G$33=0,"No Service Frequency",K268/'kt info'!$G$33))))</f>
        <v xml:space="preserve"> </v>
      </c>
      <c r="M268" s="480"/>
      <c r="N268" s="404"/>
    </row>
    <row r="269" spans="1:14" x14ac:dyDescent="0.35">
      <c r="A269" s="100">
        <v>2</v>
      </c>
      <c r="B269" s="437"/>
      <c r="C269" s="414"/>
      <c r="D269" s="415">
        <f>IF(B269=0,0,VLOOKUP(B269,Supplies!$B$13:$C$97,2,FALSE))</f>
        <v>0</v>
      </c>
      <c r="E269" s="385">
        <f t="shared" ref="E269:E283" si="32">IF(D269=" "," ",D269*C269)</f>
        <v>0</v>
      </c>
      <c r="G269" s="100">
        <v>2</v>
      </c>
      <c r="H269" s="416"/>
      <c r="I269" s="417"/>
      <c r="J269" s="418"/>
      <c r="K269" s="421" t="str">
        <f>IF(H269=0," ",IF(VLOOKUP(H269,'Equipment List'!$B$12:$F$96,5,FALSE)=0,0,IF(VLOOKUP(H269,'Equipment List'!$B$12:$F$96,5,FALSE)="Grant","Grant",IF(VLOOKUP(H269,'Equipment List'!$B$12:$F$96,5,FALSE)="Depreciated","Depreciated",VLOOKUP(H269,'Equipment List'!$B$12:$F$96,5,FALSE)*I269*J269))))</f>
        <v xml:space="preserve"> </v>
      </c>
      <c r="L269" s="390" t="str">
        <f>IF(K269=" "," ",IF(K269="Grant",0,IF(K269="Depreciated",0,IF('kt info'!$G$33=0,"No Service Frequency",K269/'kt info'!$G$33))))</f>
        <v xml:space="preserve"> </v>
      </c>
    </row>
    <row r="270" spans="1:14" x14ac:dyDescent="0.35">
      <c r="A270" s="100">
        <v>3</v>
      </c>
      <c r="B270" s="437"/>
      <c r="C270" s="414"/>
      <c r="D270" s="415">
        <f>IF(B270=0,0,VLOOKUP(B270,Supplies!$B$13:$C$97,2,FALSE))</f>
        <v>0</v>
      </c>
      <c r="E270" s="385">
        <f t="shared" si="32"/>
        <v>0</v>
      </c>
      <c r="G270" s="100">
        <v>3</v>
      </c>
      <c r="H270" s="416"/>
      <c r="I270" s="417"/>
      <c r="J270" s="418"/>
      <c r="K270" s="421" t="str">
        <f>IF(H270=0," ",IF(VLOOKUP(H270,'Equipment List'!$B$12:$F$96,5,FALSE)=0,0,IF(VLOOKUP(H270,'Equipment List'!$B$12:$F$96,5,FALSE)="Grant","Grant",IF(VLOOKUP(H270,'Equipment List'!$B$12:$F$96,5,FALSE)="Depreciated","Depreciated",VLOOKUP(H270,'Equipment List'!$B$12:$F$96,5,FALSE)*I270*J270))))</f>
        <v xml:space="preserve"> </v>
      </c>
      <c r="L270" s="390" t="str">
        <f>IF(K270=" "," ",IF(K270="Grant",0,IF(K270="Depreciated",0,IF('kt info'!$G$33=0,"No Service Frequency",K270/'kt info'!$G$33))))</f>
        <v xml:space="preserve"> </v>
      </c>
    </row>
    <row r="271" spans="1:14" x14ac:dyDescent="0.35">
      <c r="A271" s="100">
        <v>4</v>
      </c>
      <c r="B271" s="437"/>
      <c r="C271" s="414"/>
      <c r="D271" s="415">
        <f>IF(B271=0,0,VLOOKUP(B271,Supplies!$B$13:$C$97,2,FALSE))</f>
        <v>0</v>
      </c>
      <c r="E271" s="385">
        <f t="shared" si="32"/>
        <v>0</v>
      </c>
      <c r="G271" s="100">
        <v>4</v>
      </c>
      <c r="H271" s="416"/>
      <c r="I271" s="417"/>
      <c r="J271" s="418"/>
      <c r="K271" s="421" t="str">
        <f>IF(H271=0," ",IF(VLOOKUP(H271,'Equipment List'!$B$12:$F$96,5,FALSE)=0,0,IF(VLOOKUP(H271,'Equipment List'!$B$12:$F$96,5,FALSE)="Grant","Grant",IF(VLOOKUP(H271,'Equipment List'!$B$12:$F$96,5,FALSE)="Depreciated","Depreciated",VLOOKUP(H271,'Equipment List'!$B$12:$F$96,5,FALSE)*I271*J271))))</f>
        <v xml:space="preserve"> </v>
      </c>
      <c r="L271" s="390" t="str">
        <f>IF(K271=" "," ",IF(K271="Grant",0,IF(K271="Depreciated",0,IF('kt info'!$G$33=0,"No Service Frequency",K271/'kt info'!$G$33))))</f>
        <v xml:space="preserve"> </v>
      </c>
    </row>
    <row r="272" spans="1:14" ht="15" thickBot="1" x14ac:dyDescent="0.4">
      <c r="A272" s="100">
        <v>5</v>
      </c>
      <c r="B272" s="439"/>
      <c r="C272" s="423"/>
      <c r="D272" s="424">
        <f>IF(B272=0,0,VLOOKUP(B272,Supplies!$B$13:$C$97,2,FALSE))</f>
        <v>0</v>
      </c>
      <c r="E272" s="377">
        <f t="shared" si="32"/>
        <v>0</v>
      </c>
      <c r="G272" s="100">
        <v>5</v>
      </c>
      <c r="H272" s="425"/>
      <c r="I272" s="426"/>
      <c r="J272" s="427"/>
      <c r="K272" s="428" t="str">
        <f>IF(H272=0," ",IF(VLOOKUP(H272,'Equipment List'!$B$12:$F$96,5,FALSE)=0,0,IF(VLOOKUP(H272,'Equipment List'!$B$12:$F$96,5,FALSE)="Grant","Grant",IF(VLOOKUP(H272,'Equipment List'!$B$12:$F$96,5,FALSE)="Depreciated","Depreciated",VLOOKUP(H272,'Equipment List'!$B$12:$F$96,5,FALSE)*I272*J272))))</f>
        <v xml:space="preserve"> </v>
      </c>
      <c r="L272" s="382" t="str">
        <f>IF(K272=" "," ",IF(K272="Grant",0,IF(K272="Depreciated",0,IF('kt info'!$G$33=0,"No Service Frequency",K272/'kt info'!$G$33))))</f>
        <v xml:space="preserve"> </v>
      </c>
    </row>
    <row r="273" spans="1:14" x14ac:dyDescent="0.35">
      <c r="A273" s="100">
        <v>6</v>
      </c>
      <c r="B273" s="433"/>
      <c r="C273" s="431"/>
      <c r="D273" s="432">
        <f>IF(B273=0,0,VLOOKUP(B273,Supplies!$B$13:$C$97,2,FALSE))</f>
        <v>0</v>
      </c>
      <c r="E273" s="385">
        <f t="shared" si="32"/>
        <v>0</v>
      </c>
      <c r="G273" s="100">
        <v>6</v>
      </c>
      <c r="H273" s="433"/>
      <c r="I273" s="434"/>
      <c r="J273" s="435"/>
      <c r="K273" s="436" t="str">
        <f>IF(H273=0," ",IF(VLOOKUP(H273,'Equipment List'!$B$12:$F$96,5,FALSE)=0,0,IF(VLOOKUP(H273,'Equipment List'!$B$12:$F$96,5,FALSE)="Grant","Grant",IF(VLOOKUP(H273,'Equipment List'!$B$12:$F$96,5,FALSE)="Depreciated","Depreciated",VLOOKUP(H273,'Equipment List'!$B$12:$F$96,5,FALSE)*I273*J273))))</f>
        <v xml:space="preserve"> </v>
      </c>
      <c r="L273" s="390" t="str">
        <f>IF(K273=" "," ",IF(K273="Grant",0,IF(K273="Depreciated",0,IF('kt info'!$G$33=0,"No Service Frequency",K273/'kt info'!$G$33))))</f>
        <v xml:space="preserve"> </v>
      </c>
    </row>
    <row r="274" spans="1:14" x14ac:dyDescent="0.35">
      <c r="A274" s="100">
        <v>7</v>
      </c>
      <c r="B274" s="437"/>
      <c r="C274" s="414"/>
      <c r="D274" s="415">
        <f>IF(B274=0,0,VLOOKUP(B274,Supplies!$B$13:$C$97,2,FALSE))</f>
        <v>0</v>
      </c>
      <c r="E274" s="385">
        <f t="shared" si="32"/>
        <v>0</v>
      </c>
      <c r="G274" s="100">
        <v>7</v>
      </c>
      <c r="H274" s="437"/>
      <c r="I274" s="417"/>
      <c r="J274" s="418"/>
      <c r="K274" s="438" t="str">
        <f>IF(H274=0," ",IF(VLOOKUP(H274,'Equipment List'!$B$12:$F$96,5,FALSE)=0,0,IF(VLOOKUP(H274,'Equipment List'!$B$12:$F$96,5,FALSE)="Grant","Grant",IF(VLOOKUP(H274,'Equipment List'!$B$12:$F$96,5,FALSE)="Depreciated","Depreciated",VLOOKUP(H274,'Equipment List'!$B$12:$F$96,5,FALSE)*I274*J274))))</f>
        <v xml:space="preserve"> </v>
      </c>
      <c r="L274" s="390" t="str">
        <f>IF(K274=" "," ",IF(K274="Grant",0,IF(K274="Depreciated",0,IF('kt info'!$G$33=0,"No Service Frequency",K274/'kt info'!$G$33))))</f>
        <v xml:space="preserve"> </v>
      </c>
    </row>
    <row r="275" spans="1:14" x14ac:dyDescent="0.35">
      <c r="A275" s="100">
        <v>8</v>
      </c>
      <c r="B275" s="437"/>
      <c r="C275" s="414"/>
      <c r="D275" s="415">
        <f>IF(B275=0,0,VLOOKUP(B275,Supplies!$B$13:$C$97,2,FALSE))</f>
        <v>0</v>
      </c>
      <c r="E275" s="385">
        <f t="shared" si="32"/>
        <v>0</v>
      </c>
      <c r="G275" s="100">
        <v>8</v>
      </c>
      <c r="H275" s="437"/>
      <c r="I275" s="417"/>
      <c r="J275" s="418"/>
      <c r="K275" s="438" t="str">
        <f>IF(H275=0," ",IF(VLOOKUP(H275,'Equipment List'!$B$12:$F$96,5,FALSE)=0,0,IF(VLOOKUP(H275,'Equipment List'!$B$12:$F$96,5,FALSE)="Grant","Grant",IF(VLOOKUP(H275,'Equipment List'!$B$12:$F$96,5,FALSE)="Depreciated","Depreciated",VLOOKUP(H275,'Equipment List'!$B$12:$F$96,5,FALSE)*I275*J275))))</f>
        <v xml:space="preserve"> </v>
      </c>
      <c r="L275" s="390" t="str">
        <f>IF(K275=" "," ",IF(K275="Grant",0,IF(K275="Depreciated",0,IF('kt info'!$G$33=0,"No Service Frequency",K275/'kt info'!$G$33))))</f>
        <v xml:space="preserve"> </v>
      </c>
    </row>
    <row r="276" spans="1:14" x14ac:dyDescent="0.35">
      <c r="A276" s="100">
        <v>9</v>
      </c>
      <c r="B276" s="437"/>
      <c r="C276" s="414"/>
      <c r="D276" s="415">
        <f>IF(B276=0,0,VLOOKUP(B276,Supplies!$B$13:$C$97,2,FALSE))</f>
        <v>0</v>
      </c>
      <c r="E276" s="385">
        <f t="shared" si="32"/>
        <v>0</v>
      </c>
      <c r="G276" s="100">
        <v>9</v>
      </c>
      <c r="H276" s="437"/>
      <c r="I276" s="417"/>
      <c r="J276" s="418"/>
      <c r="K276" s="438" t="str">
        <f>IF(H276=0," ",IF(VLOOKUP(H276,'Equipment List'!$B$12:$F$96,5,FALSE)=0,0,IF(VLOOKUP(H276,'Equipment List'!$B$12:$F$96,5,FALSE)="Grant","Grant",IF(VLOOKUP(H276,'Equipment List'!$B$12:$F$96,5,FALSE)="Depreciated","Depreciated",VLOOKUP(H276,'Equipment List'!$B$12:$F$96,5,FALSE)*I276*J276))))</f>
        <v xml:space="preserve"> </v>
      </c>
      <c r="L276" s="390" t="str">
        <f>IF(K276=" "," ",IF(K276="Grant",0,IF(K276="Depreciated",0,IF('kt info'!$G$33=0,"No Service Frequency",K276/'kt info'!$G$33))))</f>
        <v xml:space="preserve"> </v>
      </c>
    </row>
    <row r="277" spans="1:14" ht="15" thickBot="1" x14ac:dyDescent="0.4">
      <c r="A277" s="100">
        <v>10</v>
      </c>
      <c r="B277" s="439"/>
      <c r="C277" s="423"/>
      <c r="D277" s="424">
        <f>IF(B277=0,0,VLOOKUP(B277,Supplies!$B$13:$C$97,2,FALSE))</f>
        <v>0</v>
      </c>
      <c r="E277" s="377">
        <f t="shared" si="32"/>
        <v>0</v>
      </c>
      <c r="G277" s="100">
        <v>10</v>
      </c>
      <c r="H277" s="439"/>
      <c r="I277" s="426"/>
      <c r="J277" s="427"/>
      <c r="K277" s="440" t="str">
        <f>IF(H277=0," ",IF(VLOOKUP(H277,'Equipment List'!$B$12:$F$96,5,FALSE)=0,0,IF(VLOOKUP(H277,'Equipment List'!$B$12:$F$96,5,FALSE)="Grant","Grant",IF(VLOOKUP(H277,'Equipment List'!$B$12:$F$96,5,FALSE)="Depreciated","Depreciated",VLOOKUP(H277,'Equipment List'!$B$12:$F$96,5,FALSE)*I277*J277))))</f>
        <v xml:space="preserve"> </v>
      </c>
      <c r="L277" s="382" t="str">
        <f>IF(K277=" "," ",IF(K277="Grant",0,IF(K277="Depreciated",0,IF('kt info'!$G$33=0,"No Service Frequency",K277/'kt info'!$G$33))))</f>
        <v xml:space="preserve"> </v>
      </c>
    </row>
    <row r="278" spans="1:14" x14ac:dyDescent="0.35">
      <c r="A278" s="100">
        <v>11</v>
      </c>
      <c r="B278" s="433"/>
      <c r="C278" s="431"/>
      <c r="D278" s="432">
        <f>IF(B278=0,0,VLOOKUP(B278,Supplies!$B$13:$C$97,2,FALSE))</f>
        <v>0</v>
      </c>
      <c r="E278" s="385">
        <f t="shared" si="32"/>
        <v>0</v>
      </c>
    </row>
    <row r="279" spans="1:14" ht="15" thickBot="1" x14ac:dyDescent="0.4">
      <c r="A279" s="100">
        <v>12</v>
      </c>
      <c r="B279" s="437"/>
      <c r="C279" s="414"/>
      <c r="D279" s="415">
        <f>IF(B279=0,0,VLOOKUP(B279,Supplies!$B$13:$C$97,2,FALSE))</f>
        <v>0</v>
      </c>
      <c r="E279" s="385">
        <f t="shared" si="32"/>
        <v>0</v>
      </c>
      <c r="H279" s="817" t="s">
        <v>200</v>
      </c>
      <c r="I279" s="816"/>
      <c r="J279" s="354"/>
      <c r="K279" s="354"/>
      <c r="L279" s="354"/>
      <c r="M279" s="354"/>
    </row>
    <row r="280" spans="1:14" x14ac:dyDescent="0.35">
      <c r="A280" s="100">
        <v>13</v>
      </c>
      <c r="B280" s="437"/>
      <c r="C280" s="414"/>
      <c r="D280" s="415">
        <f>IF(B280=0,0,VLOOKUP(B280,Supplies!$B$13:$C$97,2,FALSE))</f>
        <v>0</v>
      </c>
      <c r="E280" s="385">
        <f t="shared" si="32"/>
        <v>0</v>
      </c>
      <c r="H280" s="441" t="s">
        <v>159</v>
      </c>
      <c r="I280" s="4" t="s">
        <v>92</v>
      </c>
      <c r="J280" s="4" t="s">
        <v>300</v>
      </c>
      <c r="K280" s="350" t="s">
        <v>93</v>
      </c>
      <c r="L280" s="4" t="s">
        <v>12</v>
      </c>
      <c r="M280" s="4" t="s">
        <v>12</v>
      </c>
      <c r="N280" s="481"/>
    </row>
    <row r="281" spans="1:14" ht="15" thickBot="1" x14ac:dyDescent="0.4">
      <c r="A281" s="100">
        <v>14</v>
      </c>
      <c r="B281" s="437"/>
      <c r="C281" s="414"/>
      <c r="D281" s="415">
        <f>IF(B281=0,0,VLOOKUP(B281,Supplies!$B$13:$C$97,2,FALSE))</f>
        <v>0</v>
      </c>
      <c r="E281" s="385">
        <f t="shared" si="32"/>
        <v>0</v>
      </c>
      <c r="H281" s="305" t="s">
        <v>13</v>
      </c>
      <c r="I281" s="5" t="s">
        <v>301</v>
      </c>
      <c r="J281" s="5" t="s">
        <v>169</v>
      </c>
      <c r="K281" s="354" t="s">
        <v>94</v>
      </c>
      <c r="L281" s="5" t="s">
        <v>302</v>
      </c>
      <c r="M281" s="5" t="s">
        <v>240</v>
      </c>
      <c r="N281" s="481"/>
    </row>
    <row r="282" spans="1:14" ht="15" thickBot="1" x14ac:dyDescent="0.4">
      <c r="A282" s="100">
        <v>15</v>
      </c>
      <c r="B282" s="439"/>
      <c r="C282" s="442"/>
      <c r="D282" s="443">
        <f>IF(B282=0,0,VLOOKUP(B282,Supplies!$B$13:$C$97,2,FALSE))</f>
        <v>0</v>
      </c>
      <c r="E282" s="377">
        <f t="shared" si="32"/>
        <v>0</v>
      </c>
      <c r="G282" s="393"/>
      <c r="H282" s="258"/>
      <c r="I282" s="444"/>
      <c r="J282" s="445"/>
      <c r="K282" s="446">
        <f>IF(H282=0,0,VLOOKUP(H282,Transportation!$B$6:$L$16,11,FALSE))</f>
        <v>0</v>
      </c>
      <c r="L282" s="447">
        <f>IF(I282=0,0,I282*K282)</f>
        <v>0</v>
      </c>
      <c r="M282" s="448">
        <f>IF(I282=0,0,I282*K282*J282)</f>
        <v>0</v>
      </c>
      <c r="N282" s="487"/>
    </row>
    <row r="283" spans="1:14" ht="15" thickBot="1" x14ac:dyDescent="0.4">
      <c r="A283" s="100">
        <v>16</v>
      </c>
      <c r="B283" s="433"/>
      <c r="C283" s="449"/>
      <c r="D283" s="450">
        <f>IF(B283=0,0,VLOOKUP(B283,Supplies!$B$13:$C$97,2,FALSE))</f>
        <v>0</v>
      </c>
      <c r="E283" s="385">
        <f t="shared" si="32"/>
        <v>0</v>
      </c>
      <c r="H283" s="259"/>
      <c r="I283" s="451"/>
      <c r="J283" s="452"/>
      <c r="K283" s="453">
        <f>IF(H283=0,0,VLOOKUP(H283,Transportation!$B$6:$L$16,11,FALSE))</f>
        <v>0</v>
      </c>
      <c r="L283" s="454">
        <f>IF(I283=0,0,I283*K283)</f>
        <v>0</v>
      </c>
      <c r="M283" s="455">
        <f>IF(I283=0,0,I283*K283*J283)</f>
        <v>0</v>
      </c>
      <c r="N283" s="487"/>
    </row>
    <row r="284" spans="1:14" x14ac:dyDescent="0.35">
      <c r="A284" s="100">
        <v>17</v>
      </c>
      <c r="B284" s="437"/>
      <c r="C284" s="456"/>
      <c r="D284" s="457">
        <f>IF(B284=0,0,VLOOKUP(B284,Supplies!$B$13:$C$97,2,FALSE))</f>
        <v>0</v>
      </c>
      <c r="E284" s="385">
        <f>IF(D284=" "," ",D284*C284)</f>
        <v>0</v>
      </c>
      <c r="H284" s="260"/>
      <c r="I284" s="458"/>
      <c r="J284" s="459"/>
      <c r="K284" s="460"/>
      <c r="L284" s="460"/>
      <c r="M284" s="460"/>
      <c r="N284" s="483"/>
    </row>
    <row r="285" spans="1:14" ht="15" thickBot="1" x14ac:dyDescent="0.4">
      <c r="A285" s="100">
        <v>18</v>
      </c>
      <c r="B285" s="437"/>
      <c r="C285" s="456"/>
      <c r="D285" s="457">
        <f>IF(B285=0,0,VLOOKUP(B285,Supplies!$B$13:$C$97,2,FALSE))</f>
        <v>0</v>
      </c>
      <c r="E285" s="385">
        <f>IF(D285=" "," ",D285*C285)</f>
        <v>0</v>
      </c>
      <c r="H285" s="461" t="s">
        <v>201</v>
      </c>
      <c r="I285" s="462"/>
      <c r="J285" s="463"/>
      <c r="K285" s="464"/>
      <c r="L285" s="464"/>
      <c r="M285" s="464"/>
      <c r="N285" s="483"/>
    </row>
    <row r="286" spans="1:14" x14ac:dyDescent="0.35">
      <c r="A286" s="100">
        <v>19</v>
      </c>
      <c r="B286" s="437"/>
      <c r="C286" s="456"/>
      <c r="D286" s="457">
        <f>IF(B286=0,0,VLOOKUP(B286,Supplies!$B$13:$C$97,2,FALSE))</f>
        <v>0</v>
      </c>
      <c r="E286" s="385">
        <f>IF(D286=" "," ",D286*C286)</f>
        <v>0</v>
      </c>
      <c r="H286" s="465" t="s">
        <v>202</v>
      </c>
      <c r="I286" s="466" t="s">
        <v>204</v>
      </c>
      <c r="J286" s="463"/>
      <c r="K286" s="464"/>
      <c r="L286" s="464"/>
      <c r="M286" s="464"/>
      <c r="N286" s="483"/>
    </row>
    <row r="287" spans="1:14" ht="15" thickBot="1" x14ac:dyDescent="0.4">
      <c r="A287" s="100">
        <v>20</v>
      </c>
      <c r="B287" s="439"/>
      <c r="C287" s="442"/>
      <c r="D287" s="443">
        <f>IF(B287=0,0,VLOOKUP(B287,Supplies!$B$13:$C$97,2,FALSE))</f>
        <v>0</v>
      </c>
      <c r="E287" s="377">
        <f>IF(D287=" "," ",D287*C287)</f>
        <v>0</v>
      </c>
      <c r="H287" s="467"/>
      <c r="I287" s="484" t="str">
        <f>IF(H287=0," ",VLOOKUP(H287,Subcontractors!$B$15:$E$25,4))</f>
        <v xml:space="preserve"> </v>
      </c>
      <c r="J287" s="463"/>
      <c r="K287" s="464"/>
      <c r="L287" s="464"/>
      <c r="M287" s="464"/>
    </row>
    <row r="288" spans="1:14" ht="15" thickBot="1" x14ac:dyDescent="0.4">
      <c r="A288" s="100"/>
      <c r="B288" s="335"/>
      <c r="C288" s="485"/>
      <c r="D288" s="397"/>
      <c r="E288" s="397"/>
      <c r="H288" s="469"/>
      <c r="I288" s="486" t="str">
        <f>IF(H288=0," ",VLOOKUP(H288,Subcontractors!$B$15:$E$25,4))</f>
        <v xml:space="preserve"> </v>
      </c>
    </row>
    <row r="289" spans="1:14" x14ac:dyDescent="0.35">
      <c r="A289" s="100"/>
      <c r="B289" s="335"/>
      <c r="C289" s="485"/>
      <c r="D289" s="397"/>
      <c r="E289" s="397"/>
    </row>
    <row r="290" spans="1:14" ht="18.5" x14ac:dyDescent="0.35">
      <c r="A290" s="818" t="s">
        <v>192</v>
      </c>
      <c r="B290" s="828"/>
      <c r="C290" s="828"/>
      <c r="D290" s="828"/>
      <c r="E290" s="828"/>
      <c r="F290" s="828"/>
      <c r="G290" s="150" t="str">
        <f>B241</f>
        <v>Window Washing</v>
      </c>
      <c r="H290" s="301"/>
      <c r="I290" s="150"/>
      <c r="J290" s="150"/>
      <c r="K290" s="150"/>
      <c r="L290" s="150"/>
      <c r="M290" s="150"/>
      <c r="N290" s="150"/>
    </row>
    <row r="291" spans="1:14" ht="18.5" x14ac:dyDescent="0.35">
      <c r="A291" s="818" t="s">
        <v>193</v>
      </c>
      <c r="B291" s="819"/>
      <c r="C291" s="819"/>
      <c r="D291" s="819"/>
      <c r="E291" s="819"/>
      <c r="F291" s="819"/>
      <c r="G291" s="150" t="str">
        <f>B299</f>
        <v>Clean Chairs</v>
      </c>
      <c r="H291" s="301"/>
      <c r="I291" s="150"/>
      <c r="J291" s="150"/>
      <c r="K291" s="150"/>
      <c r="L291" s="150"/>
      <c r="M291" s="150"/>
      <c r="N291" s="150"/>
    </row>
    <row r="293" spans="1:14" x14ac:dyDescent="0.35">
      <c r="B293" s="222" t="s">
        <v>109</v>
      </c>
      <c r="C293" s="741">
        <f>'kt info'!$C$3</f>
        <v>0</v>
      </c>
      <c r="D293" s="824"/>
      <c r="E293" s="824"/>
      <c r="F293" s="825"/>
      <c r="H293" s="333"/>
      <c r="J293" s="811" t="s">
        <v>170</v>
      </c>
      <c r="K293" s="708"/>
      <c r="L293" s="708"/>
      <c r="M293" s="708"/>
    </row>
    <row r="294" spans="1:14" x14ac:dyDescent="0.35">
      <c r="C294" s="300"/>
      <c r="D294" s="100"/>
      <c r="E294" s="100"/>
      <c r="F294" s="100"/>
      <c r="I294" s="329"/>
      <c r="J294" s="329" t="str">
        <f>$B$10</f>
        <v>All Carpets</v>
      </c>
      <c r="L294" s="336" t="str">
        <f>$B$415</f>
        <v>Enter Periodical Service 1</v>
      </c>
    </row>
    <row r="295" spans="1:14" x14ac:dyDescent="0.35">
      <c r="B295" s="222" t="s">
        <v>110</v>
      </c>
      <c r="C295" s="741">
        <f>'kt info'!$C$5</f>
        <v>0</v>
      </c>
      <c r="D295" s="824"/>
      <c r="E295" s="824"/>
      <c r="F295" s="825"/>
      <c r="J295" s="329" t="str">
        <f>$B$67</f>
        <v>High Traffic Carpet</v>
      </c>
      <c r="L295" s="336" t="str">
        <f>$B$473</f>
        <v>Enter Periodical Service 2</v>
      </c>
    </row>
    <row r="296" spans="1:14" x14ac:dyDescent="0.35">
      <c r="C296" s="300"/>
      <c r="D296" s="100"/>
      <c r="E296" s="100"/>
      <c r="F296" s="100"/>
      <c r="J296" s="329" t="str">
        <f>$B$125</f>
        <v>Hard Floor Strip and Wax</v>
      </c>
      <c r="L296" s="336" t="str">
        <f>$B$531</f>
        <v>Enter Periodical Service 3</v>
      </c>
    </row>
    <row r="297" spans="1:14" x14ac:dyDescent="0.35">
      <c r="B297" s="222" t="s">
        <v>135</v>
      </c>
      <c r="C297" s="741">
        <f>'kt info'!$C$7</f>
        <v>0</v>
      </c>
      <c r="D297" s="824"/>
      <c r="E297" s="824"/>
      <c r="F297" s="825"/>
      <c r="J297" s="329" t="str">
        <f>$B$183</f>
        <v>Hard Floor Scrub and Seal</v>
      </c>
      <c r="L297" s="336" t="str">
        <f>$B$589</f>
        <v>Enter Periodical Service 4</v>
      </c>
    </row>
    <row r="298" spans="1:14" x14ac:dyDescent="0.35">
      <c r="J298" s="336" t="str">
        <f>$B$241</f>
        <v>Window Washing</v>
      </c>
      <c r="L298" s="336" t="str">
        <f>$B$647</f>
        <v>Enter Periodical Service 5</v>
      </c>
    </row>
    <row r="299" spans="1:14" ht="18.5" x14ac:dyDescent="0.35">
      <c r="A299" s="337"/>
      <c r="B299" s="490" t="str">
        <f>'kt info'!B35</f>
        <v>Clean Chairs</v>
      </c>
      <c r="C299" s="339"/>
      <c r="D299" s="337"/>
      <c r="E299" s="337"/>
      <c r="F299" s="337"/>
      <c r="G299" s="337"/>
      <c r="H299" s="302" t="s">
        <v>77</v>
      </c>
      <c r="I299" s="236" t="s">
        <v>238</v>
      </c>
      <c r="J299" s="336" t="str">
        <f>$B$299</f>
        <v>Clean Chairs</v>
      </c>
      <c r="L299" s="336" t="str">
        <f>$B$705</f>
        <v>Enter Periodical Service 6</v>
      </c>
      <c r="M299" s="337"/>
      <c r="N299" s="337"/>
    </row>
    <row r="300" spans="1:14" x14ac:dyDescent="0.35">
      <c r="G300" s="178" t="s">
        <v>79</v>
      </c>
      <c r="H300" s="341">
        <f>IF(SUM(M312:M321)&gt;0,SUM(M312:M321)/'kt info'!$G$35,0)</f>
        <v>0</v>
      </c>
      <c r="I300" s="342">
        <f>H300*'kt info'!$G$35</f>
        <v>0</v>
      </c>
      <c r="J300" s="336" t="str">
        <f>$B$357</f>
        <v>High Dusting</v>
      </c>
      <c r="L300" s="336" t="str">
        <f>$B$763</f>
        <v>Enter Periodical Service 7</v>
      </c>
    </row>
    <row r="301" spans="1:14" x14ac:dyDescent="0.35">
      <c r="B301" s="343"/>
      <c r="G301" s="178" t="s">
        <v>189</v>
      </c>
      <c r="H301" s="344">
        <f>IF(SUM(K312:K321)&gt;0,SUM(K312:K321),0)</f>
        <v>0</v>
      </c>
      <c r="I301" s="345">
        <f>H301*'kt info'!$G$35</f>
        <v>0</v>
      </c>
      <c r="J301" s="336"/>
      <c r="L301" s="336" t="str">
        <f>$B$821</f>
        <v>Enter Periodical Service 8</v>
      </c>
    </row>
    <row r="302" spans="1:14" x14ac:dyDescent="0.35">
      <c r="B302" s="177" t="s">
        <v>267</v>
      </c>
      <c r="C302" s="517" t="str">
        <f>IF('kt info'!E35=0," ",'kt info'!E35)</f>
        <v xml:space="preserve"> </v>
      </c>
      <c r="G302" s="178" t="s">
        <v>80</v>
      </c>
      <c r="H302" s="344">
        <f>IF(SUM(E326:E345)&gt;0,SUM(E326:E345),0)</f>
        <v>0</v>
      </c>
      <c r="I302" s="345">
        <f>H302*'kt info'!$G$35</f>
        <v>0</v>
      </c>
      <c r="J302" s="336"/>
      <c r="L302" s="336" t="str">
        <f>$B$879</f>
        <v>Enter Periodical Service 9</v>
      </c>
    </row>
    <row r="303" spans="1:14" x14ac:dyDescent="0.35">
      <c r="G303" s="178" t="s">
        <v>81</v>
      </c>
      <c r="H303" s="344">
        <f>IF(SUM(L326:L335)&gt;0,SUM(L326:L335),0)</f>
        <v>0</v>
      </c>
      <c r="I303" s="345">
        <f>H303*'kt info'!$G$35</f>
        <v>0</v>
      </c>
      <c r="J303" s="336"/>
      <c r="L303" s="336" t="str">
        <f>$B$937</f>
        <v>Enter Periodical Service 10</v>
      </c>
    </row>
    <row r="304" spans="1:14" x14ac:dyDescent="0.35">
      <c r="B304" s="177" t="s">
        <v>98</v>
      </c>
      <c r="C304" s="347">
        <f>ROUND(IF(SUM(H301:H307)&gt;0,SUM(H301:H307),0),0)</f>
        <v>0</v>
      </c>
      <c r="G304" s="178" t="s">
        <v>89</v>
      </c>
      <c r="H304" s="344">
        <f>IF(SUM(J339:J343)&gt;0,SUM(L339:L343),0)</f>
        <v>0</v>
      </c>
      <c r="I304" s="345">
        <f>H304*'kt info'!$G$35</f>
        <v>0</v>
      </c>
      <c r="J304" s="329"/>
      <c r="K304" s="336"/>
    </row>
    <row r="305" spans="1:14" x14ac:dyDescent="0.35">
      <c r="G305" s="178" t="s">
        <v>201</v>
      </c>
      <c r="H305" s="344">
        <f>IF(SUM(I345:I346)=0,0,SUM(I345:I346))</f>
        <v>0</v>
      </c>
      <c r="I305" s="345">
        <f>H305*'kt info'!$G$35</f>
        <v>0</v>
      </c>
      <c r="K305" s="336"/>
    </row>
    <row r="306" spans="1:14" x14ac:dyDescent="0.35">
      <c r="B306" s="177" t="s">
        <v>268</v>
      </c>
      <c r="C306" s="347" t="str">
        <f>IF(C302=" "," ",C304/C302)</f>
        <v xml:space="preserve"> </v>
      </c>
      <c r="G306" s="178" t="s">
        <v>87</v>
      </c>
      <c r="H306" s="344">
        <f>IF('Overhead &amp; Margin'!$D$10&gt;0,((H301+H302+H303+H304+H305)*'Overhead &amp; Margin'!$D$10/(1-('Overhead &amp; Margin'!$D$10+'Overhead &amp; Margin'!$G$10))),0)</f>
        <v>0</v>
      </c>
      <c r="I306" s="345">
        <f>H306*'kt info'!$G$35</f>
        <v>0</v>
      </c>
      <c r="K306" s="336"/>
    </row>
    <row r="307" spans="1:14" x14ac:dyDescent="0.35">
      <c r="G307" s="178" t="s">
        <v>88</v>
      </c>
      <c r="H307" s="344">
        <f>IF('Overhead &amp; Margin'!$G$10=0,0,'Overhead &amp; Margin'!$G$10*(H301+H302+H303+H304+H305)/(1-('Overhead &amp; Margin'!$D$10+'Overhead &amp; Margin'!$G$10)))</f>
        <v>0</v>
      </c>
      <c r="I307" s="345">
        <f>H307*'kt info'!$G$35</f>
        <v>0</v>
      </c>
    </row>
    <row r="308" spans="1:14" x14ac:dyDescent="0.35">
      <c r="M308" s="605" t="str">
        <f>'kt info'!$B$12</f>
        <v>Form date: 10/24/25</v>
      </c>
    </row>
    <row r="309" spans="1:14" ht="15" thickBot="1" x14ac:dyDescent="0.4">
      <c r="B309" s="348" t="s">
        <v>104</v>
      </c>
    </row>
    <row r="310" spans="1:14" x14ac:dyDescent="0.35">
      <c r="B310" s="84" t="s">
        <v>18</v>
      </c>
      <c r="C310" s="349" t="s">
        <v>19</v>
      </c>
      <c r="D310" s="350" t="s">
        <v>25</v>
      </c>
      <c r="E310" s="350" t="s">
        <v>20</v>
      </c>
      <c r="F310" s="826" t="s">
        <v>22</v>
      </c>
      <c r="G310" s="826"/>
      <c r="H310" s="351" t="s">
        <v>23</v>
      </c>
      <c r="I310" s="350" t="s">
        <v>21</v>
      </c>
      <c r="J310" s="350" t="s">
        <v>24</v>
      </c>
      <c r="K310" s="350" t="s">
        <v>77</v>
      </c>
      <c r="L310" s="352" t="s">
        <v>26</v>
      </c>
      <c r="M310" s="4" t="s">
        <v>27</v>
      </c>
      <c r="N310" s="4" t="s">
        <v>0</v>
      </c>
    </row>
    <row r="311" spans="1:14" ht="15" thickBot="1" x14ac:dyDescent="0.4">
      <c r="B311" s="22" t="s">
        <v>306</v>
      </c>
      <c r="C311" s="353" t="s">
        <v>28</v>
      </c>
      <c r="D311" s="354" t="s">
        <v>33</v>
      </c>
      <c r="E311" s="354" t="s">
        <v>29</v>
      </c>
      <c r="F311" s="827" t="s">
        <v>30</v>
      </c>
      <c r="G311" s="827"/>
      <c r="H311" s="355" t="s">
        <v>31</v>
      </c>
      <c r="I311" s="354"/>
      <c r="J311" s="354" t="s">
        <v>38</v>
      </c>
      <c r="K311" s="354" t="s">
        <v>189</v>
      </c>
      <c r="L311" s="356" t="s">
        <v>0</v>
      </c>
      <c r="M311" s="5" t="s">
        <v>0</v>
      </c>
      <c r="N311" s="5" t="s">
        <v>77</v>
      </c>
    </row>
    <row r="312" spans="1:14" x14ac:dyDescent="0.35">
      <c r="A312" s="100">
        <v>1</v>
      </c>
      <c r="B312" s="474"/>
      <c r="C312" s="358"/>
      <c r="D312" s="359" t="str">
        <f>IF(B312=0," ",'kt info'!$G$35)</f>
        <v xml:space="preserve"> </v>
      </c>
      <c r="E312" s="360" t="str">
        <f>IF(B312=0," ",VLOOKUP(B312,WageBeneTable5[#All],2,FALSE))</f>
        <v xml:space="preserve"> </v>
      </c>
      <c r="F312" s="820">
        <f>IF($E312=" ",0,'Pay &amp; Benefits'!$C$10)</f>
        <v>0</v>
      </c>
      <c r="G312" s="821"/>
      <c r="H312" s="361" t="str">
        <f>IF($E312=" "," ",'Pay &amp; Benefits'!$C$11)</f>
        <v xml:space="preserve"> </v>
      </c>
      <c r="I312" s="362" t="str">
        <f t="shared" ref="I312:I321" si="33">IF(E312=" "," ",0.0765)</f>
        <v xml:space="preserve"> </v>
      </c>
      <c r="J312" s="363" t="str">
        <f>IF(B312=0," ",VLOOKUP(B312,WageBeneTable5[#All],3,FALSE))</f>
        <v xml:space="preserve"> </v>
      </c>
      <c r="K312" s="360" t="str">
        <f t="shared" ref="K312:K321" si="34">IF(B312=0," ",C312*E312*(1+I312+F312+H312+J312))</f>
        <v xml:space="preserve"> </v>
      </c>
      <c r="L312" s="360">
        <f t="shared" ref="L312:L321" si="35">IF(K312=" ",0,K312*D312)</f>
        <v>0</v>
      </c>
      <c r="M312" s="364">
        <f t="shared" ref="M312:M321" si="36">IF(B312=0,0,C312*D312)</f>
        <v>0</v>
      </c>
      <c r="N312" s="365">
        <f t="shared" ref="N312:N321" si="37">IF(L312=0,0,IF(D312=0,0,L312/D312))</f>
        <v>0</v>
      </c>
    </row>
    <row r="313" spans="1:14" x14ac:dyDescent="0.35">
      <c r="A313" s="100">
        <v>2</v>
      </c>
      <c r="B313" s="437"/>
      <c r="C313" s="367"/>
      <c r="D313" s="359" t="str">
        <f>IF(B313=0," ",'kt info'!$G$35)</f>
        <v xml:space="preserve"> </v>
      </c>
      <c r="E313" s="368" t="str">
        <f>IF(B313=0," ",VLOOKUP(B313,WageBeneTable5[#All],2,FALSE))</f>
        <v xml:space="preserve"> </v>
      </c>
      <c r="F313" s="822">
        <f>IF($E313=" ",0,'Pay &amp; Benefits'!$C$10)</f>
        <v>0</v>
      </c>
      <c r="G313" s="823"/>
      <c r="H313" s="369" t="str">
        <f>IF($E313=" "," ",'Pay &amp; Benefits'!$C$11)</f>
        <v xml:space="preserve"> </v>
      </c>
      <c r="I313" s="370" t="str">
        <f t="shared" si="33"/>
        <v xml:space="preserve"> </v>
      </c>
      <c r="J313" s="371" t="str">
        <f>IF(B313=0," ",VLOOKUP(B313,WageBeneTable5[#All],3,FALSE))</f>
        <v xml:space="preserve"> </v>
      </c>
      <c r="K313" s="368" t="str">
        <f t="shared" si="34"/>
        <v xml:space="preserve"> </v>
      </c>
      <c r="L313" s="368">
        <f t="shared" si="35"/>
        <v>0</v>
      </c>
      <c r="M313" s="372">
        <f t="shared" si="36"/>
        <v>0</v>
      </c>
      <c r="N313" s="373">
        <f t="shared" si="37"/>
        <v>0</v>
      </c>
    </row>
    <row r="314" spans="1:14" x14ac:dyDescent="0.35">
      <c r="A314" s="100">
        <v>3</v>
      </c>
      <c r="B314" s="437"/>
      <c r="C314" s="367"/>
      <c r="D314" s="359" t="str">
        <f>IF(B314=0," ",'kt info'!$G$35)</f>
        <v xml:space="preserve"> </v>
      </c>
      <c r="E314" s="368" t="str">
        <f>IF(B314=0," ",VLOOKUP(B314,WageBeneTable5[#All],2,FALSE))</f>
        <v xml:space="preserve"> </v>
      </c>
      <c r="F314" s="822">
        <f>IF($E314=" ",0,'Pay &amp; Benefits'!$C$10)</f>
        <v>0</v>
      </c>
      <c r="G314" s="823"/>
      <c r="H314" s="369" t="str">
        <f>IF($E314=" "," ",'Pay &amp; Benefits'!$C$11)</f>
        <v xml:space="preserve"> </v>
      </c>
      <c r="I314" s="370" t="str">
        <f t="shared" si="33"/>
        <v xml:space="preserve"> </v>
      </c>
      <c r="J314" s="371" t="str">
        <f>IF(B314=0," ",VLOOKUP(B314,WageBeneTable5[#All],3,FALSE))</f>
        <v xml:space="preserve"> </v>
      </c>
      <c r="K314" s="368" t="str">
        <f t="shared" si="34"/>
        <v xml:space="preserve"> </v>
      </c>
      <c r="L314" s="368">
        <f t="shared" si="35"/>
        <v>0</v>
      </c>
      <c r="M314" s="372">
        <f t="shared" si="36"/>
        <v>0</v>
      </c>
      <c r="N314" s="373">
        <f t="shared" si="37"/>
        <v>0</v>
      </c>
    </row>
    <row r="315" spans="1:14" x14ac:dyDescent="0.35">
      <c r="A315" s="100">
        <v>4</v>
      </c>
      <c r="B315" s="437"/>
      <c r="C315" s="367"/>
      <c r="D315" s="359" t="str">
        <f>IF(B315=0," ",'kt info'!$G$35)</f>
        <v xml:space="preserve"> </v>
      </c>
      <c r="E315" s="368" t="str">
        <f>IF(B315=0," ",VLOOKUP(B315,WageBeneTable5[#All],2,FALSE))</f>
        <v xml:space="preserve"> </v>
      </c>
      <c r="F315" s="822">
        <f>IF($E315=" ",0,'Pay &amp; Benefits'!$C$10)</f>
        <v>0</v>
      </c>
      <c r="G315" s="823"/>
      <c r="H315" s="369" t="str">
        <f>IF($E315=" "," ",'Pay &amp; Benefits'!$C$11)</f>
        <v xml:space="preserve"> </v>
      </c>
      <c r="I315" s="370" t="str">
        <f t="shared" si="33"/>
        <v xml:space="preserve"> </v>
      </c>
      <c r="J315" s="371" t="str">
        <f>IF(B315=0," ",VLOOKUP(B315,WageBeneTable5[#All],3,FALSE))</f>
        <v xml:space="preserve"> </v>
      </c>
      <c r="K315" s="368" t="str">
        <f t="shared" si="34"/>
        <v xml:space="preserve"> </v>
      </c>
      <c r="L315" s="368">
        <f t="shared" si="35"/>
        <v>0</v>
      </c>
      <c r="M315" s="372">
        <f t="shared" si="36"/>
        <v>0</v>
      </c>
      <c r="N315" s="373">
        <f t="shared" si="37"/>
        <v>0</v>
      </c>
    </row>
    <row r="316" spans="1:14" ht="15" thickBot="1" x14ac:dyDescent="0.4">
      <c r="A316" s="100">
        <v>5</v>
      </c>
      <c r="B316" s="439"/>
      <c r="C316" s="375"/>
      <c r="D316" s="376" t="str">
        <f>IF(B316=0," ",'kt info'!$G$35)</f>
        <v xml:space="preserve"> </v>
      </c>
      <c r="E316" s="377" t="str">
        <f>IF(B316=0," ",VLOOKUP(B316,WageBeneTable5[#All],2,FALSE))</f>
        <v xml:space="preserve"> </v>
      </c>
      <c r="F316" s="813">
        <f>IF($E316=" ",0,'Pay &amp; Benefits'!$C$10)</f>
        <v>0</v>
      </c>
      <c r="G316" s="814"/>
      <c r="H316" s="378" t="str">
        <f>IF($E316=" "," ",'Pay &amp; Benefits'!$C$11)</f>
        <v xml:space="preserve"> </v>
      </c>
      <c r="I316" s="379" t="str">
        <f t="shared" si="33"/>
        <v xml:space="preserve"> </v>
      </c>
      <c r="J316" s="380" t="str">
        <f>IF(B316=0," ",VLOOKUP(B316,WageBeneTable5[#All],3,FALSE))</f>
        <v xml:space="preserve"> </v>
      </c>
      <c r="K316" s="377" t="str">
        <f t="shared" si="34"/>
        <v xml:space="preserve"> </v>
      </c>
      <c r="L316" s="377">
        <f t="shared" si="35"/>
        <v>0</v>
      </c>
      <c r="M316" s="381">
        <f t="shared" si="36"/>
        <v>0</v>
      </c>
      <c r="N316" s="382">
        <f t="shared" si="37"/>
        <v>0</v>
      </c>
    </row>
    <row r="317" spans="1:14" x14ac:dyDescent="0.35">
      <c r="A317" s="100">
        <v>6</v>
      </c>
      <c r="B317" s="474"/>
      <c r="C317" s="383"/>
      <c r="D317" s="384" t="str">
        <f>IF(B317=0," ",'kt info'!$G$35)</f>
        <v xml:space="preserve"> </v>
      </c>
      <c r="E317" s="385" t="str">
        <f>IF(B317=0," ",VLOOKUP(B317,WageBeneTable5[#All],2,FALSE))</f>
        <v xml:space="preserve"> </v>
      </c>
      <c r="F317" s="820">
        <f>IF($E317=" ",0,'Pay &amp; Benefits'!$C$10)</f>
        <v>0</v>
      </c>
      <c r="G317" s="821"/>
      <c r="H317" s="386" t="str">
        <f>IF($E317=" "," ",'Pay &amp; Benefits'!$C$11)</f>
        <v xml:space="preserve"> </v>
      </c>
      <c r="I317" s="387" t="str">
        <f t="shared" si="33"/>
        <v xml:space="preserve"> </v>
      </c>
      <c r="J317" s="388" t="str">
        <f>IF(B317=0," ",VLOOKUP(B317,WageBeneTable5[#All],3,FALSE))</f>
        <v xml:space="preserve"> </v>
      </c>
      <c r="K317" s="385" t="str">
        <f t="shared" si="34"/>
        <v xml:space="preserve"> </v>
      </c>
      <c r="L317" s="385">
        <f t="shared" si="35"/>
        <v>0</v>
      </c>
      <c r="M317" s="389">
        <f t="shared" si="36"/>
        <v>0</v>
      </c>
      <c r="N317" s="390">
        <f t="shared" si="37"/>
        <v>0</v>
      </c>
    </row>
    <row r="318" spans="1:14" x14ac:dyDescent="0.35">
      <c r="A318" s="100">
        <v>7</v>
      </c>
      <c r="B318" s="437"/>
      <c r="C318" s="367"/>
      <c r="D318" s="384" t="str">
        <f>IF(B318=0," ",'kt info'!$G$35)</f>
        <v xml:space="preserve"> </v>
      </c>
      <c r="E318" s="385" t="str">
        <f>IF(B318=0," ",VLOOKUP(B318,WageBeneTable5[#All],2,FALSE))</f>
        <v xml:space="preserve"> </v>
      </c>
      <c r="F318" s="822">
        <f>IF($E318=" ",0,'Pay &amp; Benefits'!$C$10)</f>
        <v>0</v>
      </c>
      <c r="G318" s="823"/>
      <c r="H318" s="386" t="str">
        <f>IF($E318=" "," ",'Pay &amp; Benefits'!$C$11)</f>
        <v xml:space="preserve"> </v>
      </c>
      <c r="I318" s="387" t="str">
        <f t="shared" si="33"/>
        <v xml:space="preserve"> </v>
      </c>
      <c r="J318" s="388" t="str">
        <f>IF(B318=0," ",VLOOKUP(B318,WageBeneTable5[#All],3,FALSE))</f>
        <v xml:space="preserve"> </v>
      </c>
      <c r="K318" s="385" t="str">
        <f t="shared" si="34"/>
        <v xml:space="preserve"> </v>
      </c>
      <c r="L318" s="385">
        <f t="shared" si="35"/>
        <v>0</v>
      </c>
      <c r="M318" s="389">
        <f t="shared" si="36"/>
        <v>0</v>
      </c>
      <c r="N318" s="390">
        <f t="shared" si="37"/>
        <v>0</v>
      </c>
    </row>
    <row r="319" spans="1:14" x14ac:dyDescent="0.35">
      <c r="A319" s="100">
        <v>8</v>
      </c>
      <c r="B319" s="437"/>
      <c r="C319" s="367"/>
      <c r="D319" s="384" t="str">
        <f>IF(B319=0," ",'kt info'!$G$35)</f>
        <v xml:space="preserve"> </v>
      </c>
      <c r="E319" s="385" t="str">
        <f>IF(B319=0," ",VLOOKUP(B319,WageBeneTable5[#All],2,FALSE))</f>
        <v xml:space="preserve"> </v>
      </c>
      <c r="F319" s="822">
        <f>IF($E319=" ",0,'Pay &amp; Benefits'!$C$10)</f>
        <v>0</v>
      </c>
      <c r="G319" s="823"/>
      <c r="H319" s="386" t="str">
        <f>IF($E319=" "," ",'Pay &amp; Benefits'!$C$11)</f>
        <v xml:space="preserve"> </v>
      </c>
      <c r="I319" s="387" t="str">
        <f t="shared" si="33"/>
        <v xml:space="preserve"> </v>
      </c>
      <c r="J319" s="388" t="str">
        <f>IF(B319=0," ",VLOOKUP(B319,WageBeneTable5[#All],3,FALSE))</f>
        <v xml:space="preserve"> </v>
      </c>
      <c r="K319" s="385" t="str">
        <f t="shared" si="34"/>
        <v xml:space="preserve"> </v>
      </c>
      <c r="L319" s="385">
        <f t="shared" si="35"/>
        <v>0</v>
      </c>
      <c r="M319" s="389">
        <f t="shared" si="36"/>
        <v>0</v>
      </c>
      <c r="N319" s="390">
        <f t="shared" si="37"/>
        <v>0</v>
      </c>
    </row>
    <row r="320" spans="1:14" x14ac:dyDescent="0.35">
      <c r="A320" s="100">
        <v>9</v>
      </c>
      <c r="B320" s="437"/>
      <c r="C320" s="367"/>
      <c r="D320" s="384" t="str">
        <f>IF(B320=0," ",'kt info'!$G$35)</f>
        <v xml:space="preserve"> </v>
      </c>
      <c r="E320" s="385" t="str">
        <f>IF(B320=0," ",VLOOKUP(B320,WageBeneTable5[#All],2,FALSE))</f>
        <v xml:space="preserve"> </v>
      </c>
      <c r="F320" s="822">
        <f>IF($E320=" ",0,'Pay &amp; Benefits'!$C$10)</f>
        <v>0</v>
      </c>
      <c r="G320" s="823"/>
      <c r="H320" s="386" t="str">
        <f>IF($E320=" "," ",'Pay &amp; Benefits'!$C$11)</f>
        <v xml:space="preserve"> </v>
      </c>
      <c r="I320" s="387" t="str">
        <f t="shared" si="33"/>
        <v xml:space="preserve"> </v>
      </c>
      <c r="J320" s="388" t="str">
        <f>IF(B320=0," ",VLOOKUP(B320,WageBeneTable5[#All],3,FALSE))</f>
        <v xml:space="preserve"> </v>
      </c>
      <c r="K320" s="385" t="str">
        <f t="shared" si="34"/>
        <v xml:space="preserve"> </v>
      </c>
      <c r="L320" s="385">
        <f t="shared" si="35"/>
        <v>0</v>
      </c>
      <c r="M320" s="389">
        <f t="shared" si="36"/>
        <v>0</v>
      </c>
      <c r="N320" s="390">
        <f t="shared" si="37"/>
        <v>0</v>
      </c>
    </row>
    <row r="321" spans="1:14" ht="15" thickBot="1" x14ac:dyDescent="0.4">
      <c r="A321" s="100">
        <v>10</v>
      </c>
      <c r="B321" s="439"/>
      <c r="C321" s="375"/>
      <c r="D321" s="376" t="str">
        <f>IF(B321=0," ",'kt info'!$G$35)</f>
        <v xml:space="preserve"> </v>
      </c>
      <c r="E321" s="377" t="str">
        <f>IF(B321=0," ",VLOOKUP(B321,WageBeneTable5[#All],2,FALSE))</f>
        <v xml:space="preserve"> </v>
      </c>
      <c r="F321" s="813">
        <f>IF($E321=" ",0,'Pay &amp; Benefits'!$C$10)</f>
        <v>0</v>
      </c>
      <c r="G321" s="814"/>
      <c r="H321" s="378" t="str">
        <f>IF($E321=" "," ",'Pay &amp; Benefits'!$C$11)</f>
        <v xml:space="preserve"> </v>
      </c>
      <c r="I321" s="379" t="str">
        <f t="shared" si="33"/>
        <v xml:space="preserve"> </v>
      </c>
      <c r="J321" s="380" t="str">
        <f>IF(B321=0," ",VLOOKUP(B321,WageBeneTable5[#All],3,FALSE))</f>
        <v xml:space="preserve"> </v>
      </c>
      <c r="K321" s="377" t="str">
        <f t="shared" si="34"/>
        <v xml:space="preserve"> </v>
      </c>
      <c r="L321" s="377">
        <f t="shared" si="35"/>
        <v>0</v>
      </c>
      <c r="M321" s="381">
        <f t="shared" si="36"/>
        <v>0</v>
      </c>
      <c r="N321" s="382">
        <f t="shared" si="37"/>
        <v>0</v>
      </c>
    </row>
    <row r="322" spans="1:14" x14ac:dyDescent="0.35">
      <c r="K322" s="391"/>
      <c r="L322" s="392"/>
      <c r="M322" s="393"/>
    </row>
    <row r="323" spans="1:14" ht="15" thickBot="1" x14ac:dyDescent="0.4">
      <c r="B323" s="394" t="s">
        <v>203</v>
      </c>
      <c r="E323" s="395"/>
      <c r="H323" s="815" t="s">
        <v>199</v>
      </c>
      <c r="I323" s="816"/>
      <c r="M323" s="475"/>
      <c r="N323" s="100"/>
    </row>
    <row r="324" spans="1:14" x14ac:dyDescent="0.35">
      <c r="B324" s="32" t="s">
        <v>123</v>
      </c>
      <c r="C324" s="398" t="s">
        <v>239</v>
      </c>
      <c r="D324" s="399" t="s">
        <v>9</v>
      </c>
      <c r="E324" s="400" t="s">
        <v>83</v>
      </c>
      <c r="H324" s="303" t="s">
        <v>15</v>
      </c>
      <c r="I324" s="4" t="s">
        <v>85</v>
      </c>
      <c r="J324" s="4" t="s">
        <v>16</v>
      </c>
      <c r="K324" s="4" t="s">
        <v>241</v>
      </c>
      <c r="L324" s="4" t="s">
        <v>83</v>
      </c>
      <c r="M324" s="476"/>
      <c r="N324" s="477"/>
    </row>
    <row r="325" spans="1:14" ht="15" thickBot="1" x14ac:dyDescent="0.4">
      <c r="B325" s="33" t="s">
        <v>124</v>
      </c>
      <c r="C325" s="401" t="s">
        <v>84</v>
      </c>
      <c r="D325" s="402" t="s">
        <v>10</v>
      </c>
      <c r="E325" s="403" t="s">
        <v>84</v>
      </c>
      <c r="H325" s="304" t="s">
        <v>13</v>
      </c>
      <c r="I325" s="5" t="s">
        <v>86</v>
      </c>
      <c r="J325" s="5" t="s">
        <v>17</v>
      </c>
      <c r="K325" s="5" t="s">
        <v>12</v>
      </c>
      <c r="L325" s="5" t="s">
        <v>84</v>
      </c>
      <c r="M325" s="478"/>
      <c r="N325" s="479"/>
    </row>
    <row r="326" spans="1:14" x14ac:dyDescent="0.35">
      <c r="A326" s="100">
        <v>1</v>
      </c>
      <c r="B326" s="474"/>
      <c r="C326" s="406"/>
      <c r="D326" s="407">
        <f>IF(B326=0,0,VLOOKUP(B326,Supplies!$B$13:$C$97,2,FALSE))</f>
        <v>0</v>
      </c>
      <c r="E326" s="360">
        <f>IF(D326=" "," ",D326*C326)</f>
        <v>0</v>
      </c>
      <c r="G326" s="100">
        <v>1</v>
      </c>
      <c r="H326" s="408"/>
      <c r="I326" s="409"/>
      <c r="J326" s="410"/>
      <c r="K326" s="331" t="str">
        <f>IF(H326=0," ",IF(VLOOKUP(H326,'Equipment List'!$B$12:$F$96,5,FALSE)=0,0,IF(VLOOKUP(H326,'Equipment List'!$B$12:$F$96,5,FALSE)="Grant","Grant",IF(VLOOKUP(H326,'Equipment List'!$B$12:$F$96,5,FALSE)="Depreciated","Depreciated",VLOOKUP(H326,'Equipment List'!$B$12:$F$96,5,FALSE)*I326*J326))))</f>
        <v xml:space="preserve"> </v>
      </c>
      <c r="L326" s="365" t="str">
        <f>IF(K326=" "," ",IF(K326="Grant",0,IF(K326="Depreciated",0,IF('kt info'!$G$35=0,"No Service Frequency",K326/'kt info'!$G$35))))</f>
        <v xml:space="preserve"> </v>
      </c>
      <c r="M326" s="480"/>
      <c r="N326" s="404"/>
    </row>
    <row r="327" spans="1:14" x14ac:dyDescent="0.35">
      <c r="A327" s="100">
        <v>2</v>
      </c>
      <c r="B327" s="437"/>
      <c r="C327" s="414"/>
      <c r="D327" s="415">
        <f>IF(B327=0,0,VLOOKUP(B327,Supplies!$B$13:$C$97,2,FALSE))</f>
        <v>0</v>
      </c>
      <c r="E327" s="385">
        <f t="shared" ref="E327:E341" si="38">IF(D327=" "," ",D327*C327)</f>
        <v>0</v>
      </c>
      <c r="G327" s="100">
        <v>2</v>
      </c>
      <c r="H327" s="416"/>
      <c r="I327" s="417"/>
      <c r="J327" s="418"/>
      <c r="K327" s="421" t="str">
        <f>IF(H327=0," ",IF(VLOOKUP(H327,'Equipment List'!$B$12:$F$96,5,FALSE)=0,0,IF(VLOOKUP(H327,'Equipment List'!$B$12:$F$96,5,FALSE)="Grant","Grant",IF(VLOOKUP(H327,'Equipment List'!$B$12:$F$96,5,FALSE)="Depreciated","Depreciated",VLOOKUP(H327,'Equipment List'!$B$12:$F$96,5,FALSE)*I327*J327))))</f>
        <v xml:space="preserve"> </v>
      </c>
      <c r="L327" s="390" t="str">
        <f>IF(K327=" "," ",IF(K327="Grant",0,IF(K327="Depreciated",0,IF('kt info'!$G$35=0,"No Service Frequency",K327/'kt info'!$G$35))))</f>
        <v xml:space="preserve"> </v>
      </c>
    </row>
    <row r="328" spans="1:14" x14ac:dyDescent="0.35">
      <c r="A328" s="100">
        <v>3</v>
      </c>
      <c r="B328" s="437"/>
      <c r="C328" s="414"/>
      <c r="D328" s="415">
        <f>IF(B328=0,0,VLOOKUP(B328,Supplies!$B$13:$C$97,2,FALSE))</f>
        <v>0</v>
      </c>
      <c r="E328" s="385">
        <f t="shared" si="38"/>
        <v>0</v>
      </c>
      <c r="G328" s="100">
        <v>3</v>
      </c>
      <c r="H328" s="416"/>
      <c r="I328" s="417"/>
      <c r="J328" s="418"/>
      <c r="K328" s="421" t="str">
        <f>IF(H328=0," ",IF(VLOOKUP(H328,'Equipment List'!$B$12:$F$96,5,FALSE)=0,0,IF(VLOOKUP(H328,'Equipment List'!$B$12:$F$96,5,FALSE)="Grant","Grant",IF(VLOOKUP(H328,'Equipment List'!$B$12:$F$96,5,FALSE)="Depreciated","Depreciated",VLOOKUP(H328,'Equipment List'!$B$12:$F$96,5,FALSE)*I328*J328))))</f>
        <v xml:space="preserve"> </v>
      </c>
      <c r="L328" s="390" t="str">
        <f>IF(K328=" "," ",IF(K328="Grant",0,IF(K328="Depreciated",0,IF('kt info'!$G$35=0,"No Service Frequency",K328/'kt info'!$G$35))))</f>
        <v xml:space="preserve"> </v>
      </c>
    </row>
    <row r="329" spans="1:14" x14ac:dyDescent="0.35">
      <c r="A329" s="100">
        <v>4</v>
      </c>
      <c r="B329" s="437"/>
      <c r="C329" s="414"/>
      <c r="D329" s="415">
        <f>IF(B329=0,0,VLOOKUP(B329,Supplies!$B$13:$C$97,2,FALSE))</f>
        <v>0</v>
      </c>
      <c r="E329" s="385">
        <f t="shared" si="38"/>
        <v>0</v>
      </c>
      <c r="G329" s="100">
        <v>4</v>
      </c>
      <c r="H329" s="416"/>
      <c r="I329" s="417"/>
      <c r="J329" s="418"/>
      <c r="K329" s="421" t="str">
        <f>IF(H329=0," ",IF(VLOOKUP(H329,'Equipment List'!$B$12:$F$96,5,FALSE)=0,0,IF(VLOOKUP(H329,'Equipment List'!$B$12:$F$96,5,FALSE)="Grant","Grant",IF(VLOOKUP(H329,'Equipment List'!$B$12:$F$96,5,FALSE)="Depreciated","Depreciated",VLOOKUP(H329,'Equipment List'!$B$12:$F$96,5,FALSE)*I329*J329))))</f>
        <v xml:space="preserve"> </v>
      </c>
      <c r="L329" s="390" t="str">
        <f>IF(K329=" "," ",IF(K329="Grant",0,IF(K329="Depreciated",0,IF('kt info'!$G$35=0,"No Service Frequency",K329/'kt info'!$G$35))))</f>
        <v xml:space="preserve"> </v>
      </c>
    </row>
    <row r="330" spans="1:14" ht="15" thickBot="1" x14ac:dyDescent="0.4">
      <c r="A330" s="100">
        <v>5</v>
      </c>
      <c r="B330" s="439"/>
      <c r="C330" s="423"/>
      <c r="D330" s="424">
        <f>IF(B330=0,0,VLOOKUP(B330,Supplies!$B$13:$C$97,2,FALSE))</f>
        <v>0</v>
      </c>
      <c r="E330" s="377">
        <f t="shared" si="38"/>
        <v>0</v>
      </c>
      <c r="G330" s="100">
        <v>5</v>
      </c>
      <c r="H330" s="425"/>
      <c r="I330" s="426"/>
      <c r="J330" s="427"/>
      <c r="K330" s="428" t="str">
        <f>IF(H330=0," ",IF(VLOOKUP(H330,'Equipment List'!$B$12:$F$96,5,FALSE)=0,0,IF(VLOOKUP(H330,'Equipment List'!$B$12:$F$96,5,FALSE)="Grant","Grant",IF(VLOOKUP(H330,'Equipment List'!$B$12:$F$96,5,FALSE)="Depreciated","Depreciated",VLOOKUP(H330,'Equipment List'!$B$12:$F$96,5,FALSE)*I330*J330))))</f>
        <v xml:space="preserve"> </v>
      </c>
      <c r="L330" s="382" t="str">
        <f>IF(K330=" "," ",IF(K330="Grant",0,IF(K330="Depreciated",0,IF('kt info'!$G$35=0,"No Service Frequency",K330/'kt info'!$G$35))))</f>
        <v xml:space="preserve"> </v>
      </c>
    </row>
    <row r="331" spans="1:14" x14ac:dyDescent="0.35">
      <c r="A331" s="100">
        <v>6</v>
      </c>
      <c r="B331" s="433"/>
      <c r="C331" s="431"/>
      <c r="D331" s="432">
        <f>IF(B331=0,0,VLOOKUP(B331,Supplies!$B$13:$C$97,2,FALSE))</f>
        <v>0</v>
      </c>
      <c r="E331" s="385">
        <f t="shared" si="38"/>
        <v>0</v>
      </c>
      <c r="G331" s="100">
        <v>6</v>
      </c>
      <c r="H331" s="433"/>
      <c r="I331" s="434"/>
      <c r="J331" s="435"/>
      <c r="K331" s="436" t="str">
        <f>IF(H331=0," ",IF(VLOOKUP(H331,'Equipment List'!$B$12:$F$96,5,FALSE)=0,0,IF(VLOOKUP(H331,'Equipment List'!$B$12:$F$96,5,FALSE)="Grant","Grant",IF(VLOOKUP(H331,'Equipment List'!$B$12:$F$96,5,FALSE)="Depreciated","Depreciated",VLOOKUP(H331,'Equipment List'!$B$12:$F$96,5,FALSE)*I331*J331))))</f>
        <v xml:space="preserve"> </v>
      </c>
      <c r="L331" s="390" t="str">
        <f>IF(K331=" "," ",IF(K331="Grant",0,IF(K331="Depreciated",0,IF('kt info'!$G$35=0,"No Service Frequency",K331/'kt info'!$G$35))))</f>
        <v xml:space="preserve"> </v>
      </c>
    </row>
    <row r="332" spans="1:14" x14ac:dyDescent="0.35">
      <c r="A332" s="100">
        <v>7</v>
      </c>
      <c r="B332" s="437"/>
      <c r="C332" s="414"/>
      <c r="D332" s="415">
        <f>IF(B332=0,0,VLOOKUP(B332,Supplies!$B$13:$C$97,2,FALSE))</f>
        <v>0</v>
      </c>
      <c r="E332" s="385">
        <f t="shared" si="38"/>
        <v>0</v>
      </c>
      <c r="G332" s="100">
        <v>7</v>
      </c>
      <c r="H332" s="437"/>
      <c r="I332" s="417"/>
      <c r="J332" s="418"/>
      <c r="K332" s="438" t="str">
        <f>IF(H332=0," ",IF(VLOOKUP(H332,'Equipment List'!$B$12:$F$96,5,FALSE)=0,0,IF(VLOOKUP(H332,'Equipment List'!$B$12:$F$96,5,FALSE)="Grant","Grant",IF(VLOOKUP(H332,'Equipment List'!$B$12:$F$96,5,FALSE)="Depreciated","Depreciated",VLOOKUP(H332,'Equipment List'!$B$12:$F$96,5,FALSE)*I332*J332))))</f>
        <v xml:space="preserve"> </v>
      </c>
      <c r="L332" s="390" t="str">
        <f>IF(K332=" "," ",IF(K332="Grant",0,IF(K332="Depreciated",0,IF('kt info'!$G$35=0,"No Service Frequency",K332/'kt info'!$G$35))))</f>
        <v xml:space="preserve"> </v>
      </c>
    </row>
    <row r="333" spans="1:14" x14ac:dyDescent="0.35">
      <c r="A333" s="100">
        <v>8</v>
      </c>
      <c r="B333" s="437"/>
      <c r="C333" s="414"/>
      <c r="D333" s="415">
        <f>IF(B333=0,0,VLOOKUP(B333,Supplies!$B$13:$C$97,2,FALSE))</f>
        <v>0</v>
      </c>
      <c r="E333" s="385">
        <f t="shared" si="38"/>
        <v>0</v>
      </c>
      <c r="G333" s="100">
        <v>8</v>
      </c>
      <c r="H333" s="437"/>
      <c r="I333" s="417"/>
      <c r="J333" s="418"/>
      <c r="K333" s="438" t="str">
        <f>IF(H333=0," ",IF(VLOOKUP(H333,'Equipment List'!$B$12:$F$96,5,FALSE)=0,0,IF(VLOOKUP(H333,'Equipment List'!$B$12:$F$96,5,FALSE)="Grant","Grant",IF(VLOOKUP(H333,'Equipment List'!$B$12:$F$96,5,FALSE)="Depreciated","Depreciated",VLOOKUP(H333,'Equipment List'!$B$12:$F$96,5,FALSE)*I333*J333))))</f>
        <v xml:space="preserve"> </v>
      </c>
      <c r="L333" s="390" t="str">
        <f>IF(K333=" "," ",IF(K333="Grant",0,IF(K333="Depreciated",0,IF('kt info'!$G$35=0,"No Service Frequency",K333/'kt info'!$G$35))))</f>
        <v xml:space="preserve"> </v>
      </c>
    </row>
    <row r="334" spans="1:14" x14ac:dyDescent="0.35">
      <c r="A334" s="100">
        <v>9</v>
      </c>
      <c r="B334" s="437"/>
      <c r="C334" s="414"/>
      <c r="D334" s="415">
        <f>IF(B334=0,0,VLOOKUP(B334,Supplies!$B$13:$C$97,2,FALSE))</f>
        <v>0</v>
      </c>
      <c r="E334" s="385">
        <f t="shared" si="38"/>
        <v>0</v>
      </c>
      <c r="G334" s="100">
        <v>9</v>
      </c>
      <c r="H334" s="437"/>
      <c r="I334" s="417"/>
      <c r="J334" s="418"/>
      <c r="K334" s="438" t="str">
        <f>IF(H334=0," ",IF(VLOOKUP(H334,'Equipment List'!$B$12:$F$96,5,FALSE)=0,0,IF(VLOOKUP(H334,'Equipment List'!$B$12:$F$96,5,FALSE)="Grant","Grant",IF(VLOOKUP(H334,'Equipment List'!$B$12:$F$96,5,FALSE)="Depreciated","Depreciated",VLOOKUP(H334,'Equipment List'!$B$12:$F$96,5,FALSE)*I334*J334))))</f>
        <v xml:space="preserve"> </v>
      </c>
      <c r="L334" s="390" t="str">
        <f>IF(K334=" "," ",IF(K334="Grant",0,IF(K334="Depreciated",0,IF('kt info'!$G$35=0,"No Service Frequency",K334/'kt info'!$G$35))))</f>
        <v xml:space="preserve"> </v>
      </c>
    </row>
    <row r="335" spans="1:14" ht="15" thickBot="1" x14ac:dyDescent="0.4">
      <c r="A335" s="100">
        <v>10</v>
      </c>
      <c r="B335" s="439"/>
      <c r="C335" s="423"/>
      <c r="D335" s="424">
        <f>IF(B335=0,0,VLOOKUP(B335,Supplies!$B$13:$C$97,2,FALSE))</f>
        <v>0</v>
      </c>
      <c r="E335" s="377">
        <f t="shared" si="38"/>
        <v>0</v>
      </c>
      <c r="G335" s="100">
        <v>10</v>
      </c>
      <c r="H335" s="439"/>
      <c r="I335" s="426"/>
      <c r="J335" s="427"/>
      <c r="K335" s="440" t="str">
        <f>IF(H335=0," ",IF(VLOOKUP(H335,'Equipment List'!$B$12:$F$96,5,FALSE)=0,0,IF(VLOOKUP(H335,'Equipment List'!$B$12:$F$96,5,FALSE)="Grant","Grant",IF(VLOOKUP(H335,'Equipment List'!$B$12:$F$96,5,FALSE)="Depreciated","Depreciated",VLOOKUP(H335,'Equipment List'!$B$12:$F$96,5,FALSE)*I335*J335))))</f>
        <v xml:space="preserve"> </v>
      </c>
      <c r="L335" s="382" t="str">
        <f>IF(K335=" "," ",IF(K335="Grant",0,IF(K335="Depreciated",0,IF('kt info'!$G$35=0,"No Service Frequency",K335/'kt info'!$G$35))))</f>
        <v xml:space="preserve"> </v>
      </c>
    </row>
    <row r="336" spans="1:14" x14ac:dyDescent="0.35">
      <c r="A336" s="100">
        <v>11</v>
      </c>
      <c r="B336" s="433"/>
      <c r="C336" s="431"/>
      <c r="D336" s="432">
        <f>IF(B336=0,0,VLOOKUP(B336,Supplies!$B$13:$C$97,2,FALSE))</f>
        <v>0</v>
      </c>
      <c r="E336" s="385">
        <f t="shared" si="38"/>
        <v>0</v>
      </c>
    </row>
    <row r="337" spans="1:14" ht="15" thickBot="1" x14ac:dyDescent="0.4">
      <c r="A337" s="100">
        <v>12</v>
      </c>
      <c r="B337" s="437"/>
      <c r="C337" s="414"/>
      <c r="D337" s="415">
        <f>IF(B337=0,0,VLOOKUP(B337,Supplies!$B$13:$C$97,2,FALSE))</f>
        <v>0</v>
      </c>
      <c r="E337" s="385">
        <f t="shared" si="38"/>
        <v>0</v>
      </c>
      <c r="H337" s="817" t="s">
        <v>200</v>
      </c>
      <c r="I337" s="816"/>
      <c r="J337" s="354"/>
      <c r="K337" s="354"/>
      <c r="L337" s="354"/>
      <c r="M337" s="354"/>
    </row>
    <row r="338" spans="1:14" x14ac:dyDescent="0.35">
      <c r="A338" s="100">
        <v>13</v>
      </c>
      <c r="B338" s="437"/>
      <c r="C338" s="414"/>
      <c r="D338" s="415">
        <f>IF(B338=0,0,VLOOKUP(B338,Supplies!$B$13:$C$97,2,FALSE))</f>
        <v>0</v>
      </c>
      <c r="E338" s="385">
        <f t="shared" si="38"/>
        <v>0</v>
      </c>
      <c r="H338" s="441" t="s">
        <v>159</v>
      </c>
      <c r="I338" s="4" t="s">
        <v>92</v>
      </c>
      <c r="J338" s="4" t="s">
        <v>300</v>
      </c>
      <c r="K338" s="350" t="s">
        <v>93</v>
      </c>
      <c r="L338" s="4" t="s">
        <v>12</v>
      </c>
      <c r="M338" s="4" t="s">
        <v>12</v>
      </c>
      <c r="N338" s="481"/>
    </row>
    <row r="339" spans="1:14" ht="15" thickBot="1" x14ac:dyDescent="0.4">
      <c r="A339" s="100">
        <v>14</v>
      </c>
      <c r="B339" s="437"/>
      <c r="C339" s="414"/>
      <c r="D339" s="415">
        <f>IF(B339=0,0,VLOOKUP(B339,Supplies!$B$13:$C$97,2,FALSE))</f>
        <v>0</v>
      </c>
      <c r="E339" s="385">
        <f t="shared" si="38"/>
        <v>0</v>
      </c>
      <c r="H339" s="305" t="s">
        <v>13</v>
      </c>
      <c r="I339" s="5" t="s">
        <v>301</v>
      </c>
      <c r="J339" s="5" t="s">
        <v>169</v>
      </c>
      <c r="K339" s="354" t="s">
        <v>94</v>
      </c>
      <c r="L339" s="5" t="s">
        <v>302</v>
      </c>
      <c r="M339" s="5" t="s">
        <v>240</v>
      </c>
      <c r="N339" s="481"/>
    </row>
    <row r="340" spans="1:14" ht="15" thickBot="1" x14ac:dyDescent="0.4">
      <c r="A340" s="100">
        <v>15</v>
      </c>
      <c r="B340" s="439"/>
      <c r="C340" s="442"/>
      <c r="D340" s="443">
        <f>IF(B340=0,0,VLOOKUP(B340,Supplies!$B$13:$C$97,2,FALSE))</f>
        <v>0</v>
      </c>
      <c r="E340" s="377">
        <f t="shared" si="38"/>
        <v>0</v>
      </c>
      <c r="G340" s="393"/>
      <c r="H340" s="258"/>
      <c r="I340" s="444"/>
      <c r="J340" s="445"/>
      <c r="K340" s="446">
        <f>IF(H340=0,0,VLOOKUP(H340,Transportation!$B$6:$L$16,11,FALSE))</f>
        <v>0</v>
      </c>
      <c r="L340" s="447">
        <f>IF(I340=0,0,I340*K340)</f>
        <v>0</v>
      </c>
      <c r="M340" s="448">
        <f>IF(I340=0,0,I340*K340*J340)</f>
        <v>0</v>
      </c>
      <c r="N340" s="487"/>
    </row>
    <row r="341" spans="1:14" ht="15" thickBot="1" x14ac:dyDescent="0.4">
      <c r="A341" s="100">
        <v>16</v>
      </c>
      <c r="B341" s="433"/>
      <c r="C341" s="449"/>
      <c r="D341" s="450">
        <f>IF(B341=0,0,VLOOKUP(B341,Supplies!$B$13:$C$97,2,FALSE))</f>
        <v>0</v>
      </c>
      <c r="E341" s="385">
        <f t="shared" si="38"/>
        <v>0</v>
      </c>
      <c r="H341" s="259"/>
      <c r="I341" s="451"/>
      <c r="J341" s="452"/>
      <c r="K341" s="453">
        <f>IF(H341=0,0,VLOOKUP(H341,Transportation!$B$6:$L$16,11,FALSE))</f>
        <v>0</v>
      </c>
      <c r="L341" s="454">
        <f>IF(I341=0,0,I341*K341)</f>
        <v>0</v>
      </c>
      <c r="M341" s="455">
        <f>IF(I341=0,0,I341*K341*J341)</f>
        <v>0</v>
      </c>
      <c r="N341" s="487"/>
    </row>
    <row r="342" spans="1:14" x14ac:dyDescent="0.35">
      <c r="A342" s="100">
        <v>17</v>
      </c>
      <c r="B342" s="437"/>
      <c r="C342" s="456"/>
      <c r="D342" s="457">
        <f>IF(B342=0,0,VLOOKUP(B342,Supplies!$B$13:$C$97,2,FALSE))</f>
        <v>0</v>
      </c>
      <c r="E342" s="385">
        <f>IF(D342=" "," ",D342*C342)</f>
        <v>0</v>
      </c>
      <c r="H342" s="260"/>
      <c r="I342" s="458"/>
      <c r="J342" s="459"/>
      <c r="K342" s="460"/>
      <c r="L342" s="460"/>
      <c r="M342" s="460"/>
      <c r="N342" s="483"/>
    </row>
    <row r="343" spans="1:14" ht="15" thickBot="1" x14ac:dyDescent="0.4">
      <c r="A343" s="100">
        <v>18</v>
      </c>
      <c r="B343" s="437"/>
      <c r="C343" s="456"/>
      <c r="D343" s="457">
        <f>IF(B343=0,0,VLOOKUP(B343,Supplies!$B$13:$C$97,2,FALSE))</f>
        <v>0</v>
      </c>
      <c r="E343" s="385">
        <f>IF(D343=" "," ",D343*C343)</f>
        <v>0</v>
      </c>
      <c r="H343" s="461" t="s">
        <v>201</v>
      </c>
      <c r="I343" s="462"/>
      <c r="J343" s="463"/>
      <c r="K343" s="464"/>
      <c r="L343" s="464"/>
      <c r="M343" s="464"/>
      <c r="N343" s="483"/>
    </row>
    <row r="344" spans="1:14" x14ac:dyDescent="0.35">
      <c r="A344" s="100">
        <v>19</v>
      </c>
      <c r="B344" s="437"/>
      <c r="C344" s="456"/>
      <c r="D344" s="457">
        <f>IF(B344=0,0,VLOOKUP(B344,Supplies!$B$13:$C$97,2,FALSE))</f>
        <v>0</v>
      </c>
      <c r="E344" s="385">
        <f>IF(D344=" "," ",D344*C344)</f>
        <v>0</v>
      </c>
      <c r="H344" s="465" t="s">
        <v>202</v>
      </c>
      <c r="I344" s="466" t="s">
        <v>204</v>
      </c>
      <c r="J344" s="463"/>
      <c r="K344" s="464"/>
      <c r="L344" s="464"/>
      <c r="M344" s="464"/>
      <c r="N344" s="483"/>
    </row>
    <row r="345" spans="1:14" ht="15" thickBot="1" x14ac:dyDescent="0.4">
      <c r="A345" s="100">
        <v>20</v>
      </c>
      <c r="B345" s="439"/>
      <c r="C345" s="442"/>
      <c r="D345" s="443">
        <f>IF(B345=0,0,VLOOKUP(B345,Supplies!$B$13:$C$97,2,FALSE))</f>
        <v>0</v>
      </c>
      <c r="E345" s="377">
        <f>IF(D345=" "," ",D345*C345)</f>
        <v>0</v>
      </c>
      <c r="H345" s="467"/>
      <c r="I345" s="484" t="str">
        <f>IF(H345=0," ",VLOOKUP(H345,Subcontractors!$B$15:$E$25,4))</f>
        <v xml:space="preserve"> </v>
      </c>
      <c r="J345" s="463"/>
      <c r="K345" s="464"/>
      <c r="L345" s="464"/>
      <c r="M345" s="464"/>
    </row>
    <row r="346" spans="1:14" ht="15" thickBot="1" x14ac:dyDescent="0.4">
      <c r="A346" s="100"/>
      <c r="B346" s="335"/>
      <c r="C346" s="485"/>
      <c r="D346" s="397"/>
      <c r="E346" s="397"/>
      <c r="H346" s="469"/>
      <c r="I346" s="486" t="str">
        <f>IF(H346=0," ",VLOOKUP(H346,Subcontractors!$B$15:$E$25,4))</f>
        <v xml:space="preserve"> </v>
      </c>
    </row>
    <row r="347" spans="1:14" x14ac:dyDescent="0.35">
      <c r="A347" s="100"/>
      <c r="B347" s="335"/>
      <c r="C347" s="485"/>
      <c r="D347" s="397"/>
      <c r="E347" s="397"/>
      <c r="H347" s="473"/>
      <c r="I347" s="404"/>
    </row>
    <row r="348" spans="1:14" ht="21" x14ac:dyDescent="0.35">
      <c r="A348" s="818" t="s">
        <v>191</v>
      </c>
      <c r="B348" s="833"/>
      <c r="C348" s="833"/>
      <c r="D348" s="833"/>
      <c r="E348" s="833"/>
      <c r="F348" s="833"/>
      <c r="G348" s="150" t="str">
        <f>B299</f>
        <v>Clean Chairs</v>
      </c>
      <c r="H348" s="301"/>
      <c r="I348" s="149"/>
      <c r="J348" s="149"/>
      <c r="K348" s="149"/>
      <c r="L348" s="149"/>
      <c r="M348" s="149"/>
      <c r="N348" s="149"/>
    </row>
    <row r="349" spans="1:14" ht="18.5" x14ac:dyDescent="0.35">
      <c r="A349" s="818" t="s">
        <v>193</v>
      </c>
      <c r="B349" s="833"/>
      <c r="C349" s="833"/>
      <c r="D349" s="833"/>
      <c r="E349" s="833"/>
      <c r="F349" s="833"/>
      <c r="G349" s="150" t="str">
        <f>B357</f>
        <v>High Dusting</v>
      </c>
      <c r="H349" s="301"/>
      <c r="I349" s="150"/>
      <c r="J349" s="150"/>
      <c r="K349" s="150"/>
      <c r="L349" s="150"/>
      <c r="M349" s="150"/>
      <c r="N349" s="150"/>
    </row>
    <row r="351" spans="1:14" x14ac:dyDescent="0.35">
      <c r="B351" s="222" t="s">
        <v>109</v>
      </c>
      <c r="C351" s="741">
        <f>'kt info'!$C$3</f>
        <v>0</v>
      </c>
      <c r="D351" s="824"/>
      <c r="E351" s="824"/>
      <c r="F351" s="825"/>
      <c r="H351" s="333"/>
      <c r="J351" s="811" t="s">
        <v>170</v>
      </c>
      <c r="K351" s="708"/>
      <c r="L351" s="708"/>
      <c r="M351" s="708"/>
    </row>
    <row r="352" spans="1:14" x14ac:dyDescent="0.35">
      <c r="C352" s="300"/>
      <c r="D352" s="100"/>
      <c r="E352" s="100"/>
      <c r="F352" s="100"/>
      <c r="I352" s="329"/>
      <c r="J352" s="329" t="str">
        <f>$B$10</f>
        <v>All Carpets</v>
      </c>
      <c r="L352" s="336" t="str">
        <f>$B$415</f>
        <v>Enter Periodical Service 1</v>
      </c>
    </row>
    <row r="353" spans="1:14" x14ac:dyDescent="0.35">
      <c r="B353" s="222" t="s">
        <v>110</v>
      </c>
      <c r="C353" s="741">
        <f>'kt info'!$C$5</f>
        <v>0</v>
      </c>
      <c r="D353" s="824"/>
      <c r="E353" s="824"/>
      <c r="F353" s="825"/>
      <c r="J353" s="329" t="str">
        <f>$B$67</f>
        <v>High Traffic Carpet</v>
      </c>
      <c r="L353" s="336" t="str">
        <f>$B$473</f>
        <v>Enter Periodical Service 2</v>
      </c>
    </row>
    <row r="354" spans="1:14" x14ac:dyDescent="0.35">
      <c r="C354" s="300"/>
      <c r="D354" s="100"/>
      <c r="E354" s="100"/>
      <c r="F354" s="100"/>
      <c r="J354" s="329" t="str">
        <f>$B$125</f>
        <v>Hard Floor Strip and Wax</v>
      </c>
      <c r="L354" s="336" t="str">
        <f>$B$531</f>
        <v>Enter Periodical Service 3</v>
      </c>
    </row>
    <row r="355" spans="1:14" x14ac:dyDescent="0.35">
      <c r="B355" s="222" t="s">
        <v>135</v>
      </c>
      <c r="C355" s="741">
        <f>'kt info'!$C$7</f>
        <v>0</v>
      </c>
      <c r="D355" s="824"/>
      <c r="E355" s="824"/>
      <c r="F355" s="825"/>
      <c r="J355" s="329" t="str">
        <f>$B$183</f>
        <v>Hard Floor Scrub and Seal</v>
      </c>
      <c r="L355" s="336" t="str">
        <f>$B$589</f>
        <v>Enter Periodical Service 4</v>
      </c>
    </row>
    <row r="356" spans="1:14" x14ac:dyDescent="0.35">
      <c r="J356" s="336" t="str">
        <f>$B$241</f>
        <v>Window Washing</v>
      </c>
      <c r="L356" s="336" t="str">
        <f>$B$647</f>
        <v>Enter Periodical Service 5</v>
      </c>
    </row>
    <row r="357" spans="1:14" ht="18.5" x14ac:dyDescent="0.35">
      <c r="A357" s="337"/>
      <c r="B357" s="490" t="str">
        <f>'kt info'!B37</f>
        <v>High Dusting</v>
      </c>
      <c r="C357" s="339"/>
      <c r="D357" s="337"/>
      <c r="E357" s="337"/>
      <c r="F357" s="337"/>
      <c r="G357" s="337"/>
      <c r="H357" s="302" t="s">
        <v>77</v>
      </c>
      <c r="I357" s="236" t="s">
        <v>238</v>
      </c>
      <c r="J357" s="336" t="str">
        <f>$B$299</f>
        <v>Clean Chairs</v>
      </c>
      <c r="L357" s="336" t="str">
        <f>$B$705</f>
        <v>Enter Periodical Service 6</v>
      </c>
      <c r="M357" s="337"/>
      <c r="N357" s="337"/>
    </row>
    <row r="358" spans="1:14" x14ac:dyDescent="0.35">
      <c r="G358" s="178" t="s">
        <v>79</v>
      </c>
      <c r="H358" s="341">
        <f>IF(SUM(M370:M379)&gt;0,SUM(M370:M379)/'kt info'!$G$37,0)</f>
        <v>0</v>
      </c>
      <c r="I358" s="342">
        <f>H358*'kt info'!$G$37</f>
        <v>0</v>
      </c>
      <c r="J358" s="336" t="str">
        <f>$B$357</f>
        <v>High Dusting</v>
      </c>
      <c r="L358" s="336" t="str">
        <f>$B$763</f>
        <v>Enter Periodical Service 7</v>
      </c>
    </row>
    <row r="359" spans="1:14" x14ac:dyDescent="0.35">
      <c r="B359" s="343"/>
      <c r="G359" s="178" t="s">
        <v>189</v>
      </c>
      <c r="H359" s="344">
        <f>IF(SUM(K370:K379)&gt;0,SUM(K370:K379),0)</f>
        <v>0</v>
      </c>
      <c r="I359" s="345">
        <f>H359*'kt info'!$G$37</f>
        <v>0</v>
      </c>
      <c r="J359" s="336"/>
      <c r="L359" s="336" t="str">
        <f>$B$821</f>
        <v>Enter Periodical Service 8</v>
      </c>
    </row>
    <row r="360" spans="1:14" x14ac:dyDescent="0.35">
      <c r="B360" s="177"/>
      <c r="C360" s="488"/>
      <c r="G360" s="178" t="s">
        <v>80</v>
      </c>
      <c r="H360" s="344">
        <f>IF(SUM(E384:E403)&gt;0,SUM(E384:E403),0)</f>
        <v>0</v>
      </c>
      <c r="I360" s="345">
        <f>H360*'kt info'!$G$37</f>
        <v>0</v>
      </c>
      <c r="J360" s="336"/>
      <c r="L360" s="336" t="str">
        <f>$B$879</f>
        <v>Enter Periodical Service 9</v>
      </c>
    </row>
    <row r="361" spans="1:14" x14ac:dyDescent="0.35">
      <c r="G361" s="178" t="s">
        <v>81</v>
      </c>
      <c r="H361" s="344">
        <f>IF(SUM(L384:L393)&gt;0,SUM(L384:L393),0)</f>
        <v>0</v>
      </c>
      <c r="I361" s="345">
        <f>H361*'kt info'!$G$37</f>
        <v>0</v>
      </c>
      <c r="J361" s="336"/>
      <c r="L361" s="336" t="str">
        <f>$B$937</f>
        <v>Enter Periodical Service 10</v>
      </c>
    </row>
    <row r="362" spans="1:14" x14ac:dyDescent="0.35">
      <c r="B362" s="177" t="s">
        <v>98</v>
      </c>
      <c r="C362" s="347">
        <f>ROUND(IF(SUM(H359:H365)&gt;0,SUM(H359:H365),0),0)</f>
        <v>0</v>
      </c>
      <c r="G362" s="178" t="s">
        <v>89</v>
      </c>
      <c r="H362" s="344">
        <f>IF(SUM(J397:J401)&gt;0,SUM(L397:L401),0)</f>
        <v>0</v>
      </c>
      <c r="I362" s="345">
        <f>H362*'kt info'!$G$37</f>
        <v>0</v>
      </c>
      <c r="J362" s="329"/>
      <c r="K362" s="336"/>
    </row>
    <row r="363" spans="1:14" x14ac:dyDescent="0.35">
      <c r="G363" s="178" t="s">
        <v>201</v>
      </c>
      <c r="H363" s="344">
        <f>IF(SUM(I403:I404)=0,0,SUM(I403:I404))</f>
        <v>0</v>
      </c>
      <c r="I363" s="345">
        <f>H363*'kt info'!$G$37</f>
        <v>0</v>
      </c>
      <c r="K363" s="336"/>
    </row>
    <row r="364" spans="1:14" x14ac:dyDescent="0.35">
      <c r="B364" s="177"/>
      <c r="C364" s="489"/>
      <c r="G364" s="178" t="s">
        <v>87</v>
      </c>
      <c r="H364" s="344">
        <f>IF('Overhead &amp; Margin'!$D$10&gt;0,((H359+H360+H361+H362+H363)*'Overhead &amp; Margin'!$D$10/(1-('Overhead &amp; Margin'!$D$10+'Overhead &amp; Margin'!$G$10))),0)</f>
        <v>0</v>
      </c>
      <c r="I364" s="345">
        <f>H364*'kt info'!$G$37</f>
        <v>0</v>
      </c>
      <c r="K364" s="336"/>
    </row>
    <row r="365" spans="1:14" x14ac:dyDescent="0.35">
      <c r="G365" s="178" t="s">
        <v>88</v>
      </c>
      <c r="H365" s="344">
        <f>IF('Overhead &amp; Margin'!$G$10=0,0,'Overhead &amp; Margin'!$G$10*(H359+H360+H361+H362+H363)/(1-('Overhead &amp; Margin'!$D$10+'Overhead &amp; Margin'!$G$10)))</f>
        <v>0</v>
      </c>
      <c r="I365" s="345">
        <f>H365*'kt info'!$G$37</f>
        <v>0</v>
      </c>
    </row>
    <row r="366" spans="1:14" x14ac:dyDescent="0.35">
      <c r="M366" s="605" t="str">
        <f>'kt info'!$B$12</f>
        <v>Form date: 10/24/25</v>
      </c>
    </row>
    <row r="367" spans="1:14" ht="15" thickBot="1" x14ac:dyDescent="0.4">
      <c r="B367" s="348" t="s">
        <v>104</v>
      </c>
    </row>
    <row r="368" spans="1:14" x14ac:dyDescent="0.35">
      <c r="B368" s="84" t="s">
        <v>18</v>
      </c>
      <c r="C368" s="349" t="s">
        <v>19</v>
      </c>
      <c r="D368" s="350" t="s">
        <v>25</v>
      </c>
      <c r="E368" s="350" t="s">
        <v>20</v>
      </c>
      <c r="F368" s="826" t="s">
        <v>22</v>
      </c>
      <c r="G368" s="826"/>
      <c r="H368" s="351" t="s">
        <v>23</v>
      </c>
      <c r="I368" s="350" t="s">
        <v>21</v>
      </c>
      <c r="J368" s="350" t="s">
        <v>24</v>
      </c>
      <c r="K368" s="350" t="s">
        <v>77</v>
      </c>
      <c r="L368" s="352" t="s">
        <v>26</v>
      </c>
      <c r="M368" s="4" t="s">
        <v>27</v>
      </c>
      <c r="N368" s="4" t="s">
        <v>0</v>
      </c>
    </row>
    <row r="369" spans="1:14" ht="15" thickBot="1" x14ac:dyDescent="0.4">
      <c r="B369" s="22" t="s">
        <v>306</v>
      </c>
      <c r="C369" s="353" t="s">
        <v>28</v>
      </c>
      <c r="D369" s="354" t="s">
        <v>33</v>
      </c>
      <c r="E369" s="354" t="s">
        <v>29</v>
      </c>
      <c r="F369" s="827" t="s">
        <v>30</v>
      </c>
      <c r="G369" s="827"/>
      <c r="H369" s="355" t="s">
        <v>31</v>
      </c>
      <c r="I369" s="354"/>
      <c r="J369" s="354" t="s">
        <v>38</v>
      </c>
      <c r="K369" s="354" t="s">
        <v>189</v>
      </c>
      <c r="L369" s="356" t="s">
        <v>0</v>
      </c>
      <c r="M369" s="5" t="s">
        <v>0</v>
      </c>
      <c r="N369" s="5" t="s">
        <v>77</v>
      </c>
    </row>
    <row r="370" spans="1:14" x14ac:dyDescent="0.35">
      <c r="A370" s="100">
        <v>1</v>
      </c>
      <c r="B370" s="474"/>
      <c r="C370" s="358"/>
      <c r="D370" s="359" t="str">
        <f>IF(B370=0," ",'kt info'!$G$37)</f>
        <v xml:space="preserve"> </v>
      </c>
      <c r="E370" s="360" t="str">
        <f>IF(B370=0," ",VLOOKUP(B370,WageBeneTable5[#All],2,FALSE))</f>
        <v xml:space="preserve"> </v>
      </c>
      <c r="F370" s="820">
        <f>IF($E370=" ",0,'Pay &amp; Benefits'!$C$10)</f>
        <v>0</v>
      </c>
      <c r="G370" s="821"/>
      <c r="H370" s="361" t="str">
        <f>IF($E370=" "," ",'Pay &amp; Benefits'!$C$11)</f>
        <v xml:space="preserve"> </v>
      </c>
      <c r="I370" s="362" t="str">
        <f t="shared" ref="I370:I379" si="39">IF(E370=" "," ",0.0765)</f>
        <v xml:space="preserve"> </v>
      </c>
      <c r="J370" s="363" t="str">
        <f>IF(B370=0," ",VLOOKUP(B370,WageBeneTable5[#All],3,FALSE))</f>
        <v xml:space="preserve"> </v>
      </c>
      <c r="K370" s="360" t="str">
        <f t="shared" ref="K370:K379" si="40">IF(B370=0," ",C370*E370*(1+I370+F370+H370+J370))</f>
        <v xml:space="preserve"> </v>
      </c>
      <c r="L370" s="360">
        <f t="shared" ref="L370:L379" si="41">IF(K370=" ",0,K370*D370)</f>
        <v>0</v>
      </c>
      <c r="M370" s="364">
        <f t="shared" ref="M370:M379" si="42">IF(B370=0,0,C370*D370)</f>
        <v>0</v>
      </c>
      <c r="N370" s="365">
        <f t="shared" ref="N370:N379" si="43">IF(L370=0,0,IF(D370=0,0,L370/D370))</f>
        <v>0</v>
      </c>
    </row>
    <row r="371" spans="1:14" x14ac:dyDescent="0.35">
      <c r="A371" s="100">
        <v>2</v>
      </c>
      <c r="B371" s="437"/>
      <c r="C371" s="367"/>
      <c r="D371" s="359" t="str">
        <f>IF(B371=0," ",'kt info'!$G$37)</f>
        <v xml:space="preserve"> </v>
      </c>
      <c r="E371" s="368" t="str">
        <f>IF(B371=0," ",VLOOKUP(B371,WageBeneTable5[#All],2,FALSE))</f>
        <v xml:space="preserve"> </v>
      </c>
      <c r="F371" s="822">
        <f>IF($E371=" ",0,'Pay &amp; Benefits'!$C$10)</f>
        <v>0</v>
      </c>
      <c r="G371" s="823"/>
      <c r="H371" s="369" t="str">
        <f>IF($E371=" "," ",'Pay &amp; Benefits'!$C$11)</f>
        <v xml:space="preserve"> </v>
      </c>
      <c r="I371" s="370" t="str">
        <f t="shared" si="39"/>
        <v xml:space="preserve"> </v>
      </c>
      <c r="J371" s="371" t="str">
        <f>IF(B371=0," ",VLOOKUP(B371,WageBeneTable5[#All],3,FALSE))</f>
        <v xml:space="preserve"> </v>
      </c>
      <c r="K371" s="368" t="str">
        <f t="shared" si="40"/>
        <v xml:space="preserve"> </v>
      </c>
      <c r="L371" s="368">
        <f t="shared" si="41"/>
        <v>0</v>
      </c>
      <c r="M371" s="372">
        <f t="shared" si="42"/>
        <v>0</v>
      </c>
      <c r="N371" s="373">
        <f t="shared" si="43"/>
        <v>0</v>
      </c>
    </row>
    <row r="372" spans="1:14" x14ac:dyDescent="0.35">
      <c r="A372" s="100">
        <v>3</v>
      </c>
      <c r="B372" s="437"/>
      <c r="C372" s="367"/>
      <c r="D372" s="359" t="str">
        <f>IF(B372=0," ",'kt info'!$G$37)</f>
        <v xml:space="preserve"> </v>
      </c>
      <c r="E372" s="368" t="str">
        <f>IF(B372=0," ",VLOOKUP(B372,WageBeneTable5[#All],2,FALSE))</f>
        <v xml:space="preserve"> </v>
      </c>
      <c r="F372" s="822">
        <f>IF($E372=" ",0,'Pay &amp; Benefits'!$C$10)</f>
        <v>0</v>
      </c>
      <c r="G372" s="823"/>
      <c r="H372" s="369" t="str">
        <f>IF($E372=" "," ",'Pay &amp; Benefits'!$C$11)</f>
        <v xml:space="preserve"> </v>
      </c>
      <c r="I372" s="370" t="str">
        <f t="shared" si="39"/>
        <v xml:space="preserve"> </v>
      </c>
      <c r="J372" s="371" t="str">
        <f>IF(B372=0," ",VLOOKUP(B372,WageBeneTable5[#All],3,FALSE))</f>
        <v xml:space="preserve"> </v>
      </c>
      <c r="K372" s="368" t="str">
        <f t="shared" si="40"/>
        <v xml:space="preserve"> </v>
      </c>
      <c r="L372" s="368">
        <f t="shared" si="41"/>
        <v>0</v>
      </c>
      <c r="M372" s="372">
        <f t="shared" si="42"/>
        <v>0</v>
      </c>
      <c r="N372" s="373">
        <f t="shared" si="43"/>
        <v>0</v>
      </c>
    </row>
    <row r="373" spans="1:14" x14ac:dyDescent="0.35">
      <c r="A373" s="100">
        <v>4</v>
      </c>
      <c r="B373" s="437"/>
      <c r="C373" s="367"/>
      <c r="D373" s="359" t="str">
        <f>IF(B373=0," ",'kt info'!$G$37)</f>
        <v xml:space="preserve"> </v>
      </c>
      <c r="E373" s="368" t="str">
        <f>IF(B373=0," ",VLOOKUP(B373,WageBeneTable5[#All],2,FALSE))</f>
        <v xml:space="preserve"> </v>
      </c>
      <c r="F373" s="822">
        <f>IF($E373=" ",0,'Pay &amp; Benefits'!$C$10)</f>
        <v>0</v>
      </c>
      <c r="G373" s="823"/>
      <c r="H373" s="369" t="str">
        <f>IF($E373=" "," ",'Pay &amp; Benefits'!$C$11)</f>
        <v xml:space="preserve"> </v>
      </c>
      <c r="I373" s="370" t="str">
        <f t="shared" si="39"/>
        <v xml:space="preserve"> </v>
      </c>
      <c r="J373" s="371" t="str">
        <f>IF(B373=0," ",VLOOKUP(B373,WageBeneTable5[#All],3,FALSE))</f>
        <v xml:space="preserve"> </v>
      </c>
      <c r="K373" s="368" t="str">
        <f t="shared" si="40"/>
        <v xml:space="preserve"> </v>
      </c>
      <c r="L373" s="368">
        <f t="shared" si="41"/>
        <v>0</v>
      </c>
      <c r="M373" s="372">
        <f t="shared" si="42"/>
        <v>0</v>
      </c>
      <c r="N373" s="373">
        <f t="shared" si="43"/>
        <v>0</v>
      </c>
    </row>
    <row r="374" spans="1:14" ht="15" thickBot="1" x14ac:dyDescent="0.4">
      <c r="A374" s="100">
        <v>5</v>
      </c>
      <c r="B374" s="439"/>
      <c r="C374" s="375"/>
      <c r="D374" s="376" t="str">
        <f>IF(B374=0," ",'kt info'!$G$37)</f>
        <v xml:space="preserve"> </v>
      </c>
      <c r="E374" s="377" t="str">
        <f>IF(B374=0," ",VLOOKUP(B374,WageBeneTable5[#All],2,FALSE))</f>
        <v xml:space="preserve"> </v>
      </c>
      <c r="F374" s="813">
        <f>IF($E374=" ",0,'Pay &amp; Benefits'!$C$10)</f>
        <v>0</v>
      </c>
      <c r="G374" s="814"/>
      <c r="H374" s="378" t="str">
        <f>IF($E374=" "," ",'Pay &amp; Benefits'!$C$11)</f>
        <v xml:space="preserve"> </v>
      </c>
      <c r="I374" s="379" t="str">
        <f t="shared" si="39"/>
        <v xml:space="preserve"> </v>
      </c>
      <c r="J374" s="380" t="str">
        <f>IF(B374=0," ",VLOOKUP(B374,WageBeneTable5[#All],3,FALSE))</f>
        <v xml:space="preserve"> </v>
      </c>
      <c r="K374" s="377" t="str">
        <f t="shared" si="40"/>
        <v xml:space="preserve"> </v>
      </c>
      <c r="L374" s="377">
        <f t="shared" si="41"/>
        <v>0</v>
      </c>
      <c r="M374" s="381">
        <f t="shared" si="42"/>
        <v>0</v>
      </c>
      <c r="N374" s="382">
        <f t="shared" si="43"/>
        <v>0</v>
      </c>
    </row>
    <row r="375" spans="1:14" x14ac:dyDescent="0.35">
      <c r="A375" s="100">
        <v>6</v>
      </c>
      <c r="B375" s="474"/>
      <c r="C375" s="383"/>
      <c r="D375" s="384" t="str">
        <f>IF(B375=0," ",'kt info'!$G$37)</f>
        <v xml:space="preserve"> </v>
      </c>
      <c r="E375" s="385" t="str">
        <f>IF(B375=0," ",VLOOKUP(B375,WageBeneTable5[#All],2,FALSE))</f>
        <v xml:space="preserve"> </v>
      </c>
      <c r="F375" s="820">
        <f>IF($E375=" ",0,'Pay &amp; Benefits'!$C$10)</f>
        <v>0</v>
      </c>
      <c r="G375" s="821"/>
      <c r="H375" s="386" t="str">
        <f>IF($E375=" "," ",'Pay &amp; Benefits'!$C$11)</f>
        <v xml:space="preserve"> </v>
      </c>
      <c r="I375" s="387" t="str">
        <f t="shared" si="39"/>
        <v xml:space="preserve"> </v>
      </c>
      <c r="J375" s="388" t="str">
        <f>IF(B375=0," ",VLOOKUP(B375,WageBeneTable5[#All],3,FALSE))</f>
        <v xml:space="preserve"> </v>
      </c>
      <c r="K375" s="385" t="str">
        <f t="shared" si="40"/>
        <v xml:space="preserve"> </v>
      </c>
      <c r="L375" s="385">
        <f t="shared" si="41"/>
        <v>0</v>
      </c>
      <c r="M375" s="389">
        <f t="shared" si="42"/>
        <v>0</v>
      </c>
      <c r="N375" s="390">
        <f t="shared" si="43"/>
        <v>0</v>
      </c>
    </row>
    <row r="376" spans="1:14" x14ac:dyDescent="0.35">
      <c r="A376" s="100">
        <v>7</v>
      </c>
      <c r="B376" s="437"/>
      <c r="C376" s="367"/>
      <c r="D376" s="384" t="str">
        <f>IF(B376=0," ",'kt info'!$G$37)</f>
        <v xml:space="preserve"> </v>
      </c>
      <c r="E376" s="385" t="str">
        <f>IF(B376=0," ",VLOOKUP(B376,WageBeneTable5[#All],2,FALSE))</f>
        <v xml:space="preserve"> </v>
      </c>
      <c r="F376" s="822">
        <f>IF($E376=" ",0,'Pay &amp; Benefits'!$C$10)</f>
        <v>0</v>
      </c>
      <c r="G376" s="823"/>
      <c r="H376" s="386" t="str">
        <f>IF($E376=" "," ",'Pay &amp; Benefits'!$C$11)</f>
        <v xml:space="preserve"> </v>
      </c>
      <c r="I376" s="387" t="str">
        <f t="shared" si="39"/>
        <v xml:space="preserve"> </v>
      </c>
      <c r="J376" s="388" t="str">
        <f>IF(B376=0," ",VLOOKUP(B376,WageBeneTable5[#All],3,FALSE))</f>
        <v xml:space="preserve"> </v>
      </c>
      <c r="K376" s="385" t="str">
        <f t="shared" si="40"/>
        <v xml:space="preserve"> </v>
      </c>
      <c r="L376" s="385">
        <f t="shared" si="41"/>
        <v>0</v>
      </c>
      <c r="M376" s="389">
        <f t="shared" si="42"/>
        <v>0</v>
      </c>
      <c r="N376" s="390">
        <f t="shared" si="43"/>
        <v>0</v>
      </c>
    </row>
    <row r="377" spans="1:14" x14ac:dyDescent="0.35">
      <c r="A377" s="100">
        <v>8</v>
      </c>
      <c r="B377" s="437"/>
      <c r="C377" s="367"/>
      <c r="D377" s="384" t="str">
        <f>IF(B377=0," ",'kt info'!$G$37)</f>
        <v xml:space="preserve"> </v>
      </c>
      <c r="E377" s="385" t="str">
        <f>IF(B377=0," ",VLOOKUP(B377,WageBeneTable5[#All],2,FALSE))</f>
        <v xml:space="preserve"> </v>
      </c>
      <c r="F377" s="822">
        <f>IF($E377=" ",0,'Pay &amp; Benefits'!$C$10)</f>
        <v>0</v>
      </c>
      <c r="G377" s="823"/>
      <c r="H377" s="386" t="str">
        <f>IF($E377=" "," ",'Pay &amp; Benefits'!$C$11)</f>
        <v xml:space="preserve"> </v>
      </c>
      <c r="I377" s="387" t="str">
        <f t="shared" si="39"/>
        <v xml:space="preserve"> </v>
      </c>
      <c r="J377" s="388" t="str">
        <f>IF(B377=0," ",VLOOKUP(B377,WageBeneTable5[#All],3,FALSE))</f>
        <v xml:space="preserve"> </v>
      </c>
      <c r="K377" s="385" t="str">
        <f t="shared" si="40"/>
        <v xml:space="preserve"> </v>
      </c>
      <c r="L377" s="385">
        <f t="shared" si="41"/>
        <v>0</v>
      </c>
      <c r="M377" s="389">
        <f t="shared" si="42"/>
        <v>0</v>
      </c>
      <c r="N377" s="390">
        <f t="shared" si="43"/>
        <v>0</v>
      </c>
    </row>
    <row r="378" spans="1:14" x14ac:dyDescent="0.35">
      <c r="A378" s="100">
        <v>9</v>
      </c>
      <c r="B378" s="437"/>
      <c r="C378" s="367"/>
      <c r="D378" s="384" t="str">
        <f>IF(B378=0," ",'kt info'!$G$37)</f>
        <v xml:space="preserve"> </v>
      </c>
      <c r="E378" s="385" t="str">
        <f>IF(B378=0," ",VLOOKUP(B378,WageBeneTable5[#All],2,FALSE))</f>
        <v xml:space="preserve"> </v>
      </c>
      <c r="F378" s="822">
        <f>IF($E378=" ",0,'Pay &amp; Benefits'!$C$10)</f>
        <v>0</v>
      </c>
      <c r="G378" s="823"/>
      <c r="H378" s="386" t="str">
        <f>IF($E378=" "," ",'Pay &amp; Benefits'!$C$11)</f>
        <v xml:space="preserve"> </v>
      </c>
      <c r="I378" s="387" t="str">
        <f t="shared" si="39"/>
        <v xml:space="preserve"> </v>
      </c>
      <c r="J378" s="388" t="str">
        <f>IF(B378=0," ",VLOOKUP(B378,WageBeneTable5[#All],3,FALSE))</f>
        <v xml:space="preserve"> </v>
      </c>
      <c r="K378" s="385" t="str">
        <f t="shared" si="40"/>
        <v xml:space="preserve"> </v>
      </c>
      <c r="L378" s="385">
        <f t="shared" si="41"/>
        <v>0</v>
      </c>
      <c r="M378" s="389">
        <f t="shared" si="42"/>
        <v>0</v>
      </c>
      <c r="N378" s="390">
        <f t="shared" si="43"/>
        <v>0</v>
      </c>
    </row>
    <row r="379" spans="1:14" ht="15" thickBot="1" x14ac:dyDescent="0.4">
      <c r="A379" s="100">
        <v>10</v>
      </c>
      <c r="B379" s="439"/>
      <c r="C379" s="375"/>
      <c r="D379" s="376" t="str">
        <f>IF(B379=0," ",'kt info'!$G$37)</f>
        <v xml:space="preserve"> </v>
      </c>
      <c r="E379" s="377" t="str">
        <f>IF(B379=0," ",VLOOKUP(B379,WageBeneTable5[#All],2,FALSE))</f>
        <v xml:space="preserve"> </v>
      </c>
      <c r="F379" s="813">
        <f>IF($E379=" ",0,'Pay &amp; Benefits'!$C$10)</f>
        <v>0</v>
      </c>
      <c r="G379" s="814"/>
      <c r="H379" s="378" t="str">
        <f>IF($E379=" "," ",'Pay &amp; Benefits'!$C$11)</f>
        <v xml:space="preserve"> </v>
      </c>
      <c r="I379" s="379" t="str">
        <f t="shared" si="39"/>
        <v xml:space="preserve"> </v>
      </c>
      <c r="J379" s="380" t="str">
        <f>IF(B379=0," ",VLOOKUP(B379,WageBeneTable5[#All],3,FALSE))</f>
        <v xml:space="preserve"> </v>
      </c>
      <c r="K379" s="377" t="str">
        <f t="shared" si="40"/>
        <v xml:space="preserve"> </v>
      </c>
      <c r="L379" s="377">
        <f t="shared" si="41"/>
        <v>0</v>
      </c>
      <c r="M379" s="381">
        <f t="shared" si="42"/>
        <v>0</v>
      </c>
      <c r="N379" s="382">
        <f t="shared" si="43"/>
        <v>0</v>
      </c>
    </row>
    <row r="380" spans="1:14" x14ac:dyDescent="0.35">
      <c r="K380" s="391"/>
      <c r="L380" s="392"/>
      <c r="M380" s="393"/>
    </row>
    <row r="381" spans="1:14" ht="15" thickBot="1" x14ac:dyDescent="0.4">
      <c r="B381" s="394" t="s">
        <v>203</v>
      </c>
      <c r="E381" s="395"/>
      <c r="H381" s="815" t="s">
        <v>199</v>
      </c>
      <c r="I381" s="816"/>
      <c r="M381" s="475"/>
      <c r="N381" s="100"/>
    </row>
    <row r="382" spans="1:14" x14ac:dyDescent="0.35">
      <c r="B382" s="32" t="s">
        <v>123</v>
      </c>
      <c r="C382" s="398" t="s">
        <v>239</v>
      </c>
      <c r="D382" s="399" t="s">
        <v>9</v>
      </c>
      <c r="E382" s="400" t="s">
        <v>83</v>
      </c>
      <c r="H382" s="303" t="s">
        <v>15</v>
      </c>
      <c r="I382" s="4" t="s">
        <v>85</v>
      </c>
      <c r="J382" s="4" t="s">
        <v>16</v>
      </c>
      <c r="K382" s="4" t="s">
        <v>241</v>
      </c>
      <c r="L382" s="4" t="s">
        <v>83</v>
      </c>
      <c r="M382" s="476"/>
      <c r="N382" s="477"/>
    </row>
    <row r="383" spans="1:14" ht="15" thickBot="1" x14ac:dyDescent="0.4">
      <c r="B383" s="33" t="s">
        <v>124</v>
      </c>
      <c r="C383" s="401" t="s">
        <v>84</v>
      </c>
      <c r="D383" s="402" t="s">
        <v>10</v>
      </c>
      <c r="E383" s="403" t="s">
        <v>84</v>
      </c>
      <c r="H383" s="304" t="s">
        <v>13</v>
      </c>
      <c r="I383" s="5" t="s">
        <v>86</v>
      </c>
      <c r="J383" s="5" t="s">
        <v>17</v>
      </c>
      <c r="K383" s="5" t="s">
        <v>12</v>
      </c>
      <c r="L383" s="5" t="s">
        <v>84</v>
      </c>
      <c r="M383" s="478"/>
      <c r="N383" s="479"/>
    </row>
    <row r="384" spans="1:14" x14ac:dyDescent="0.35">
      <c r="A384" s="100">
        <v>1</v>
      </c>
      <c r="B384" s="474"/>
      <c r="C384" s="406"/>
      <c r="D384" s="407">
        <f>IF(B384=0,0,VLOOKUP(B384,Supplies!$B$13:$C$97,2,FALSE))</f>
        <v>0</v>
      </c>
      <c r="E384" s="360">
        <f>IF(D384=" "," ",D384*C384)</f>
        <v>0</v>
      </c>
      <c r="G384" s="100">
        <v>1</v>
      </c>
      <c r="H384" s="408"/>
      <c r="I384" s="409"/>
      <c r="J384" s="410"/>
      <c r="K384" s="331" t="str">
        <f>IF(H384=0," ",IF(VLOOKUP(H384,'Equipment List'!$B$12:$F$96,5,FALSE)=0,0,IF(VLOOKUP(H384,'Equipment List'!$B$12:$F$96,5,FALSE)="Grant","Grant",IF(VLOOKUP(H384,'Equipment List'!$B$12:$F$96,5,FALSE)="Depreciated","Depreciated",VLOOKUP(H384,'Equipment List'!$B$12:$F$96,5,FALSE)*I384*J384))))</f>
        <v xml:space="preserve"> </v>
      </c>
      <c r="L384" s="365" t="str">
        <f>IF(K384=" "," ",IF(K384="Grant",0,IF(K384="Depreciated",0,IF('kt info'!$G$37=0,"No Service Frequency",K384/'kt info'!$G$37))))</f>
        <v xml:space="preserve"> </v>
      </c>
      <c r="M384" s="480"/>
      <c r="N384" s="404"/>
    </row>
    <row r="385" spans="1:14" x14ac:dyDescent="0.35">
      <c r="A385" s="100">
        <v>2</v>
      </c>
      <c r="B385" s="437"/>
      <c r="C385" s="414"/>
      <c r="D385" s="415">
        <f>IF(B385=0,0,VLOOKUP(B385,Supplies!$B$13:$C$97,2,FALSE))</f>
        <v>0</v>
      </c>
      <c r="E385" s="385">
        <f t="shared" ref="E385:E399" si="44">IF(D385=" "," ",D385*C385)</f>
        <v>0</v>
      </c>
      <c r="G385" s="100">
        <v>2</v>
      </c>
      <c r="H385" s="416"/>
      <c r="I385" s="417"/>
      <c r="J385" s="418"/>
      <c r="K385" s="421" t="str">
        <f>IF(H385=0," ",IF(VLOOKUP(H385,'Equipment List'!$B$12:$F$96,5,FALSE)=0,0,IF(VLOOKUP(H385,'Equipment List'!$B$12:$F$96,5,FALSE)="Grant","Grant",IF(VLOOKUP(H385,'Equipment List'!$B$12:$F$96,5,FALSE)="Depreciated","Depreciated",VLOOKUP(H385,'Equipment List'!$B$12:$F$96,5,FALSE)*I385*J385))))</f>
        <v xml:space="preserve"> </v>
      </c>
      <c r="L385" s="390" t="str">
        <f>IF(K385=" "," ",IF(K385="Grant",0,IF(K385="Depreciated",0,IF('kt info'!$G$37=0,"No Service Frequency",K385/'kt info'!$G$37))))</f>
        <v xml:space="preserve"> </v>
      </c>
    </row>
    <row r="386" spans="1:14" x14ac:dyDescent="0.35">
      <c r="A386" s="100">
        <v>3</v>
      </c>
      <c r="B386" s="437"/>
      <c r="C386" s="414"/>
      <c r="D386" s="415">
        <f>IF(B386=0,0,VLOOKUP(B386,Supplies!$B$13:$C$97,2,FALSE))</f>
        <v>0</v>
      </c>
      <c r="E386" s="385">
        <f t="shared" si="44"/>
        <v>0</v>
      </c>
      <c r="G386" s="100">
        <v>3</v>
      </c>
      <c r="H386" s="416"/>
      <c r="I386" s="417"/>
      <c r="J386" s="418"/>
      <c r="K386" s="421" t="str">
        <f>IF(H386=0," ",IF(VLOOKUP(H386,'Equipment List'!$B$12:$F$96,5,FALSE)=0,0,IF(VLOOKUP(H386,'Equipment List'!$B$12:$F$96,5,FALSE)="Grant","Grant",IF(VLOOKUP(H386,'Equipment List'!$B$12:$F$96,5,FALSE)="Depreciated","Depreciated",VLOOKUP(H386,'Equipment List'!$B$12:$F$96,5,FALSE)*I386*J386))))</f>
        <v xml:space="preserve"> </v>
      </c>
      <c r="L386" s="390" t="str">
        <f>IF(K386=" "," ",IF(K386="Grant",0,IF(K386="Depreciated",0,IF('kt info'!$G$37=0,"No Service Frequency",K386/'kt info'!$G$37))))</f>
        <v xml:space="preserve"> </v>
      </c>
    </row>
    <row r="387" spans="1:14" x14ac:dyDescent="0.35">
      <c r="A387" s="100">
        <v>4</v>
      </c>
      <c r="B387" s="437"/>
      <c r="C387" s="414"/>
      <c r="D387" s="415">
        <f>IF(B387=0,0,VLOOKUP(B387,Supplies!$B$13:$C$97,2,FALSE))</f>
        <v>0</v>
      </c>
      <c r="E387" s="385">
        <f t="shared" si="44"/>
        <v>0</v>
      </c>
      <c r="G387" s="100">
        <v>4</v>
      </c>
      <c r="H387" s="416"/>
      <c r="I387" s="417"/>
      <c r="J387" s="418"/>
      <c r="K387" s="421" t="str">
        <f>IF(H387=0," ",IF(VLOOKUP(H387,'Equipment List'!$B$12:$F$96,5,FALSE)=0,0,IF(VLOOKUP(H387,'Equipment List'!$B$12:$F$96,5,FALSE)="Grant","Grant",IF(VLOOKUP(H387,'Equipment List'!$B$12:$F$96,5,FALSE)="Depreciated","Depreciated",VLOOKUP(H387,'Equipment List'!$B$12:$F$96,5,FALSE)*I387*J387))))</f>
        <v xml:space="preserve"> </v>
      </c>
      <c r="L387" s="390" t="str">
        <f>IF(K387=" "," ",IF(K387="Grant",0,IF(K387="Depreciated",0,IF('kt info'!$G$37=0,"No Service Frequency",K387/'kt info'!$G$37))))</f>
        <v xml:space="preserve"> </v>
      </c>
    </row>
    <row r="388" spans="1:14" ht="15" thickBot="1" x14ac:dyDescent="0.4">
      <c r="A388" s="100">
        <v>5</v>
      </c>
      <c r="B388" s="439"/>
      <c r="C388" s="423"/>
      <c r="D388" s="424">
        <f>IF(B388=0,0,VLOOKUP(B388,Supplies!$B$13:$C$97,2,FALSE))</f>
        <v>0</v>
      </c>
      <c r="E388" s="377">
        <f t="shared" si="44"/>
        <v>0</v>
      </c>
      <c r="G388" s="100">
        <v>5</v>
      </c>
      <c r="H388" s="425"/>
      <c r="I388" s="426"/>
      <c r="J388" s="427"/>
      <c r="K388" s="428" t="str">
        <f>IF(H388=0," ",IF(VLOOKUP(H388,'Equipment List'!$B$12:$F$96,5,FALSE)=0,0,IF(VLOOKUP(H388,'Equipment List'!$B$12:$F$96,5,FALSE)="Grant","Grant",IF(VLOOKUP(H388,'Equipment List'!$B$12:$F$96,5,FALSE)="Depreciated","Depreciated",VLOOKUP(H388,'Equipment List'!$B$12:$F$96,5,FALSE)*I388*J388))))</f>
        <v xml:space="preserve"> </v>
      </c>
      <c r="L388" s="382" t="str">
        <f>IF(K388=" "," ",IF(K388="Grant",0,IF(K388="Depreciated",0,IF('kt info'!$G$37=0,"No Service Frequency",K388/'kt info'!$G$37))))</f>
        <v xml:space="preserve"> </v>
      </c>
    </row>
    <row r="389" spans="1:14" x14ac:dyDescent="0.35">
      <c r="A389" s="100">
        <v>6</v>
      </c>
      <c r="B389" s="433"/>
      <c r="C389" s="431"/>
      <c r="D389" s="432">
        <f>IF(B389=0,0,VLOOKUP(B389,Supplies!$B$13:$C$97,2,FALSE))</f>
        <v>0</v>
      </c>
      <c r="E389" s="385">
        <f t="shared" si="44"/>
        <v>0</v>
      </c>
      <c r="G389" s="100">
        <v>6</v>
      </c>
      <c r="H389" s="433"/>
      <c r="I389" s="434"/>
      <c r="J389" s="435"/>
      <c r="K389" s="436" t="str">
        <f>IF(H389=0," ",IF(VLOOKUP(H389,'Equipment List'!$B$12:$F$96,5,FALSE)=0,0,IF(VLOOKUP(H389,'Equipment List'!$B$12:$F$96,5,FALSE)="Grant","Grant",IF(VLOOKUP(H389,'Equipment List'!$B$12:$F$96,5,FALSE)="Depreciated","Depreciated",VLOOKUP(H389,'Equipment List'!$B$12:$F$96,5,FALSE)*I389*J389))))</f>
        <v xml:space="preserve"> </v>
      </c>
      <c r="L389" s="390" t="str">
        <f>IF(K389=" "," ",IF(K389="Grant",0,IF(K389="Depreciated",0,IF('kt info'!$G$37=0,"No Service Frequency",K389/'kt info'!$G$37))))</f>
        <v xml:space="preserve"> </v>
      </c>
    </row>
    <row r="390" spans="1:14" x14ac:dyDescent="0.35">
      <c r="A390" s="100">
        <v>7</v>
      </c>
      <c r="B390" s="437"/>
      <c r="C390" s="414"/>
      <c r="D390" s="415">
        <f>IF(B390=0,0,VLOOKUP(B390,Supplies!$B$13:$C$97,2,FALSE))</f>
        <v>0</v>
      </c>
      <c r="E390" s="385">
        <f t="shared" si="44"/>
        <v>0</v>
      </c>
      <c r="G390" s="100">
        <v>7</v>
      </c>
      <c r="H390" s="437"/>
      <c r="I390" s="417"/>
      <c r="J390" s="418"/>
      <c r="K390" s="438" t="str">
        <f>IF(H390=0," ",IF(VLOOKUP(H390,'Equipment List'!$B$12:$F$96,5,FALSE)=0,0,IF(VLOOKUP(H390,'Equipment List'!$B$12:$F$96,5,FALSE)="Grant","Grant",IF(VLOOKUP(H390,'Equipment List'!$B$12:$F$96,5,FALSE)="Depreciated","Depreciated",VLOOKUP(H390,'Equipment List'!$B$12:$F$96,5,FALSE)*I390*J390))))</f>
        <v xml:space="preserve"> </v>
      </c>
      <c r="L390" s="390" t="str">
        <f>IF(K390=" "," ",IF(K390="Grant",0,IF(K390="Depreciated",0,IF('kt info'!$G$37=0,"No Service Frequency",K390/'kt info'!$G$37))))</f>
        <v xml:space="preserve"> </v>
      </c>
    </row>
    <row r="391" spans="1:14" x14ac:dyDescent="0.35">
      <c r="A391" s="100">
        <v>8</v>
      </c>
      <c r="B391" s="437"/>
      <c r="C391" s="414"/>
      <c r="D391" s="415">
        <f>IF(B391=0,0,VLOOKUP(B391,Supplies!$B$13:$C$97,2,FALSE))</f>
        <v>0</v>
      </c>
      <c r="E391" s="385">
        <f t="shared" si="44"/>
        <v>0</v>
      </c>
      <c r="G391" s="100">
        <v>8</v>
      </c>
      <c r="H391" s="437"/>
      <c r="I391" s="417"/>
      <c r="J391" s="418"/>
      <c r="K391" s="438" t="str">
        <f>IF(H391=0," ",IF(VLOOKUP(H391,'Equipment List'!$B$12:$F$96,5,FALSE)=0,0,IF(VLOOKUP(H391,'Equipment List'!$B$12:$F$96,5,FALSE)="Grant","Grant",IF(VLOOKUP(H391,'Equipment List'!$B$12:$F$96,5,FALSE)="Depreciated","Depreciated",VLOOKUP(H391,'Equipment List'!$B$12:$F$96,5,FALSE)*I391*J391))))</f>
        <v xml:space="preserve"> </v>
      </c>
      <c r="L391" s="390" t="str">
        <f>IF(K391=" "," ",IF(K391="Grant",0,IF(K391="Depreciated",0,IF('kt info'!$G$37=0,"No Service Frequency",K391/'kt info'!$G$37))))</f>
        <v xml:space="preserve"> </v>
      </c>
    </row>
    <row r="392" spans="1:14" x14ac:dyDescent="0.35">
      <c r="A392" s="100">
        <v>9</v>
      </c>
      <c r="B392" s="437"/>
      <c r="C392" s="414"/>
      <c r="D392" s="415">
        <f>IF(B392=0,0,VLOOKUP(B392,Supplies!$B$13:$C$97,2,FALSE))</f>
        <v>0</v>
      </c>
      <c r="E392" s="385">
        <f t="shared" si="44"/>
        <v>0</v>
      </c>
      <c r="G392" s="100">
        <v>9</v>
      </c>
      <c r="H392" s="437"/>
      <c r="I392" s="417"/>
      <c r="J392" s="418"/>
      <c r="K392" s="438" t="str">
        <f>IF(H392=0," ",IF(VLOOKUP(H392,'Equipment List'!$B$12:$F$96,5,FALSE)=0,0,IF(VLOOKUP(H392,'Equipment List'!$B$12:$F$96,5,FALSE)="Grant","Grant",IF(VLOOKUP(H392,'Equipment List'!$B$12:$F$96,5,FALSE)="Depreciated","Depreciated",VLOOKUP(H392,'Equipment List'!$B$12:$F$96,5,FALSE)*I392*J392))))</f>
        <v xml:space="preserve"> </v>
      </c>
      <c r="L392" s="390" t="str">
        <f>IF(K392=" "," ",IF(K392="Grant",0,IF(K392="Depreciated",0,IF('kt info'!$G$37=0,"No Service Frequency",K392/'kt info'!$G$37))))</f>
        <v xml:space="preserve"> </v>
      </c>
    </row>
    <row r="393" spans="1:14" ht="15" thickBot="1" x14ac:dyDescent="0.4">
      <c r="A393" s="100">
        <v>10</v>
      </c>
      <c r="B393" s="439"/>
      <c r="C393" s="423"/>
      <c r="D393" s="424">
        <f>IF(B393=0,0,VLOOKUP(B393,Supplies!$B$13:$C$97,2,FALSE))</f>
        <v>0</v>
      </c>
      <c r="E393" s="377">
        <f t="shared" si="44"/>
        <v>0</v>
      </c>
      <c r="G393" s="100">
        <v>10</v>
      </c>
      <c r="H393" s="439"/>
      <c r="I393" s="426"/>
      <c r="J393" s="427"/>
      <c r="K393" s="440" t="str">
        <f>IF(H393=0," ",IF(VLOOKUP(H393,'Equipment List'!$B$12:$F$96,5,FALSE)=0,0,IF(VLOOKUP(H393,'Equipment List'!$B$12:$F$96,5,FALSE)="Grant","Grant",IF(VLOOKUP(H393,'Equipment List'!$B$12:$F$96,5,FALSE)="Depreciated","Depreciated",VLOOKUP(H393,'Equipment List'!$B$12:$F$96,5,FALSE)*I393*J393))))</f>
        <v xml:space="preserve"> </v>
      </c>
      <c r="L393" s="382" t="str">
        <f>IF(K393=" "," ",IF(K393="Grant",0,IF(K393="Depreciated",0,IF('kt info'!$G$37=0,"No Service Frequency",K393/'kt info'!$G$37))))</f>
        <v xml:space="preserve"> </v>
      </c>
    </row>
    <row r="394" spans="1:14" x14ac:dyDescent="0.35">
      <c r="A394" s="100">
        <v>11</v>
      </c>
      <c r="B394" s="433"/>
      <c r="C394" s="431"/>
      <c r="D394" s="432">
        <f>IF(B394=0,0,VLOOKUP(B394,Supplies!$B$13:$C$97,2,FALSE))</f>
        <v>0</v>
      </c>
      <c r="E394" s="385">
        <f t="shared" si="44"/>
        <v>0</v>
      </c>
    </row>
    <row r="395" spans="1:14" ht="15" thickBot="1" x14ac:dyDescent="0.4">
      <c r="A395" s="100">
        <v>12</v>
      </c>
      <c r="B395" s="437"/>
      <c r="C395" s="414"/>
      <c r="D395" s="415">
        <f>IF(B395=0,0,VLOOKUP(B395,Supplies!$B$13:$C$97,2,FALSE))</f>
        <v>0</v>
      </c>
      <c r="E395" s="385">
        <f t="shared" si="44"/>
        <v>0</v>
      </c>
      <c r="H395" s="817" t="s">
        <v>200</v>
      </c>
      <c r="I395" s="816"/>
      <c r="J395" s="354"/>
      <c r="K395" s="354"/>
      <c r="L395" s="354"/>
      <c r="M395" s="354"/>
    </row>
    <row r="396" spans="1:14" x14ac:dyDescent="0.35">
      <c r="A396" s="100">
        <v>13</v>
      </c>
      <c r="B396" s="437"/>
      <c r="C396" s="414"/>
      <c r="D396" s="415">
        <f>IF(B396=0,0,VLOOKUP(B396,Supplies!$B$13:$C$97,2,FALSE))</f>
        <v>0</v>
      </c>
      <c r="E396" s="385">
        <f t="shared" si="44"/>
        <v>0</v>
      </c>
      <c r="H396" s="441" t="s">
        <v>159</v>
      </c>
      <c r="I396" s="4" t="s">
        <v>92</v>
      </c>
      <c r="J396" s="4" t="s">
        <v>300</v>
      </c>
      <c r="K396" s="350" t="s">
        <v>93</v>
      </c>
      <c r="L396" s="4" t="s">
        <v>12</v>
      </c>
      <c r="M396" s="4" t="s">
        <v>12</v>
      </c>
      <c r="N396" s="481"/>
    </row>
    <row r="397" spans="1:14" ht="15" thickBot="1" x14ac:dyDescent="0.4">
      <c r="A397" s="100">
        <v>14</v>
      </c>
      <c r="B397" s="437"/>
      <c r="C397" s="414"/>
      <c r="D397" s="415">
        <f>IF(B397=0,0,VLOOKUP(B397,Supplies!$B$13:$C$97,2,FALSE))</f>
        <v>0</v>
      </c>
      <c r="E397" s="385">
        <f t="shared" si="44"/>
        <v>0</v>
      </c>
      <c r="H397" s="305" t="s">
        <v>13</v>
      </c>
      <c r="I397" s="5" t="s">
        <v>301</v>
      </c>
      <c r="J397" s="5" t="s">
        <v>169</v>
      </c>
      <c r="K397" s="354" t="s">
        <v>94</v>
      </c>
      <c r="L397" s="5" t="s">
        <v>302</v>
      </c>
      <c r="M397" s="5" t="s">
        <v>240</v>
      </c>
      <c r="N397" s="481"/>
    </row>
    <row r="398" spans="1:14" ht="15" thickBot="1" x14ac:dyDescent="0.4">
      <c r="A398" s="100">
        <v>15</v>
      </c>
      <c r="B398" s="439"/>
      <c r="C398" s="442"/>
      <c r="D398" s="443">
        <f>IF(B398=0,0,VLOOKUP(B398,Supplies!$B$13:$C$97,2,FALSE))</f>
        <v>0</v>
      </c>
      <c r="E398" s="377">
        <f t="shared" si="44"/>
        <v>0</v>
      </c>
      <c r="G398" s="393"/>
      <c r="H398" s="258"/>
      <c r="I398" s="444"/>
      <c r="J398" s="445"/>
      <c r="K398" s="446">
        <f>IF(H398=0,0,VLOOKUP(H398,Transportation!$B$6:$L$16,11,FALSE))</f>
        <v>0</v>
      </c>
      <c r="L398" s="447">
        <f>IF(I398=0,0,I398*K398)</f>
        <v>0</v>
      </c>
      <c r="M398" s="448">
        <f>IF(I398=0,0,I398*K398*J398)</f>
        <v>0</v>
      </c>
      <c r="N398" s="487"/>
    </row>
    <row r="399" spans="1:14" ht="15" thickBot="1" x14ac:dyDescent="0.4">
      <c r="A399" s="100">
        <v>16</v>
      </c>
      <c r="B399" s="433"/>
      <c r="C399" s="449"/>
      <c r="D399" s="450">
        <f>IF(B399=0,0,VLOOKUP(B399,Supplies!$B$13:$C$97,2,FALSE))</f>
        <v>0</v>
      </c>
      <c r="E399" s="385">
        <f t="shared" si="44"/>
        <v>0</v>
      </c>
      <c r="H399" s="259"/>
      <c r="I399" s="451"/>
      <c r="J399" s="452"/>
      <c r="K399" s="453">
        <f>IF(H399=0,0,VLOOKUP(H399,Transportation!$B$6:$L$16,11,FALSE))</f>
        <v>0</v>
      </c>
      <c r="L399" s="454">
        <f>IF(I399=0,0,I399*K399)</f>
        <v>0</v>
      </c>
      <c r="M399" s="455">
        <f>IF(I399=0,0,I399*K399*J399)</f>
        <v>0</v>
      </c>
      <c r="N399" s="487"/>
    </row>
    <row r="400" spans="1:14" x14ac:dyDescent="0.35">
      <c r="A400" s="100">
        <v>17</v>
      </c>
      <c r="B400" s="437"/>
      <c r="C400" s="456"/>
      <c r="D400" s="457">
        <f>IF(B400=0,0,VLOOKUP(B400,Supplies!$B$13:$C$97,2,FALSE))</f>
        <v>0</v>
      </c>
      <c r="E400" s="385">
        <f>IF(D400=" "," ",D400*C400)</f>
        <v>0</v>
      </c>
      <c r="H400" s="260"/>
      <c r="I400" s="458"/>
      <c r="J400" s="459"/>
      <c r="K400" s="460"/>
      <c r="L400" s="460"/>
      <c r="M400" s="460"/>
      <c r="N400" s="483"/>
    </row>
    <row r="401" spans="1:14" ht="15" thickBot="1" x14ac:dyDescent="0.4">
      <c r="A401" s="100">
        <v>18</v>
      </c>
      <c r="B401" s="437"/>
      <c r="C401" s="456"/>
      <c r="D401" s="457">
        <f>IF(B401=0,0,VLOOKUP(B401,Supplies!$B$13:$C$97,2,FALSE))</f>
        <v>0</v>
      </c>
      <c r="E401" s="385">
        <f>IF(D401=" "," ",D401*C401)</f>
        <v>0</v>
      </c>
      <c r="H401" s="461" t="s">
        <v>201</v>
      </c>
      <c r="I401" s="462"/>
      <c r="J401" s="463"/>
      <c r="K401" s="464"/>
      <c r="L401" s="464"/>
      <c r="M401" s="464"/>
      <c r="N401" s="483"/>
    </row>
    <row r="402" spans="1:14" x14ac:dyDescent="0.35">
      <c r="A402" s="100">
        <v>19</v>
      </c>
      <c r="B402" s="437"/>
      <c r="C402" s="456"/>
      <c r="D402" s="457">
        <f>IF(B402=0,0,VLOOKUP(B402,Supplies!$B$13:$C$97,2,FALSE))</f>
        <v>0</v>
      </c>
      <c r="E402" s="385">
        <f>IF(D402=" "," ",D402*C402)</f>
        <v>0</v>
      </c>
      <c r="H402" s="465" t="s">
        <v>202</v>
      </c>
      <c r="I402" s="466" t="s">
        <v>204</v>
      </c>
      <c r="J402" s="463"/>
      <c r="K402" s="464"/>
      <c r="L402" s="464"/>
      <c r="M402" s="464"/>
      <c r="N402" s="483"/>
    </row>
    <row r="403" spans="1:14" ht="15" thickBot="1" x14ac:dyDescent="0.4">
      <c r="A403" s="100">
        <v>20</v>
      </c>
      <c r="B403" s="439"/>
      <c r="C403" s="442"/>
      <c r="D403" s="443">
        <f>IF(B403=0,0,VLOOKUP(B403,Supplies!$B$13:$C$97,2,FALSE))</f>
        <v>0</v>
      </c>
      <c r="E403" s="377">
        <f>IF(D403=" "," ",D403*C403)</f>
        <v>0</v>
      </c>
      <c r="H403" s="467"/>
      <c r="I403" s="484" t="str">
        <f>IF(H403=0," ",VLOOKUP(H403,Subcontractors!$B$15:$E$25,4))</f>
        <v xml:space="preserve"> </v>
      </c>
      <c r="J403" s="463"/>
      <c r="K403" s="464"/>
      <c r="L403" s="464"/>
      <c r="M403" s="464"/>
    </row>
    <row r="404" spans="1:14" ht="15" thickBot="1" x14ac:dyDescent="0.4">
      <c r="A404" s="100"/>
      <c r="B404" s="335"/>
      <c r="C404" s="485"/>
      <c r="D404" s="397"/>
      <c r="E404" s="397"/>
      <c r="H404" s="469"/>
      <c r="I404" s="486" t="str">
        <f>IF(H404=0," ",VLOOKUP(H404,Subcontractors!$B$15:$E$25,4))</f>
        <v xml:space="preserve"> </v>
      </c>
    </row>
    <row r="405" spans="1:14" x14ac:dyDescent="0.35">
      <c r="A405" s="100"/>
      <c r="B405" s="335"/>
      <c r="C405" s="485"/>
      <c r="D405" s="397"/>
      <c r="E405" s="397"/>
      <c r="H405" s="473"/>
      <c r="I405" s="404"/>
    </row>
    <row r="406" spans="1:14" ht="21" x14ac:dyDescent="0.35">
      <c r="A406" s="818" t="s">
        <v>191</v>
      </c>
      <c r="B406" s="833"/>
      <c r="C406" s="833"/>
      <c r="D406" s="833"/>
      <c r="E406" s="833"/>
      <c r="F406" s="833"/>
      <c r="G406" s="150" t="str">
        <f>B357</f>
        <v>High Dusting</v>
      </c>
      <c r="H406" s="301"/>
      <c r="I406" s="149"/>
      <c r="J406" s="149"/>
      <c r="K406" s="149"/>
      <c r="L406" s="149"/>
      <c r="M406" s="149"/>
      <c r="N406" s="149"/>
    </row>
    <row r="407" spans="1:14" ht="18.5" x14ac:dyDescent="0.35">
      <c r="A407" s="818" t="s">
        <v>193</v>
      </c>
      <c r="B407" s="828"/>
      <c r="C407" s="828"/>
      <c r="D407" s="828"/>
      <c r="E407" s="828"/>
      <c r="F407" s="828"/>
      <c r="G407" s="150" t="str">
        <f>B415</f>
        <v>Enter Periodical Service 1</v>
      </c>
      <c r="H407" s="301"/>
      <c r="I407" s="150"/>
      <c r="J407" s="150"/>
      <c r="K407" s="150"/>
      <c r="L407" s="150"/>
      <c r="M407" s="150"/>
      <c r="N407" s="150"/>
    </row>
    <row r="409" spans="1:14" x14ac:dyDescent="0.35">
      <c r="B409" s="222" t="s">
        <v>109</v>
      </c>
      <c r="C409" s="741">
        <f>'kt info'!$C$3</f>
        <v>0</v>
      </c>
      <c r="D409" s="824"/>
      <c r="E409" s="824"/>
      <c r="F409" s="825"/>
      <c r="H409" s="333"/>
      <c r="J409" s="811" t="s">
        <v>170</v>
      </c>
      <c r="K409" s="708"/>
      <c r="L409" s="708"/>
      <c r="M409" s="708"/>
    </row>
    <row r="410" spans="1:14" x14ac:dyDescent="0.35">
      <c r="C410" s="300"/>
      <c r="D410" s="100"/>
      <c r="E410" s="100"/>
      <c r="F410" s="100"/>
      <c r="I410" s="329"/>
      <c r="J410" s="329" t="str">
        <f>$B$10</f>
        <v>All Carpets</v>
      </c>
      <c r="L410" s="336" t="str">
        <f>$B$415</f>
        <v>Enter Periodical Service 1</v>
      </c>
    </row>
    <row r="411" spans="1:14" x14ac:dyDescent="0.35">
      <c r="B411" s="222" t="s">
        <v>110</v>
      </c>
      <c r="C411" s="741">
        <f>'kt info'!$C$5</f>
        <v>0</v>
      </c>
      <c r="D411" s="824"/>
      <c r="E411" s="824"/>
      <c r="F411" s="825"/>
      <c r="J411" s="329" t="str">
        <f>$B$67</f>
        <v>High Traffic Carpet</v>
      </c>
      <c r="L411" s="336" t="str">
        <f>$B$473</f>
        <v>Enter Periodical Service 2</v>
      </c>
    </row>
    <row r="412" spans="1:14" x14ac:dyDescent="0.35">
      <c r="C412" s="300"/>
      <c r="D412" s="100"/>
      <c r="E412" s="100"/>
      <c r="F412" s="100"/>
      <c r="J412" s="329" t="str">
        <f>$B$125</f>
        <v>Hard Floor Strip and Wax</v>
      </c>
      <c r="L412" s="336" t="str">
        <f>$B$531</f>
        <v>Enter Periodical Service 3</v>
      </c>
    </row>
    <row r="413" spans="1:14" x14ac:dyDescent="0.35">
      <c r="B413" s="222" t="s">
        <v>135</v>
      </c>
      <c r="C413" s="741">
        <f>'kt info'!$C$7</f>
        <v>0</v>
      </c>
      <c r="D413" s="824"/>
      <c r="E413" s="824"/>
      <c r="F413" s="825"/>
      <c r="J413" s="329" t="str">
        <f>$B$183</f>
        <v>Hard Floor Scrub and Seal</v>
      </c>
      <c r="L413" s="336" t="str">
        <f>$B$589</f>
        <v>Enter Periodical Service 4</v>
      </c>
    </row>
    <row r="414" spans="1:14" x14ac:dyDescent="0.35">
      <c r="J414" s="336" t="str">
        <f>$B$241</f>
        <v>Window Washing</v>
      </c>
      <c r="L414" s="336" t="str">
        <f>$B$647</f>
        <v>Enter Periodical Service 5</v>
      </c>
    </row>
    <row r="415" spans="1:14" ht="18.5" x14ac:dyDescent="0.35">
      <c r="A415" s="337"/>
      <c r="B415" s="490" t="str">
        <f>'kt info'!B41</f>
        <v>Enter Periodical Service 1</v>
      </c>
      <c r="C415" s="339"/>
      <c r="D415" s="337"/>
      <c r="E415" s="337"/>
      <c r="F415" s="337"/>
      <c r="G415" s="337"/>
      <c r="H415" s="302" t="s">
        <v>77</v>
      </c>
      <c r="I415" s="236" t="s">
        <v>238</v>
      </c>
      <c r="J415" s="336" t="str">
        <f>$B$299</f>
        <v>Clean Chairs</v>
      </c>
      <c r="L415" s="336" t="str">
        <f>$B$705</f>
        <v>Enter Periodical Service 6</v>
      </c>
      <c r="M415" s="337"/>
      <c r="N415" s="337"/>
    </row>
    <row r="416" spans="1:14" x14ac:dyDescent="0.35">
      <c r="G416" s="178" t="s">
        <v>79</v>
      </c>
      <c r="H416" s="341">
        <f>IF(SUM(M428:M437)&gt;0,SUM(M428:M437)/'kt info'!$G$41,0)</f>
        <v>0</v>
      </c>
      <c r="I416" s="342">
        <f>H416*'kt info'!$G$41</f>
        <v>0</v>
      </c>
      <c r="J416" s="336" t="str">
        <f>$B$357</f>
        <v>High Dusting</v>
      </c>
      <c r="L416" s="336" t="str">
        <f>$B$763</f>
        <v>Enter Periodical Service 7</v>
      </c>
    </row>
    <row r="417" spans="1:14" x14ac:dyDescent="0.35">
      <c r="B417" s="343" t="s">
        <v>78</v>
      </c>
      <c r="G417" s="178" t="s">
        <v>189</v>
      </c>
      <c r="H417" s="344">
        <f>IF(SUM(K428:K437)&gt;0,SUM(K428:K437),0)</f>
        <v>0</v>
      </c>
      <c r="I417" s="345">
        <f>H417*'kt info'!$G$41</f>
        <v>0</v>
      </c>
      <c r="J417" s="336"/>
      <c r="L417" s="336" t="str">
        <f>$B$821</f>
        <v>Enter Periodical Service 8</v>
      </c>
    </row>
    <row r="418" spans="1:14" x14ac:dyDescent="0.35">
      <c r="B418" s="177" t="s">
        <v>96</v>
      </c>
      <c r="C418" s="346">
        <f>'kt info'!E41</f>
        <v>0</v>
      </c>
      <c r="G418" s="178" t="s">
        <v>80</v>
      </c>
      <c r="H418" s="344">
        <f>IF(SUM(E442:E461)&gt;0,SUM(E442:E461),0)</f>
        <v>0</v>
      </c>
      <c r="I418" s="345">
        <f>H418*'kt info'!$G$41</f>
        <v>0</v>
      </c>
      <c r="J418" s="336"/>
      <c r="L418" s="336" t="str">
        <f>$B$879</f>
        <v>Enter Periodical Service 9</v>
      </c>
    </row>
    <row r="419" spans="1:14" x14ac:dyDescent="0.35">
      <c r="G419" s="178" t="s">
        <v>81</v>
      </c>
      <c r="H419" s="344">
        <f>IF(SUM(L442:L451)&gt;0,SUM(L442:L451),0)</f>
        <v>0</v>
      </c>
      <c r="I419" s="345">
        <f>H419*'kt info'!$G$41</f>
        <v>0</v>
      </c>
      <c r="J419" s="336"/>
      <c r="L419" s="336" t="str">
        <f>$B$937</f>
        <v>Enter Periodical Service 10</v>
      </c>
    </row>
    <row r="420" spans="1:14" x14ac:dyDescent="0.35">
      <c r="B420" s="177" t="s">
        <v>98</v>
      </c>
      <c r="C420" s="347">
        <f>ROUND(IF(SUM(H417:H423)&gt;0,SUM(H417:H423),0),0)</f>
        <v>0</v>
      </c>
      <c r="G420" s="178" t="s">
        <v>89</v>
      </c>
      <c r="H420" s="344">
        <f>IF(SUM(J455:J459)&gt;0,SUM(L455:L459),0)</f>
        <v>0</v>
      </c>
      <c r="I420" s="345">
        <f>H420*'kt info'!$G$41</f>
        <v>0</v>
      </c>
      <c r="J420" s="329"/>
      <c r="K420" s="336"/>
    </row>
    <row r="421" spans="1:14" x14ac:dyDescent="0.35">
      <c r="G421" s="178" t="s">
        <v>201</v>
      </c>
      <c r="H421" s="344">
        <f>IF(SUM(I461:I462)=0,0,SUM(I461:I462))</f>
        <v>0</v>
      </c>
      <c r="I421" s="345">
        <f>H421*'kt info'!$G$41</f>
        <v>0</v>
      </c>
      <c r="K421" s="336"/>
    </row>
    <row r="422" spans="1:14" x14ac:dyDescent="0.35">
      <c r="B422" s="177" t="s">
        <v>97</v>
      </c>
      <c r="C422" s="347">
        <f>IF(C418&gt;0,C420/C418,0)</f>
        <v>0</v>
      </c>
      <c r="G422" s="178" t="s">
        <v>87</v>
      </c>
      <c r="H422" s="344">
        <f>IF('Overhead &amp; Margin'!$D$10&gt;0,((H417+H418+H419+H420+H421)*'Overhead &amp; Margin'!$D$10/(1-('Overhead &amp; Margin'!$D$10+'Overhead &amp; Margin'!$G$10))),0)</f>
        <v>0</v>
      </c>
      <c r="I422" s="345">
        <f>H422*'kt info'!$G$41</f>
        <v>0</v>
      </c>
      <c r="K422" s="336"/>
    </row>
    <row r="423" spans="1:14" x14ac:dyDescent="0.35">
      <c r="G423" s="178" t="s">
        <v>88</v>
      </c>
      <c r="H423" s="344">
        <f>IF('Overhead &amp; Margin'!$G$10=0,0,'Overhead &amp; Margin'!$G$10*(H417+H418+H419+H420+H421)/(1-('Overhead &amp; Margin'!$D$10+'Overhead &amp; Margin'!$G$10)))</f>
        <v>0</v>
      </c>
      <c r="I423" s="345">
        <f>H423*'kt info'!$G$41</f>
        <v>0</v>
      </c>
    </row>
    <row r="424" spans="1:14" x14ac:dyDescent="0.35">
      <c r="M424" s="605" t="str">
        <f>'kt info'!$B$12</f>
        <v>Form date: 10/24/25</v>
      </c>
    </row>
    <row r="425" spans="1:14" ht="15" thickBot="1" x14ac:dyDescent="0.4">
      <c r="B425" s="348" t="s">
        <v>104</v>
      </c>
    </row>
    <row r="426" spans="1:14" x14ac:dyDescent="0.35">
      <c r="B426" s="84" t="s">
        <v>18</v>
      </c>
      <c r="C426" s="349" t="s">
        <v>19</v>
      </c>
      <c r="D426" s="350" t="s">
        <v>25</v>
      </c>
      <c r="E426" s="350" t="s">
        <v>20</v>
      </c>
      <c r="F426" s="826" t="s">
        <v>22</v>
      </c>
      <c r="G426" s="826"/>
      <c r="H426" s="351" t="s">
        <v>23</v>
      </c>
      <c r="I426" s="350" t="s">
        <v>21</v>
      </c>
      <c r="J426" s="350" t="s">
        <v>24</v>
      </c>
      <c r="K426" s="350" t="s">
        <v>77</v>
      </c>
      <c r="L426" s="352" t="s">
        <v>26</v>
      </c>
      <c r="M426" s="4" t="s">
        <v>27</v>
      </c>
      <c r="N426" s="4" t="s">
        <v>0</v>
      </c>
    </row>
    <row r="427" spans="1:14" ht="15" thickBot="1" x14ac:dyDescent="0.4">
      <c r="B427" s="22" t="s">
        <v>306</v>
      </c>
      <c r="C427" s="353" t="s">
        <v>28</v>
      </c>
      <c r="D427" s="354" t="s">
        <v>33</v>
      </c>
      <c r="E427" s="354" t="s">
        <v>29</v>
      </c>
      <c r="F427" s="827" t="s">
        <v>30</v>
      </c>
      <c r="G427" s="827"/>
      <c r="H427" s="355" t="s">
        <v>31</v>
      </c>
      <c r="I427" s="354"/>
      <c r="J427" s="354" t="s">
        <v>38</v>
      </c>
      <c r="K427" s="354" t="s">
        <v>189</v>
      </c>
      <c r="L427" s="356" t="s">
        <v>0</v>
      </c>
      <c r="M427" s="5" t="s">
        <v>0</v>
      </c>
      <c r="N427" s="5" t="s">
        <v>77</v>
      </c>
    </row>
    <row r="428" spans="1:14" x14ac:dyDescent="0.35">
      <c r="A428" s="100">
        <v>1</v>
      </c>
      <c r="B428" s="474"/>
      <c r="C428" s="358"/>
      <c r="D428" s="359" t="str">
        <f>IF(B428=0," ",'kt info'!$G$41)</f>
        <v xml:space="preserve"> </v>
      </c>
      <c r="E428" s="360" t="str">
        <f>IF(B428=0," ",VLOOKUP(B428,WageBeneTable5[#All],2,FALSE))</f>
        <v xml:space="preserve"> </v>
      </c>
      <c r="F428" s="820">
        <f>IF($E428=" ",0,'Pay &amp; Benefits'!$C$10)</f>
        <v>0</v>
      </c>
      <c r="G428" s="821"/>
      <c r="H428" s="361" t="str">
        <f>IF($E428=" "," ",'Pay &amp; Benefits'!$C$11)</f>
        <v xml:space="preserve"> </v>
      </c>
      <c r="I428" s="362" t="str">
        <f t="shared" ref="I428:I437" si="45">IF(E428=" "," ",0.0765)</f>
        <v xml:space="preserve"> </v>
      </c>
      <c r="J428" s="363" t="str">
        <f>IF(B428=0," ",VLOOKUP(B428,WageBeneTable5[#All],3,FALSE))</f>
        <v xml:space="preserve"> </v>
      </c>
      <c r="K428" s="360" t="str">
        <f t="shared" ref="K428:K437" si="46">IF(B428=0," ",C428*E428*(1+I428+F428+H428+J428))</f>
        <v xml:space="preserve"> </v>
      </c>
      <c r="L428" s="360">
        <f t="shared" ref="L428:L437" si="47">IF(K428=" ",0,K428*D428)</f>
        <v>0</v>
      </c>
      <c r="M428" s="364">
        <f t="shared" ref="M428:M437" si="48">IF(B428=0,0,C428*D428)</f>
        <v>0</v>
      </c>
      <c r="N428" s="365">
        <f t="shared" ref="N428:N437" si="49">IF(L428=0,0,IF(D428=0,0,L428/D428))</f>
        <v>0</v>
      </c>
    </row>
    <row r="429" spans="1:14" x14ac:dyDescent="0.35">
      <c r="A429" s="100">
        <v>2</v>
      </c>
      <c r="B429" s="437"/>
      <c r="C429" s="367"/>
      <c r="D429" s="359" t="str">
        <f>IF(B429=0," ",'kt info'!$G$41)</f>
        <v xml:space="preserve"> </v>
      </c>
      <c r="E429" s="368" t="str">
        <f>IF(B429=0," ",VLOOKUP(B429,WageBeneTable5[#All],2,FALSE))</f>
        <v xml:space="preserve"> </v>
      </c>
      <c r="F429" s="822">
        <f>IF($E429=" ",0,'Pay &amp; Benefits'!$C$10)</f>
        <v>0</v>
      </c>
      <c r="G429" s="823"/>
      <c r="H429" s="369" t="str">
        <f>IF($E429=" "," ",'Pay &amp; Benefits'!$C$11)</f>
        <v xml:space="preserve"> </v>
      </c>
      <c r="I429" s="370" t="str">
        <f t="shared" si="45"/>
        <v xml:space="preserve"> </v>
      </c>
      <c r="J429" s="371" t="str">
        <f>IF(B429=0," ",VLOOKUP(B429,WageBeneTable5[#All],3,FALSE))</f>
        <v xml:space="preserve"> </v>
      </c>
      <c r="K429" s="368" t="str">
        <f t="shared" si="46"/>
        <v xml:space="preserve"> </v>
      </c>
      <c r="L429" s="368">
        <f t="shared" si="47"/>
        <v>0</v>
      </c>
      <c r="M429" s="372">
        <f t="shared" si="48"/>
        <v>0</v>
      </c>
      <c r="N429" s="373">
        <f t="shared" si="49"/>
        <v>0</v>
      </c>
    </row>
    <row r="430" spans="1:14" x14ac:dyDescent="0.35">
      <c r="A430" s="100">
        <v>3</v>
      </c>
      <c r="B430" s="437"/>
      <c r="C430" s="367"/>
      <c r="D430" s="359" t="str">
        <f>IF(B430=0," ",'kt info'!$G$41)</f>
        <v xml:space="preserve"> </v>
      </c>
      <c r="E430" s="368" t="str">
        <f>IF(B430=0," ",VLOOKUP(B430,WageBeneTable5[#All],2,FALSE))</f>
        <v xml:space="preserve"> </v>
      </c>
      <c r="F430" s="822">
        <f>IF($E430=" ",0,'Pay &amp; Benefits'!$C$10)</f>
        <v>0</v>
      </c>
      <c r="G430" s="823"/>
      <c r="H430" s="369" t="str">
        <f>IF($E430=" "," ",'Pay &amp; Benefits'!$C$11)</f>
        <v xml:space="preserve"> </v>
      </c>
      <c r="I430" s="370" t="str">
        <f t="shared" si="45"/>
        <v xml:space="preserve"> </v>
      </c>
      <c r="J430" s="371" t="str">
        <f>IF(B430=0," ",VLOOKUP(B430,WageBeneTable5[#All],3,FALSE))</f>
        <v xml:space="preserve"> </v>
      </c>
      <c r="K430" s="368" t="str">
        <f t="shared" si="46"/>
        <v xml:space="preserve"> </v>
      </c>
      <c r="L430" s="368">
        <f t="shared" si="47"/>
        <v>0</v>
      </c>
      <c r="M430" s="372">
        <f t="shared" si="48"/>
        <v>0</v>
      </c>
      <c r="N430" s="373">
        <f t="shared" si="49"/>
        <v>0</v>
      </c>
    </row>
    <row r="431" spans="1:14" x14ac:dyDescent="0.35">
      <c r="A431" s="100">
        <v>4</v>
      </c>
      <c r="B431" s="437"/>
      <c r="C431" s="367"/>
      <c r="D431" s="359" t="str">
        <f>IF(B431=0," ",'kt info'!$G$41)</f>
        <v xml:space="preserve"> </v>
      </c>
      <c r="E431" s="368" t="str">
        <f>IF(B431=0," ",VLOOKUP(B431,WageBeneTable5[#All],2,FALSE))</f>
        <v xml:space="preserve"> </v>
      </c>
      <c r="F431" s="822">
        <f>IF($E431=" ",0,'Pay &amp; Benefits'!$C$10)</f>
        <v>0</v>
      </c>
      <c r="G431" s="823"/>
      <c r="H431" s="369" t="str">
        <f>IF($E431=" "," ",'Pay &amp; Benefits'!$C$11)</f>
        <v xml:space="preserve"> </v>
      </c>
      <c r="I431" s="370" t="str">
        <f t="shared" si="45"/>
        <v xml:space="preserve"> </v>
      </c>
      <c r="J431" s="371" t="str">
        <f>IF(B431=0," ",VLOOKUP(B431,WageBeneTable5[#All],3,FALSE))</f>
        <v xml:space="preserve"> </v>
      </c>
      <c r="K431" s="368" t="str">
        <f t="shared" si="46"/>
        <v xml:space="preserve"> </v>
      </c>
      <c r="L431" s="368">
        <f t="shared" si="47"/>
        <v>0</v>
      </c>
      <c r="M431" s="372">
        <f t="shared" si="48"/>
        <v>0</v>
      </c>
      <c r="N431" s="373">
        <f t="shared" si="49"/>
        <v>0</v>
      </c>
    </row>
    <row r="432" spans="1:14" ht="15" thickBot="1" x14ac:dyDescent="0.4">
      <c r="A432" s="100">
        <v>5</v>
      </c>
      <c r="B432" s="439"/>
      <c r="C432" s="375"/>
      <c r="D432" s="376" t="str">
        <f>IF(B432=0," ",'kt info'!$G$41)</f>
        <v xml:space="preserve"> </v>
      </c>
      <c r="E432" s="377" t="str">
        <f>IF(B432=0," ",VLOOKUP(B432,WageBeneTable5[#All],2,FALSE))</f>
        <v xml:space="preserve"> </v>
      </c>
      <c r="F432" s="813">
        <f>IF($E432=" ",0,'Pay &amp; Benefits'!$C$10)</f>
        <v>0</v>
      </c>
      <c r="G432" s="814"/>
      <c r="H432" s="378" t="str">
        <f>IF($E432=" "," ",'Pay &amp; Benefits'!$C$11)</f>
        <v xml:space="preserve"> </v>
      </c>
      <c r="I432" s="379" t="str">
        <f t="shared" si="45"/>
        <v xml:space="preserve"> </v>
      </c>
      <c r="J432" s="380" t="str">
        <f>IF(B432=0," ",VLOOKUP(B432,WageBeneTable5[#All],3,FALSE))</f>
        <v xml:space="preserve"> </v>
      </c>
      <c r="K432" s="377" t="str">
        <f t="shared" si="46"/>
        <v xml:space="preserve"> </v>
      </c>
      <c r="L432" s="377">
        <f t="shared" si="47"/>
        <v>0</v>
      </c>
      <c r="M432" s="381">
        <f t="shared" si="48"/>
        <v>0</v>
      </c>
      <c r="N432" s="382">
        <f t="shared" si="49"/>
        <v>0</v>
      </c>
    </row>
    <row r="433" spans="1:14" x14ac:dyDescent="0.35">
      <c r="A433" s="100">
        <v>6</v>
      </c>
      <c r="B433" s="474"/>
      <c r="C433" s="383"/>
      <c r="D433" s="384" t="str">
        <f>IF(B433=0," ",'kt info'!$G$41)</f>
        <v xml:space="preserve"> </v>
      </c>
      <c r="E433" s="385" t="str">
        <f>IF(B433=0," ",VLOOKUP(B433,WageBeneTable5[#All],2,FALSE))</f>
        <v xml:space="preserve"> </v>
      </c>
      <c r="F433" s="820">
        <f>IF($E433=" ",0,'Pay &amp; Benefits'!$C$10)</f>
        <v>0</v>
      </c>
      <c r="G433" s="821"/>
      <c r="H433" s="386" t="str">
        <f>IF($E433=" "," ",'Pay &amp; Benefits'!$C$11)</f>
        <v xml:space="preserve"> </v>
      </c>
      <c r="I433" s="387" t="str">
        <f t="shared" si="45"/>
        <v xml:space="preserve"> </v>
      </c>
      <c r="J433" s="388" t="str">
        <f>IF(B433=0," ",VLOOKUP(B433,WageBeneTable5[#All],3,FALSE))</f>
        <v xml:space="preserve"> </v>
      </c>
      <c r="K433" s="385" t="str">
        <f t="shared" si="46"/>
        <v xml:space="preserve"> </v>
      </c>
      <c r="L433" s="385">
        <f t="shared" si="47"/>
        <v>0</v>
      </c>
      <c r="M433" s="389">
        <f t="shared" si="48"/>
        <v>0</v>
      </c>
      <c r="N433" s="390">
        <f t="shared" si="49"/>
        <v>0</v>
      </c>
    </row>
    <row r="434" spans="1:14" x14ac:dyDescent="0.35">
      <c r="A434" s="100">
        <v>7</v>
      </c>
      <c r="B434" s="437"/>
      <c r="C434" s="367"/>
      <c r="D434" s="384" t="str">
        <f>IF(B434=0," ",'kt info'!$G$41)</f>
        <v xml:space="preserve"> </v>
      </c>
      <c r="E434" s="385" t="str">
        <f>IF(B434=0," ",VLOOKUP(B434,WageBeneTable5[#All],2,FALSE))</f>
        <v xml:space="preserve"> </v>
      </c>
      <c r="F434" s="822">
        <f>IF($E434=" ",0,'Pay &amp; Benefits'!$C$10)</f>
        <v>0</v>
      </c>
      <c r="G434" s="823"/>
      <c r="H434" s="386" t="str">
        <f>IF($E434=" "," ",'Pay &amp; Benefits'!$C$11)</f>
        <v xml:space="preserve"> </v>
      </c>
      <c r="I434" s="387" t="str">
        <f t="shared" si="45"/>
        <v xml:space="preserve"> </v>
      </c>
      <c r="J434" s="388" t="str">
        <f>IF(B434=0," ",VLOOKUP(B434,WageBeneTable5[#All],3,FALSE))</f>
        <v xml:space="preserve"> </v>
      </c>
      <c r="K434" s="385" t="str">
        <f t="shared" si="46"/>
        <v xml:space="preserve"> </v>
      </c>
      <c r="L434" s="385">
        <f t="shared" si="47"/>
        <v>0</v>
      </c>
      <c r="M434" s="389">
        <f t="shared" si="48"/>
        <v>0</v>
      </c>
      <c r="N434" s="390">
        <f t="shared" si="49"/>
        <v>0</v>
      </c>
    </row>
    <row r="435" spans="1:14" x14ac:dyDescent="0.35">
      <c r="A435" s="100">
        <v>8</v>
      </c>
      <c r="B435" s="437"/>
      <c r="C435" s="367"/>
      <c r="D435" s="384" t="str">
        <f>IF(B435=0," ",'kt info'!$G$41)</f>
        <v xml:space="preserve"> </v>
      </c>
      <c r="E435" s="385" t="str">
        <f>IF(B435=0," ",VLOOKUP(B435,WageBeneTable5[#All],2,FALSE))</f>
        <v xml:space="preserve"> </v>
      </c>
      <c r="F435" s="822">
        <f>IF($E435=" ",0,'Pay &amp; Benefits'!$C$10)</f>
        <v>0</v>
      </c>
      <c r="G435" s="823"/>
      <c r="H435" s="386" t="str">
        <f>IF($E435=" "," ",'Pay &amp; Benefits'!$C$11)</f>
        <v xml:space="preserve"> </v>
      </c>
      <c r="I435" s="387" t="str">
        <f t="shared" si="45"/>
        <v xml:space="preserve"> </v>
      </c>
      <c r="J435" s="388" t="str">
        <f>IF(B435=0," ",VLOOKUP(B435,WageBeneTable5[#All],3,FALSE))</f>
        <v xml:space="preserve"> </v>
      </c>
      <c r="K435" s="385" t="str">
        <f t="shared" si="46"/>
        <v xml:space="preserve"> </v>
      </c>
      <c r="L435" s="385">
        <f t="shared" si="47"/>
        <v>0</v>
      </c>
      <c r="M435" s="389">
        <f t="shared" si="48"/>
        <v>0</v>
      </c>
      <c r="N435" s="390">
        <f t="shared" si="49"/>
        <v>0</v>
      </c>
    </row>
    <row r="436" spans="1:14" x14ac:dyDescent="0.35">
      <c r="A436" s="100">
        <v>9</v>
      </c>
      <c r="B436" s="437"/>
      <c r="C436" s="367"/>
      <c r="D436" s="384" t="str">
        <f>IF(B436=0," ",'kt info'!$G$41)</f>
        <v xml:space="preserve"> </v>
      </c>
      <c r="E436" s="385" t="str">
        <f>IF(B436=0," ",VLOOKUP(B436,WageBeneTable5[#All],2,FALSE))</f>
        <v xml:space="preserve"> </v>
      </c>
      <c r="F436" s="822">
        <f>IF($E436=" ",0,'Pay &amp; Benefits'!$C$10)</f>
        <v>0</v>
      </c>
      <c r="G436" s="823"/>
      <c r="H436" s="386" t="str">
        <f>IF($E436=" "," ",'Pay &amp; Benefits'!$C$11)</f>
        <v xml:space="preserve"> </v>
      </c>
      <c r="I436" s="387" t="str">
        <f t="shared" si="45"/>
        <v xml:space="preserve"> </v>
      </c>
      <c r="J436" s="388" t="str">
        <f>IF(B436=0," ",VLOOKUP(B436,WageBeneTable5[#All],3,FALSE))</f>
        <v xml:space="preserve"> </v>
      </c>
      <c r="K436" s="385" t="str">
        <f t="shared" si="46"/>
        <v xml:space="preserve"> </v>
      </c>
      <c r="L436" s="385">
        <f t="shared" si="47"/>
        <v>0</v>
      </c>
      <c r="M436" s="389">
        <f t="shared" si="48"/>
        <v>0</v>
      </c>
      <c r="N436" s="390">
        <f t="shared" si="49"/>
        <v>0</v>
      </c>
    </row>
    <row r="437" spans="1:14" ht="15" thickBot="1" x14ac:dyDescent="0.4">
      <c r="A437" s="100">
        <v>10</v>
      </c>
      <c r="B437" s="439"/>
      <c r="C437" s="375"/>
      <c r="D437" s="376" t="str">
        <f>IF(B437=0," ",'kt info'!$G$41)</f>
        <v xml:space="preserve"> </v>
      </c>
      <c r="E437" s="377" t="str">
        <f>IF(B437=0," ",VLOOKUP(B437,WageBeneTable5[#All],2,FALSE))</f>
        <v xml:space="preserve"> </v>
      </c>
      <c r="F437" s="813">
        <f>IF($E437=" ",0,'Pay &amp; Benefits'!$C$10)</f>
        <v>0</v>
      </c>
      <c r="G437" s="814"/>
      <c r="H437" s="378" t="str">
        <f>IF($E437=" "," ",'Pay &amp; Benefits'!$C$11)</f>
        <v xml:space="preserve"> </v>
      </c>
      <c r="I437" s="379" t="str">
        <f t="shared" si="45"/>
        <v xml:space="preserve"> </v>
      </c>
      <c r="J437" s="380" t="str">
        <f>IF(B437=0," ",VLOOKUP(B437,WageBeneTable5[#All],3,FALSE))</f>
        <v xml:space="preserve"> </v>
      </c>
      <c r="K437" s="377" t="str">
        <f t="shared" si="46"/>
        <v xml:space="preserve"> </v>
      </c>
      <c r="L437" s="377">
        <f t="shared" si="47"/>
        <v>0</v>
      </c>
      <c r="M437" s="381">
        <f t="shared" si="48"/>
        <v>0</v>
      </c>
      <c r="N437" s="382">
        <f t="shared" si="49"/>
        <v>0</v>
      </c>
    </row>
    <row r="438" spans="1:14" x14ac:dyDescent="0.35">
      <c r="K438" s="391"/>
      <c r="L438" s="392"/>
      <c r="M438" s="393"/>
    </row>
    <row r="439" spans="1:14" ht="15" thickBot="1" x14ac:dyDescent="0.4">
      <c r="B439" s="394" t="s">
        <v>203</v>
      </c>
      <c r="E439" s="395"/>
      <c r="H439" s="815" t="s">
        <v>199</v>
      </c>
      <c r="I439" s="816"/>
      <c r="M439" s="475"/>
      <c r="N439" s="100"/>
    </row>
    <row r="440" spans="1:14" x14ac:dyDescent="0.35">
      <c r="B440" s="32" t="s">
        <v>123</v>
      </c>
      <c r="C440" s="398" t="s">
        <v>239</v>
      </c>
      <c r="D440" s="399" t="s">
        <v>9</v>
      </c>
      <c r="E440" s="400" t="s">
        <v>83</v>
      </c>
      <c r="H440" s="303" t="s">
        <v>15</v>
      </c>
      <c r="I440" s="4" t="s">
        <v>85</v>
      </c>
      <c r="J440" s="4" t="s">
        <v>16</v>
      </c>
      <c r="K440" s="4" t="s">
        <v>241</v>
      </c>
      <c r="L440" s="4" t="s">
        <v>83</v>
      </c>
      <c r="M440" s="476"/>
      <c r="N440" s="477"/>
    </row>
    <row r="441" spans="1:14" ht="15" thickBot="1" x14ac:dyDescent="0.4">
      <c r="B441" s="33" t="s">
        <v>124</v>
      </c>
      <c r="C441" s="401" t="s">
        <v>84</v>
      </c>
      <c r="D441" s="402" t="s">
        <v>10</v>
      </c>
      <c r="E441" s="403" t="s">
        <v>84</v>
      </c>
      <c r="H441" s="304" t="s">
        <v>13</v>
      </c>
      <c r="I441" s="5" t="s">
        <v>86</v>
      </c>
      <c r="J441" s="5" t="s">
        <v>17</v>
      </c>
      <c r="K441" s="5" t="s">
        <v>12</v>
      </c>
      <c r="L441" s="5" t="s">
        <v>84</v>
      </c>
      <c r="M441" s="478"/>
      <c r="N441" s="479"/>
    </row>
    <row r="442" spans="1:14" x14ac:dyDescent="0.35">
      <c r="A442" s="100">
        <v>1</v>
      </c>
      <c r="B442" s="474"/>
      <c r="C442" s="406"/>
      <c r="D442" s="407">
        <f>IF(B442=0,0,VLOOKUP(B442,Supplies!$B$13:$C$97,2,FALSE))</f>
        <v>0</v>
      </c>
      <c r="E442" s="360">
        <f>IF(D442=" "," ",D442*C442)</f>
        <v>0</v>
      </c>
      <c r="G442" s="100">
        <v>1</v>
      </c>
      <c r="H442" s="408"/>
      <c r="I442" s="409"/>
      <c r="J442" s="410"/>
      <c r="K442" s="331" t="str">
        <f>IF(H442=0," ",IF(VLOOKUP(H442,'Equipment List'!$B$12:$F$96,5,FALSE)=0,0,IF(VLOOKUP(H442,'Equipment List'!$B$12:$F$96,5,FALSE)="Grant","Grant",IF(VLOOKUP(H442,'Equipment List'!$B$12:$F$96,5,FALSE)="Depreciated","Depreciated",VLOOKUP(H442,'Equipment List'!$B$12:$F$96,5,FALSE)*I442*J442))))</f>
        <v xml:space="preserve"> </v>
      </c>
      <c r="L442" s="365" t="str">
        <f>IF(K442=" "," ",IF(K442="Grant",0,IF(K442="Depreciated",0,IF('kt info'!$G$41=0,"No Service Frequency",K442/'kt info'!$G$41))))</f>
        <v xml:space="preserve"> </v>
      </c>
      <c r="M442" s="480"/>
      <c r="N442" s="404"/>
    </row>
    <row r="443" spans="1:14" x14ac:dyDescent="0.35">
      <c r="A443" s="100">
        <v>2</v>
      </c>
      <c r="B443" s="437"/>
      <c r="C443" s="414"/>
      <c r="D443" s="415">
        <f>IF(B443=0,0,VLOOKUP(B443,Supplies!$B$13:$C$97,2,FALSE))</f>
        <v>0</v>
      </c>
      <c r="E443" s="385">
        <f t="shared" ref="E443:E457" si="50">IF(D443=" "," ",D443*C443)</f>
        <v>0</v>
      </c>
      <c r="G443" s="100">
        <v>2</v>
      </c>
      <c r="H443" s="416"/>
      <c r="I443" s="417"/>
      <c r="J443" s="418"/>
      <c r="K443" s="421" t="str">
        <f>IF(H443=0," ",IF(VLOOKUP(H443,'Equipment List'!$B$12:$F$96,5,FALSE)=0,0,IF(VLOOKUP(H443,'Equipment List'!$B$12:$F$96,5,FALSE)="Grant","Grant",IF(VLOOKUP(H443,'Equipment List'!$B$12:$F$96,5,FALSE)="Depreciated","Depreciated",VLOOKUP(H443,'Equipment List'!$B$12:$F$96,5,FALSE)*I443*J443))))</f>
        <v xml:space="preserve"> </v>
      </c>
      <c r="L443" s="390" t="str">
        <f>IF(K443=" "," ",IF(K443="Grant",0,IF(K443="Depreciated",0,IF('kt info'!$G$41=0,"No Service Frequency",K443/'kt info'!$G$41))))</f>
        <v xml:space="preserve"> </v>
      </c>
    </row>
    <row r="444" spans="1:14" x14ac:dyDescent="0.35">
      <c r="A444" s="100">
        <v>3</v>
      </c>
      <c r="B444" s="437"/>
      <c r="C444" s="414"/>
      <c r="D444" s="415">
        <f>IF(B444=0,0,VLOOKUP(B444,Supplies!$B$13:$C$97,2,FALSE))</f>
        <v>0</v>
      </c>
      <c r="E444" s="385">
        <f t="shared" si="50"/>
        <v>0</v>
      </c>
      <c r="G444" s="100">
        <v>3</v>
      </c>
      <c r="H444" s="416"/>
      <c r="I444" s="417"/>
      <c r="J444" s="418"/>
      <c r="K444" s="421" t="str">
        <f>IF(H444=0," ",IF(VLOOKUP(H444,'Equipment List'!$B$12:$F$96,5,FALSE)=0,0,IF(VLOOKUP(H444,'Equipment List'!$B$12:$F$96,5,FALSE)="Grant","Grant",IF(VLOOKUP(H444,'Equipment List'!$B$12:$F$96,5,FALSE)="Depreciated","Depreciated",VLOOKUP(H444,'Equipment List'!$B$12:$F$96,5,FALSE)*I444*J444))))</f>
        <v xml:space="preserve"> </v>
      </c>
      <c r="L444" s="390" t="str">
        <f>IF(K444=" "," ",IF(K444="Grant",0,IF(K444="Depreciated",0,IF('kt info'!$G$41=0,"No Service Frequency",K444/'kt info'!$G$41))))</f>
        <v xml:space="preserve"> </v>
      </c>
    </row>
    <row r="445" spans="1:14" x14ac:dyDescent="0.35">
      <c r="A445" s="100">
        <v>4</v>
      </c>
      <c r="B445" s="437"/>
      <c r="C445" s="414"/>
      <c r="D445" s="415">
        <f>IF(B445=0,0,VLOOKUP(B445,Supplies!$B$13:$C$97,2,FALSE))</f>
        <v>0</v>
      </c>
      <c r="E445" s="385">
        <f t="shared" si="50"/>
        <v>0</v>
      </c>
      <c r="G445" s="100">
        <v>4</v>
      </c>
      <c r="H445" s="416"/>
      <c r="I445" s="417"/>
      <c r="J445" s="418"/>
      <c r="K445" s="421" t="str">
        <f>IF(H445=0," ",IF(VLOOKUP(H445,'Equipment List'!$B$12:$F$96,5,FALSE)=0,0,IF(VLOOKUP(H445,'Equipment List'!$B$12:$F$96,5,FALSE)="Grant","Grant",IF(VLOOKUP(H445,'Equipment List'!$B$12:$F$96,5,FALSE)="Depreciated","Depreciated",VLOOKUP(H445,'Equipment List'!$B$12:$F$96,5,FALSE)*I445*J445))))</f>
        <v xml:space="preserve"> </v>
      </c>
      <c r="L445" s="390" t="str">
        <f>IF(K445=" "," ",IF(K445="Grant",0,IF(K445="Depreciated",0,IF('kt info'!$G$41=0,"No Service Frequency",K445/'kt info'!$G$41))))</f>
        <v xml:space="preserve"> </v>
      </c>
    </row>
    <row r="446" spans="1:14" ht="15" thickBot="1" x14ac:dyDescent="0.4">
      <c r="A446" s="100">
        <v>5</v>
      </c>
      <c r="B446" s="439"/>
      <c r="C446" s="423"/>
      <c r="D446" s="424">
        <f>IF(B446=0,0,VLOOKUP(B446,Supplies!$B$13:$C$97,2,FALSE))</f>
        <v>0</v>
      </c>
      <c r="E446" s="377">
        <f t="shared" si="50"/>
        <v>0</v>
      </c>
      <c r="G446" s="100">
        <v>5</v>
      </c>
      <c r="H446" s="425"/>
      <c r="I446" s="426"/>
      <c r="J446" s="427"/>
      <c r="K446" s="428" t="str">
        <f>IF(H446=0," ",IF(VLOOKUP(H446,'Equipment List'!$B$12:$F$96,5,FALSE)=0,0,IF(VLOOKUP(H446,'Equipment List'!$B$12:$F$96,5,FALSE)="Grant","Grant",IF(VLOOKUP(H446,'Equipment List'!$B$12:$F$96,5,FALSE)="Depreciated","Depreciated",VLOOKUP(H446,'Equipment List'!$B$12:$F$96,5,FALSE)*I446*J446))))</f>
        <v xml:space="preserve"> </v>
      </c>
      <c r="L446" s="382" t="str">
        <f>IF(K446=" "," ",IF(K446="Grant",0,IF(K446="Depreciated",0,IF('kt info'!$G$41=0,"No Service Frequency",K446/'kt info'!$G$41))))</f>
        <v xml:space="preserve"> </v>
      </c>
    </row>
    <row r="447" spans="1:14" x14ac:dyDescent="0.35">
      <c r="A447" s="100">
        <v>6</v>
      </c>
      <c r="B447" s="433"/>
      <c r="C447" s="431"/>
      <c r="D447" s="432">
        <f>IF(B447=0,0,VLOOKUP(B447,Supplies!$B$13:$C$97,2,FALSE))</f>
        <v>0</v>
      </c>
      <c r="E447" s="385">
        <f t="shared" si="50"/>
        <v>0</v>
      </c>
      <c r="G447" s="100">
        <v>6</v>
      </c>
      <c r="H447" s="433"/>
      <c r="I447" s="434"/>
      <c r="J447" s="435"/>
      <c r="K447" s="436" t="str">
        <f>IF(H447=0," ",IF(VLOOKUP(H447,'Equipment List'!$B$12:$F$96,5,FALSE)=0,0,IF(VLOOKUP(H447,'Equipment List'!$B$12:$F$96,5,FALSE)="Grant","Grant",IF(VLOOKUP(H447,'Equipment List'!$B$12:$F$96,5,FALSE)="Depreciated","Depreciated",VLOOKUP(H447,'Equipment List'!$B$12:$F$96,5,FALSE)*I447*J447))))</f>
        <v xml:space="preserve"> </v>
      </c>
      <c r="L447" s="390" t="str">
        <f>IF(K447=" "," ",IF(K447="Grant",0,IF(K447="Depreciated",0,IF('kt info'!$G$41=0,"No Service Frequency",K447/'kt info'!$G$41))))</f>
        <v xml:space="preserve"> </v>
      </c>
    </row>
    <row r="448" spans="1:14" x14ac:dyDescent="0.35">
      <c r="A448" s="100">
        <v>7</v>
      </c>
      <c r="B448" s="437"/>
      <c r="C448" s="414"/>
      <c r="D448" s="415">
        <f>IF(B448=0,0,VLOOKUP(B448,Supplies!$B$13:$C$97,2,FALSE))</f>
        <v>0</v>
      </c>
      <c r="E448" s="385">
        <f t="shared" si="50"/>
        <v>0</v>
      </c>
      <c r="G448" s="100">
        <v>7</v>
      </c>
      <c r="H448" s="437"/>
      <c r="I448" s="417"/>
      <c r="J448" s="418"/>
      <c r="K448" s="438" t="str">
        <f>IF(H448=0," ",IF(VLOOKUP(H448,'Equipment List'!$B$12:$F$96,5,FALSE)=0,0,IF(VLOOKUP(H448,'Equipment List'!$B$12:$F$96,5,FALSE)="Grant","Grant",IF(VLOOKUP(H448,'Equipment List'!$B$12:$F$96,5,FALSE)="Depreciated","Depreciated",VLOOKUP(H448,'Equipment List'!$B$12:$F$96,5,FALSE)*I448*J448))))</f>
        <v xml:space="preserve"> </v>
      </c>
      <c r="L448" s="390" t="str">
        <f>IF(K448=" "," ",IF(K448="Grant",0,IF(K448="Depreciated",0,IF('kt info'!$G$41=0,"No Service Frequency",K448/'kt info'!$G$41))))</f>
        <v xml:space="preserve"> </v>
      </c>
    </row>
    <row r="449" spans="1:14" x14ac:dyDescent="0.35">
      <c r="A449" s="100">
        <v>8</v>
      </c>
      <c r="B449" s="437"/>
      <c r="C449" s="414"/>
      <c r="D449" s="415">
        <f>IF(B449=0,0,VLOOKUP(B449,Supplies!$B$13:$C$97,2,FALSE))</f>
        <v>0</v>
      </c>
      <c r="E449" s="385">
        <f t="shared" si="50"/>
        <v>0</v>
      </c>
      <c r="G449" s="100">
        <v>8</v>
      </c>
      <c r="H449" s="437"/>
      <c r="I449" s="417"/>
      <c r="J449" s="418"/>
      <c r="K449" s="438" t="str">
        <f>IF(H449=0," ",IF(VLOOKUP(H449,'Equipment List'!$B$12:$F$96,5,FALSE)=0,0,IF(VLOOKUP(H449,'Equipment List'!$B$12:$F$96,5,FALSE)="Grant","Grant",IF(VLOOKUP(H449,'Equipment List'!$B$12:$F$96,5,FALSE)="Depreciated","Depreciated",VLOOKUP(H449,'Equipment List'!$B$12:$F$96,5,FALSE)*I449*J449))))</f>
        <v xml:space="preserve"> </v>
      </c>
      <c r="L449" s="390" t="str">
        <f>IF(K449=" "," ",IF(K449="Grant",0,IF(K449="Depreciated",0,IF('kt info'!$G$41=0,"No Service Frequency",K449/'kt info'!$G$41))))</f>
        <v xml:space="preserve"> </v>
      </c>
    </row>
    <row r="450" spans="1:14" x14ac:dyDescent="0.35">
      <c r="A450" s="100">
        <v>9</v>
      </c>
      <c r="B450" s="437"/>
      <c r="C450" s="414"/>
      <c r="D450" s="415">
        <f>IF(B450=0,0,VLOOKUP(B450,Supplies!$B$13:$C$97,2,FALSE))</f>
        <v>0</v>
      </c>
      <c r="E450" s="385">
        <f t="shared" si="50"/>
        <v>0</v>
      </c>
      <c r="G450" s="100">
        <v>9</v>
      </c>
      <c r="H450" s="437"/>
      <c r="I450" s="417"/>
      <c r="J450" s="418"/>
      <c r="K450" s="438" t="str">
        <f>IF(H450=0," ",IF(VLOOKUP(H450,'Equipment List'!$B$12:$F$96,5,FALSE)=0,0,IF(VLOOKUP(H450,'Equipment List'!$B$12:$F$96,5,FALSE)="Grant","Grant",IF(VLOOKUP(H450,'Equipment List'!$B$12:$F$96,5,FALSE)="Depreciated","Depreciated",VLOOKUP(H450,'Equipment List'!$B$12:$F$96,5,FALSE)*I450*J450))))</f>
        <v xml:space="preserve"> </v>
      </c>
      <c r="L450" s="390" t="str">
        <f>IF(K450=" "," ",IF(K450="Grant",0,IF(K450="Depreciated",0,IF('kt info'!$G$41=0,"No Service Frequency",K450/'kt info'!$G$41))))</f>
        <v xml:space="preserve"> </v>
      </c>
    </row>
    <row r="451" spans="1:14" ht="15" thickBot="1" x14ac:dyDescent="0.4">
      <c r="A451" s="100">
        <v>10</v>
      </c>
      <c r="B451" s="439"/>
      <c r="C451" s="423"/>
      <c r="D451" s="424">
        <f>IF(B451=0,0,VLOOKUP(B451,Supplies!$B$13:$C$97,2,FALSE))</f>
        <v>0</v>
      </c>
      <c r="E451" s="377">
        <f t="shared" si="50"/>
        <v>0</v>
      </c>
      <c r="G451" s="100">
        <v>10</v>
      </c>
      <c r="H451" s="439"/>
      <c r="I451" s="426"/>
      <c r="J451" s="427"/>
      <c r="K451" s="440" t="str">
        <f>IF(H451=0," ",IF(VLOOKUP(H451,'Equipment List'!$B$12:$F$96,5,FALSE)=0,0,IF(VLOOKUP(H451,'Equipment List'!$B$12:$F$96,5,FALSE)="Grant","Grant",IF(VLOOKUP(H451,'Equipment List'!$B$12:$F$96,5,FALSE)="Depreciated","Depreciated",VLOOKUP(H451,'Equipment List'!$B$12:$F$96,5,FALSE)*I451*J451))))</f>
        <v xml:space="preserve"> </v>
      </c>
      <c r="L451" s="382" t="str">
        <f>IF(K451=" "," ",IF(K451="Grant",0,IF(K451="Depreciated",0,IF('kt info'!$G$41=0,"No Service Frequency",K451/'kt info'!$G$41))))</f>
        <v xml:space="preserve"> </v>
      </c>
    </row>
    <row r="452" spans="1:14" x14ac:dyDescent="0.35">
      <c r="A452" s="100">
        <v>11</v>
      </c>
      <c r="B452" s="433"/>
      <c r="C452" s="431"/>
      <c r="D452" s="432">
        <f>IF(B452=0,0,VLOOKUP(B452,Supplies!$B$13:$C$97,2,FALSE))</f>
        <v>0</v>
      </c>
      <c r="E452" s="385">
        <f t="shared" si="50"/>
        <v>0</v>
      </c>
    </row>
    <row r="453" spans="1:14" ht="15" thickBot="1" x14ac:dyDescent="0.4">
      <c r="A453" s="100">
        <v>12</v>
      </c>
      <c r="B453" s="437"/>
      <c r="C453" s="414"/>
      <c r="D453" s="415">
        <f>IF(B453=0,0,VLOOKUP(B453,Supplies!$B$13:$C$97,2,FALSE))</f>
        <v>0</v>
      </c>
      <c r="E453" s="385">
        <f t="shared" si="50"/>
        <v>0</v>
      </c>
      <c r="H453" s="817" t="s">
        <v>200</v>
      </c>
      <c r="I453" s="816"/>
      <c r="J453" s="354"/>
      <c r="K453" s="354"/>
      <c r="L453" s="354"/>
      <c r="M453" s="354"/>
    </row>
    <row r="454" spans="1:14" x14ac:dyDescent="0.35">
      <c r="A454" s="100">
        <v>13</v>
      </c>
      <c r="B454" s="437"/>
      <c r="C454" s="414"/>
      <c r="D454" s="415">
        <f>IF(B454=0,0,VLOOKUP(B454,Supplies!$B$13:$C$97,2,FALSE))</f>
        <v>0</v>
      </c>
      <c r="E454" s="385">
        <f t="shared" si="50"/>
        <v>0</v>
      </c>
      <c r="H454" s="441" t="s">
        <v>159</v>
      </c>
      <c r="I454" s="4" t="s">
        <v>92</v>
      </c>
      <c r="J454" s="4" t="s">
        <v>300</v>
      </c>
      <c r="K454" s="350" t="s">
        <v>93</v>
      </c>
      <c r="L454" s="4" t="s">
        <v>12</v>
      </c>
      <c r="M454" s="4" t="s">
        <v>12</v>
      </c>
      <c r="N454" s="481"/>
    </row>
    <row r="455" spans="1:14" ht="15" thickBot="1" x14ac:dyDescent="0.4">
      <c r="A455" s="100">
        <v>14</v>
      </c>
      <c r="B455" s="437"/>
      <c r="C455" s="414"/>
      <c r="D455" s="415">
        <f>IF(B455=0,0,VLOOKUP(B455,Supplies!$B$13:$C$97,2,FALSE))</f>
        <v>0</v>
      </c>
      <c r="E455" s="385">
        <f t="shared" si="50"/>
        <v>0</v>
      </c>
      <c r="H455" s="305" t="s">
        <v>13</v>
      </c>
      <c r="I455" s="5" t="s">
        <v>301</v>
      </c>
      <c r="J455" s="5" t="s">
        <v>169</v>
      </c>
      <c r="K455" s="354" t="s">
        <v>94</v>
      </c>
      <c r="L455" s="5" t="s">
        <v>302</v>
      </c>
      <c r="M455" s="5" t="s">
        <v>240</v>
      </c>
      <c r="N455" s="481"/>
    </row>
    <row r="456" spans="1:14" ht="15" thickBot="1" x14ac:dyDescent="0.4">
      <c r="A456" s="100">
        <v>15</v>
      </c>
      <c r="B456" s="439"/>
      <c r="C456" s="442"/>
      <c r="D456" s="443">
        <f>IF(B456=0,0,VLOOKUP(B456,Supplies!$B$13:$C$97,2,FALSE))</f>
        <v>0</v>
      </c>
      <c r="E456" s="377">
        <f t="shared" si="50"/>
        <v>0</v>
      </c>
      <c r="G456" s="393"/>
      <c r="H456" s="258"/>
      <c r="I456" s="444"/>
      <c r="J456" s="445"/>
      <c r="K456" s="446">
        <f>IF(H456=0,0,VLOOKUP(H456,Transportation!$B$6:$L$16,11,FALSE))</f>
        <v>0</v>
      </c>
      <c r="L456" s="447">
        <f>IF(I456=0,0,I456*K456)</f>
        <v>0</v>
      </c>
      <c r="M456" s="448">
        <f>IF(I456=0,0,I456*K456*J456)</f>
        <v>0</v>
      </c>
      <c r="N456" s="487"/>
    </row>
    <row r="457" spans="1:14" ht="15" thickBot="1" x14ac:dyDescent="0.4">
      <c r="A457" s="100">
        <v>16</v>
      </c>
      <c r="B457" s="433"/>
      <c r="C457" s="449"/>
      <c r="D457" s="450">
        <f>IF(B457=0,0,VLOOKUP(B457,Supplies!$B$13:$C$97,2,FALSE))</f>
        <v>0</v>
      </c>
      <c r="E457" s="385">
        <f t="shared" si="50"/>
        <v>0</v>
      </c>
      <c r="H457" s="259"/>
      <c r="I457" s="451"/>
      <c r="J457" s="452"/>
      <c r="K457" s="453">
        <f>IF(H457=0,0,VLOOKUP(H457,Transportation!$B$6:$L$16,11,FALSE))</f>
        <v>0</v>
      </c>
      <c r="L457" s="454">
        <f>IF(I457=0,0,I457*K457)</f>
        <v>0</v>
      </c>
      <c r="M457" s="455">
        <f>IF(I457=0,0,I457*K457*J457)</f>
        <v>0</v>
      </c>
      <c r="N457" s="487"/>
    </row>
    <row r="458" spans="1:14" x14ac:dyDescent="0.35">
      <c r="A458" s="100">
        <v>17</v>
      </c>
      <c r="B458" s="437"/>
      <c r="C458" s="456"/>
      <c r="D458" s="457">
        <f>IF(B458=0,0,VLOOKUP(B458,Supplies!$B$13:$C$97,2,FALSE))</f>
        <v>0</v>
      </c>
      <c r="E458" s="385">
        <f>IF(D458=" "," ",D458*C458)</f>
        <v>0</v>
      </c>
      <c r="H458" s="260"/>
      <c r="I458" s="458"/>
      <c r="J458" s="459"/>
      <c r="K458" s="460"/>
      <c r="L458" s="460"/>
      <c r="M458" s="460"/>
      <c r="N458" s="483"/>
    </row>
    <row r="459" spans="1:14" ht="15" thickBot="1" x14ac:dyDescent="0.4">
      <c r="A459" s="100">
        <v>18</v>
      </c>
      <c r="B459" s="437"/>
      <c r="C459" s="456"/>
      <c r="D459" s="457">
        <f>IF(B459=0,0,VLOOKUP(B459,Supplies!$B$13:$C$97,2,FALSE))</f>
        <v>0</v>
      </c>
      <c r="E459" s="385">
        <f>IF(D459=" "," ",D459*C459)</f>
        <v>0</v>
      </c>
      <c r="H459" s="461" t="s">
        <v>201</v>
      </c>
      <c r="I459" s="462"/>
      <c r="J459" s="463"/>
      <c r="K459" s="464"/>
      <c r="L459" s="464"/>
      <c r="M459" s="464"/>
      <c r="N459" s="483"/>
    </row>
    <row r="460" spans="1:14" x14ac:dyDescent="0.35">
      <c r="A460" s="100">
        <v>19</v>
      </c>
      <c r="B460" s="437"/>
      <c r="C460" s="456"/>
      <c r="D460" s="457">
        <f>IF(B460=0,0,VLOOKUP(B460,Supplies!$B$13:$C$97,2,FALSE))</f>
        <v>0</v>
      </c>
      <c r="E460" s="385">
        <f>IF(D460=" "," ",D460*C460)</f>
        <v>0</v>
      </c>
      <c r="H460" s="465" t="s">
        <v>202</v>
      </c>
      <c r="I460" s="466" t="s">
        <v>204</v>
      </c>
      <c r="J460" s="463"/>
      <c r="K460" s="464"/>
      <c r="L460" s="464"/>
      <c r="M460" s="464"/>
      <c r="N460" s="483"/>
    </row>
    <row r="461" spans="1:14" s="348" customFormat="1" ht="15" customHeight="1" thickBot="1" x14ac:dyDescent="0.4">
      <c r="A461" s="100">
        <v>20</v>
      </c>
      <c r="B461" s="439"/>
      <c r="C461" s="442"/>
      <c r="D461" s="443">
        <f>IF(B461=0,0,VLOOKUP(B461,Supplies!$B$13:$C$97,2,FALSE))</f>
        <v>0</v>
      </c>
      <c r="E461" s="377">
        <f>IF(D461=" "," ",D461*C461)</f>
        <v>0</v>
      </c>
      <c r="F461" s="222"/>
      <c r="G461" s="222"/>
      <c r="H461" s="467"/>
      <c r="I461" s="484" t="str">
        <f>IF(H461=0," ",VLOOKUP(H461,Subcontractors!$B$15:$E$25,4))</f>
        <v xml:space="preserve"> </v>
      </c>
      <c r="J461" s="463"/>
      <c r="K461" s="464"/>
      <c r="L461" s="464"/>
      <c r="M461" s="464"/>
      <c r="N461" s="222"/>
    </row>
    <row r="462" spans="1:14" ht="15" thickBot="1" x14ac:dyDescent="0.4">
      <c r="A462" s="100"/>
      <c r="B462" s="335"/>
      <c r="C462" s="485"/>
      <c r="D462" s="397"/>
      <c r="E462" s="397"/>
      <c r="H462" s="469"/>
      <c r="I462" s="486" t="str">
        <f>IF(H462=0," ",VLOOKUP(H462,Subcontractors!$B$15:$E$25,4))</f>
        <v xml:space="preserve"> </v>
      </c>
    </row>
    <row r="463" spans="1:14" x14ac:dyDescent="0.35">
      <c r="A463" s="100"/>
      <c r="B463" s="335"/>
      <c r="C463" s="485"/>
      <c r="D463" s="397"/>
      <c r="E463" s="397"/>
      <c r="H463" s="473"/>
      <c r="I463" s="404"/>
    </row>
    <row r="464" spans="1:14" ht="18.5" x14ac:dyDescent="0.35">
      <c r="A464" s="818" t="s">
        <v>192</v>
      </c>
      <c r="B464" s="828"/>
      <c r="C464" s="828"/>
      <c r="D464" s="828"/>
      <c r="E464" s="828"/>
      <c r="F464" s="828"/>
      <c r="G464" s="150" t="str">
        <f>B415</f>
        <v>Enter Periodical Service 1</v>
      </c>
      <c r="H464" s="301"/>
      <c r="I464" s="150"/>
      <c r="J464" s="150"/>
      <c r="K464" s="150"/>
      <c r="L464" s="150"/>
      <c r="M464" s="150"/>
      <c r="N464" s="150"/>
    </row>
    <row r="465" spans="1:14" ht="18.5" x14ac:dyDescent="0.35">
      <c r="A465" s="818" t="s">
        <v>193</v>
      </c>
      <c r="B465" s="828"/>
      <c r="C465" s="828"/>
      <c r="D465" s="828"/>
      <c r="E465" s="828"/>
      <c r="F465" s="828"/>
      <c r="G465" s="150" t="str">
        <f>B473</f>
        <v>Enter Periodical Service 2</v>
      </c>
      <c r="H465" s="301"/>
      <c r="I465" s="150"/>
      <c r="J465" s="150"/>
      <c r="K465" s="150"/>
      <c r="L465" s="150"/>
      <c r="M465" s="150"/>
      <c r="N465" s="150"/>
    </row>
    <row r="467" spans="1:14" x14ac:dyDescent="0.35">
      <c r="B467" s="222" t="s">
        <v>109</v>
      </c>
      <c r="C467" s="741">
        <f>'kt info'!$C$3</f>
        <v>0</v>
      </c>
      <c r="D467" s="824"/>
      <c r="E467" s="824"/>
      <c r="F467" s="825"/>
      <c r="H467" s="333"/>
      <c r="J467" s="811" t="s">
        <v>170</v>
      </c>
      <c r="K467" s="708"/>
      <c r="L467" s="708"/>
      <c r="M467" s="708"/>
    </row>
    <row r="468" spans="1:14" x14ac:dyDescent="0.35">
      <c r="C468" s="300"/>
      <c r="D468" s="100"/>
      <c r="E468" s="100"/>
      <c r="F468" s="100"/>
      <c r="I468" s="329"/>
      <c r="J468" s="329" t="str">
        <f>$B$10</f>
        <v>All Carpets</v>
      </c>
      <c r="L468" s="336" t="str">
        <f>$B$415</f>
        <v>Enter Periodical Service 1</v>
      </c>
    </row>
    <row r="469" spans="1:14" ht="15" customHeight="1" x14ac:dyDescent="0.35">
      <c r="B469" s="222" t="s">
        <v>110</v>
      </c>
      <c r="C469" s="741">
        <f>'kt info'!$C$5</f>
        <v>0</v>
      </c>
      <c r="D469" s="824"/>
      <c r="E469" s="824"/>
      <c r="F469" s="825"/>
      <c r="J469" s="329" t="str">
        <f>$B$67</f>
        <v>High Traffic Carpet</v>
      </c>
      <c r="L469" s="336" t="str">
        <f>$B$473</f>
        <v>Enter Periodical Service 2</v>
      </c>
    </row>
    <row r="470" spans="1:14" ht="15" customHeight="1" x14ac:dyDescent="0.35">
      <c r="C470" s="300"/>
      <c r="D470" s="100"/>
      <c r="E470" s="100"/>
      <c r="F470" s="100"/>
      <c r="J470" s="329" t="str">
        <f>$B$125</f>
        <v>Hard Floor Strip and Wax</v>
      </c>
      <c r="L470" s="336" t="str">
        <f>$B$531</f>
        <v>Enter Periodical Service 3</v>
      </c>
    </row>
    <row r="471" spans="1:14" ht="15" customHeight="1" x14ac:dyDescent="0.35">
      <c r="B471" s="222" t="s">
        <v>135</v>
      </c>
      <c r="C471" s="741">
        <f>'kt info'!$C$7</f>
        <v>0</v>
      </c>
      <c r="D471" s="824"/>
      <c r="E471" s="824"/>
      <c r="F471" s="825"/>
      <c r="J471" s="329" t="str">
        <f>$B$183</f>
        <v>Hard Floor Scrub and Seal</v>
      </c>
      <c r="L471" s="336" t="str">
        <f>$B$589</f>
        <v>Enter Periodical Service 4</v>
      </c>
    </row>
    <row r="472" spans="1:14" ht="15" customHeight="1" x14ac:dyDescent="0.35">
      <c r="J472" s="336" t="str">
        <f>$B$241</f>
        <v>Window Washing</v>
      </c>
      <c r="L472" s="336" t="str">
        <f>$B$647</f>
        <v>Enter Periodical Service 5</v>
      </c>
    </row>
    <row r="473" spans="1:14" ht="15" customHeight="1" x14ac:dyDescent="0.35">
      <c r="A473" s="337"/>
      <c r="B473" s="490" t="str">
        <f>'kt info'!B43</f>
        <v>Enter Periodical Service 2</v>
      </c>
      <c r="C473" s="339"/>
      <c r="D473" s="337"/>
      <c r="E473" s="337"/>
      <c r="F473" s="337"/>
      <c r="G473" s="337"/>
      <c r="H473" s="302" t="s">
        <v>77</v>
      </c>
      <c r="I473" s="236" t="s">
        <v>238</v>
      </c>
      <c r="J473" s="336" t="str">
        <f>$B$299</f>
        <v>Clean Chairs</v>
      </c>
      <c r="L473" s="336" t="str">
        <f>$B$705</f>
        <v>Enter Periodical Service 6</v>
      </c>
      <c r="M473" s="337"/>
      <c r="N473" s="337"/>
    </row>
    <row r="474" spans="1:14" ht="15" customHeight="1" x14ac:dyDescent="0.35">
      <c r="E474" s="178" t="s">
        <v>79</v>
      </c>
      <c r="G474" s="340"/>
      <c r="H474" s="341">
        <f>IF(SUM(M486:M495)&gt;0,SUM(M486:M495)/'kt info'!$G$43,0)</f>
        <v>0</v>
      </c>
      <c r="I474" s="342">
        <f>H474*'kt info'!$G$43</f>
        <v>0</v>
      </c>
      <c r="J474" s="336" t="str">
        <f>$B$357</f>
        <v>High Dusting</v>
      </c>
      <c r="L474" s="336" t="str">
        <f>$B$763</f>
        <v>Enter Periodical Service 7</v>
      </c>
    </row>
    <row r="475" spans="1:14" ht="15" customHeight="1" x14ac:dyDescent="0.35">
      <c r="B475" s="343" t="s">
        <v>78</v>
      </c>
      <c r="E475" s="178" t="s">
        <v>189</v>
      </c>
      <c r="G475" s="340"/>
      <c r="H475" s="344">
        <f>IF(SUM(K486:K495)&gt;0,SUM(K486:K495),0)</f>
        <v>0</v>
      </c>
      <c r="I475" s="345">
        <f>H475*'kt info'!$G$43</f>
        <v>0</v>
      </c>
      <c r="J475" s="336"/>
      <c r="L475" s="336" t="str">
        <f>$B$821</f>
        <v>Enter Periodical Service 8</v>
      </c>
    </row>
    <row r="476" spans="1:14" ht="15" customHeight="1" x14ac:dyDescent="0.35">
      <c r="B476" s="177" t="s">
        <v>96</v>
      </c>
      <c r="C476" s="346">
        <f>'kt info'!E43</f>
        <v>0</v>
      </c>
      <c r="E476" s="178" t="s">
        <v>80</v>
      </c>
      <c r="G476" s="340"/>
      <c r="H476" s="344">
        <f>IF(SUM(E500:E519)&gt;0,SUM(E500:E519),0)</f>
        <v>0</v>
      </c>
      <c r="I476" s="345">
        <f>H476*'kt info'!$G$43</f>
        <v>0</v>
      </c>
      <c r="J476" s="336"/>
      <c r="L476" s="336" t="str">
        <f>$B$879</f>
        <v>Enter Periodical Service 9</v>
      </c>
    </row>
    <row r="477" spans="1:14" x14ac:dyDescent="0.35">
      <c r="E477" s="178" t="s">
        <v>81</v>
      </c>
      <c r="G477" s="340"/>
      <c r="H477" s="344">
        <f>IF(SUM(L500:L509)&gt;0,SUM(L500:L509),0)</f>
        <v>0</v>
      </c>
      <c r="I477" s="345">
        <f>H477*'kt info'!$G$43</f>
        <v>0</v>
      </c>
      <c r="J477" s="336"/>
      <c r="L477" s="336" t="str">
        <f>$B$937</f>
        <v>Enter Periodical Service 10</v>
      </c>
    </row>
    <row r="478" spans="1:14" x14ac:dyDescent="0.35">
      <c r="B478" s="177" t="s">
        <v>98</v>
      </c>
      <c r="C478" s="347">
        <f>ROUND(IF(SUM(H475:H481)&gt;0,SUM(H475:H481),0),0)</f>
        <v>0</v>
      </c>
      <c r="E478" s="178" t="s">
        <v>89</v>
      </c>
      <c r="G478" s="340"/>
      <c r="H478" s="344">
        <f>IF(SUM(J513:J517)&gt;0,SUM(L513:L517),0)</f>
        <v>0</v>
      </c>
      <c r="I478" s="345">
        <f>H478*'kt info'!$G$43</f>
        <v>0</v>
      </c>
      <c r="J478" s="329"/>
      <c r="K478" s="336"/>
    </row>
    <row r="479" spans="1:14" x14ac:dyDescent="0.35">
      <c r="E479" s="178" t="s">
        <v>201</v>
      </c>
      <c r="G479" s="340"/>
      <c r="H479" s="344">
        <f>IF(SUM(I519:I520)=0,0,SUM(I519:I520))</f>
        <v>0</v>
      </c>
      <c r="I479" s="345">
        <f>H479*'kt info'!$G$43</f>
        <v>0</v>
      </c>
      <c r="K479" s="336"/>
    </row>
    <row r="480" spans="1:14" x14ac:dyDescent="0.35">
      <c r="B480" s="177" t="s">
        <v>97</v>
      </c>
      <c r="C480" s="347">
        <f>IF(C476&gt;0,C478/C476,0)</f>
        <v>0</v>
      </c>
      <c r="E480" s="178" t="s">
        <v>87</v>
      </c>
      <c r="G480" s="340"/>
      <c r="H480" s="344">
        <f>IF('Overhead &amp; Margin'!$D$10&gt;0,((H475+H476+H477+H478+H479)*'Overhead &amp; Margin'!$D$10/(1-('Overhead &amp; Margin'!$D$10+'Overhead &amp; Margin'!$G$10))),0)</f>
        <v>0</v>
      </c>
      <c r="I480" s="345">
        <f>H480*'kt info'!$G$43</f>
        <v>0</v>
      </c>
      <c r="K480" s="336"/>
    </row>
    <row r="481" spans="1:14" x14ac:dyDescent="0.35">
      <c r="G481" s="178" t="s">
        <v>88</v>
      </c>
      <c r="H481" s="344">
        <f>IF('Overhead &amp; Margin'!$G$10=0,0,'Overhead &amp; Margin'!$G$10*(H475+H476+H477+H478+H479)/(1-('Overhead &amp; Margin'!$D$10+'Overhead &amp; Margin'!$G$10)))</f>
        <v>0</v>
      </c>
      <c r="I481" s="345">
        <f>H481*'kt info'!$G$43</f>
        <v>0</v>
      </c>
    </row>
    <row r="482" spans="1:14" x14ac:dyDescent="0.35">
      <c r="M482" s="605" t="str">
        <f>'kt info'!$B$12</f>
        <v>Form date: 10/24/25</v>
      </c>
    </row>
    <row r="483" spans="1:14" ht="15" thickBot="1" x14ac:dyDescent="0.4">
      <c r="B483" s="348" t="s">
        <v>104</v>
      </c>
    </row>
    <row r="484" spans="1:14" x14ac:dyDescent="0.35">
      <c r="B484" s="84" t="s">
        <v>18</v>
      </c>
      <c r="C484" s="349" t="s">
        <v>19</v>
      </c>
      <c r="D484" s="350" t="s">
        <v>25</v>
      </c>
      <c r="E484" s="350" t="s">
        <v>20</v>
      </c>
      <c r="F484" s="826" t="s">
        <v>22</v>
      </c>
      <c r="G484" s="826"/>
      <c r="H484" s="351" t="s">
        <v>23</v>
      </c>
      <c r="I484" s="350" t="s">
        <v>21</v>
      </c>
      <c r="J484" s="350" t="s">
        <v>24</v>
      </c>
      <c r="K484" s="350" t="s">
        <v>77</v>
      </c>
      <c r="L484" s="352" t="s">
        <v>26</v>
      </c>
      <c r="M484" s="4" t="s">
        <v>27</v>
      </c>
      <c r="N484" s="4" t="s">
        <v>0</v>
      </c>
    </row>
    <row r="485" spans="1:14" ht="15" thickBot="1" x14ac:dyDescent="0.4">
      <c r="B485" s="22" t="s">
        <v>306</v>
      </c>
      <c r="C485" s="353" t="s">
        <v>28</v>
      </c>
      <c r="D485" s="354" t="s">
        <v>33</v>
      </c>
      <c r="E485" s="354" t="s">
        <v>29</v>
      </c>
      <c r="F485" s="827" t="s">
        <v>30</v>
      </c>
      <c r="G485" s="827"/>
      <c r="H485" s="355" t="s">
        <v>31</v>
      </c>
      <c r="I485" s="354"/>
      <c r="J485" s="354" t="s">
        <v>38</v>
      </c>
      <c r="K485" s="354" t="s">
        <v>189</v>
      </c>
      <c r="L485" s="356" t="s">
        <v>0</v>
      </c>
      <c r="M485" s="5" t="s">
        <v>0</v>
      </c>
      <c r="N485" s="5" t="s">
        <v>77</v>
      </c>
    </row>
    <row r="486" spans="1:14" x14ac:dyDescent="0.35">
      <c r="A486" s="100">
        <v>1</v>
      </c>
      <c r="B486" s="474"/>
      <c r="C486" s="358"/>
      <c r="D486" s="359" t="str">
        <f>IF(B486=0," ",'kt info'!$G$43)</f>
        <v xml:space="preserve"> </v>
      </c>
      <c r="E486" s="360" t="str">
        <f>IF(B486=0," ",VLOOKUP(B486,WageBeneTable5[#All],2,FALSE))</f>
        <v xml:space="preserve"> </v>
      </c>
      <c r="F486" s="820">
        <f>IF($E486=" ",0,'Pay &amp; Benefits'!$C$10)</f>
        <v>0</v>
      </c>
      <c r="G486" s="821"/>
      <c r="H486" s="361" t="str">
        <f>IF($E486=" "," ",'Pay &amp; Benefits'!$C$11)</f>
        <v xml:space="preserve"> </v>
      </c>
      <c r="I486" s="362" t="str">
        <f t="shared" ref="I486:I495" si="51">IF(E486=" "," ",0.0765)</f>
        <v xml:space="preserve"> </v>
      </c>
      <c r="J486" s="363" t="str">
        <f>IF(B486=0," ",VLOOKUP(B486,WageBeneTable5[#All],3,FALSE))</f>
        <v xml:space="preserve"> </v>
      </c>
      <c r="K486" s="360" t="str">
        <f t="shared" ref="K486:K495" si="52">IF(B486=0," ",C486*E486*(1+I486+F486+H486+J486))</f>
        <v xml:space="preserve"> </v>
      </c>
      <c r="L486" s="360">
        <f t="shared" ref="L486:L495" si="53">IF(K486=" ",0,K486*D486)</f>
        <v>0</v>
      </c>
      <c r="M486" s="364">
        <f t="shared" ref="M486:M495" si="54">IF(B486=0,0,C486*D486)</f>
        <v>0</v>
      </c>
      <c r="N486" s="365">
        <f t="shared" ref="N486:N495" si="55">IF(L486=0,0,IF(D486=0,0,L486/D486))</f>
        <v>0</v>
      </c>
    </row>
    <row r="487" spans="1:14" x14ac:dyDescent="0.35">
      <c r="A487" s="100">
        <v>2</v>
      </c>
      <c r="B487" s="437"/>
      <c r="C487" s="367"/>
      <c r="D487" s="359" t="str">
        <f>IF(B487=0," ",'kt info'!$G$43)</f>
        <v xml:space="preserve"> </v>
      </c>
      <c r="E487" s="368" t="str">
        <f>IF(B487=0," ",VLOOKUP(B487,WageBeneTable5[#All],2,FALSE))</f>
        <v xml:space="preserve"> </v>
      </c>
      <c r="F487" s="822">
        <f>IF($E487=" ",0,'Pay &amp; Benefits'!$C$10)</f>
        <v>0</v>
      </c>
      <c r="G487" s="823"/>
      <c r="H487" s="369" t="str">
        <f>IF($E487=" "," ",'Pay &amp; Benefits'!$C$11)</f>
        <v xml:space="preserve"> </v>
      </c>
      <c r="I487" s="370" t="str">
        <f t="shared" si="51"/>
        <v xml:space="preserve"> </v>
      </c>
      <c r="J487" s="371" t="str">
        <f>IF(B487=0," ",VLOOKUP(B487,WageBeneTable5[#All],3,FALSE))</f>
        <v xml:space="preserve"> </v>
      </c>
      <c r="K487" s="368" t="str">
        <f t="shared" si="52"/>
        <v xml:space="preserve"> </v>
      </c>
      <c r="L487" s="368">
        <f t="shared" si="53"/>
        <v>0</v>
      </c>
      <c r="M487" s="372">
        <f t="shared" si="54"/>
        <v>0</v>
      </c>
      <c r="N487" s="373">
        <f t="shared" si="55"/>
        <v>0</v>
      </c>
    </row>
    <row r="488" spans="1:14" x14ac:dyDescent="0.35">
      <c r="A488" s="100">
        <v>3</v>
      </c>
      <c r="B488" s="437"/>
      <c r="C488" s="367"/>
      <c r="D488" s="359" t="str">
        <f>IF(B488=0," ",'kt info'!$G$43)</f>
        <v xml:space="preserve"> </v>
      </c>
      <c r="E488" s="368" t="str">
        <f>IF(B488=0," ",VLOOKUP(B488,WageBeneTable5[#All],2,FALSE))</f>
        <v xml:space="preserve"> </v>
      </c>
      <c r="F488" s="822">
        <f>IF($E488=" ",0,'Pay &amp; Benefits'!$C$10)</f>
        <v>0</v>
      </c>
      <c r="G488" s="823"/>
      <c r="H488" s="369" t="str">
        <f>IF($E488=" "," ",'Pay &amp; Benefits'!$C$11)</f>
        <v xml:space="preserve"> </v>
      </c>
      <c r="I488" s="370" t="str">
        <f t="shared" si="51"/>
        <v xml:space="preserve"> </v>
      </c>
      <c r="J488" s="371" t="str">
        <f>IF(B488=0," ",VLOOKUP(B488,WageBeneTable5[#All],3,FALSE))</f>
        <v xml:space="preserve"> </v>
      </c>
      <c r="K488" s="368" t="str">
        <f t="shared" si="52"/>
        <v xml:space="preserve"> </v>
      </c>
      <c r="L488" s="368">
        <f t="shared" si="53"/>
        <v>0</v>
      </c>
      <c r="M488" s="372">
        <f t="shared" si="54"/>
        <v>0</v>
      </c>
      <c r="N488" s="373">
        <f t="shared" si="55"/>
        <v>0</v>
      </c>
    </row>
    <row r="489" spans="1:14" x14ac:dyDescent="0.35">
      <c r="A489" s="100">
        <v>4</v>
      </c>
      <c r="B489" s="437"/>
      <c r="C489" s="367"/>
      <c r="D489" s="359" t="str">
        <f>IF(B489=0," ",'kt info'!$G$43)</f>
        <v xml:space="preserve"> </v>
      </c>
      <c r="E489" s="368" t="str">
        <f>IF(B489=0," ",VLOOKUP(B489,WageBeneTable5[#All],2,FALSE))</f>
        <v xml:space="preserve"> </v>
      </c>
      <c r="F489" s="822">
        <f>IF($E489=" ",0,'Pay &amp; Benefits'!$C$10)</f>
        <v>0</v>
      </c>
      <c r="G489" s="823"/>
      <c r="H489" s="369" t="str">
        <f>IF($E489=" "," ",'Pay &amp; Benefits'!$C$11)</f>
        <v xml:space="preserve"> </v>
      </c>
      <c r="I489" s="370" t="str">
        <f t="shared" si="51"/>
        <v xml:space="preserve"> </v>
      </c>
      <c r="J489" s="371" t="str">
        <f>IF(B489=0," ",VLOOKUP(B489,WageBeneTable5[#All],3,FALSE))</f>
        <v xml:space="preserve"> </v>
      </c>
      <c r="K489" s="368" t="str">
        <f t="shared" si="52"/>
        <v xml:space="preserve"> </v>
      </c>
      <c r="L489" s="368">
        <f t="shared" si="53"/>
        <v>0</v>
      </c>
      <c r="M489" s="372">
        <f t="shared" si="54"/>
        <v>0</v>
      </c>
      <c r="N489" s="373">
        <f t="shared" si="55"/>
        <v>0</v>
      </c>
    </row>
    <row r="490" spans="1:14" ht="15" thickBot="1" x14ac:dyDescent="0.4">
      <c r="A490" s="100">
        <v>5</v>
      </c>
      <c r="B490" s="439"/>
      <c r="C490" s="375"/>
      <c r="D490" s="376" t="str">
        <f>IF(B490=0," ",'kt info'!$G$43)</f>
        <v xml:space="preserve"> </v>
      </c>
      <c r="E490" s="377" t="str">
        <f>IF(B490=0," ",VLOOKUP(B490,WageBeneTable5[#All],2,FALSE))</f>
        <v xml:space="preserve"> </v>
      </c>
      <c r="F490" s="813">
        <f>IF($E490=" ",0,'Pay &amp; Benefits'!$C$10)</f>
        <v>0</v>
      </c>
      <c r="G490" s="814"/>
      <c r="H490" s="378" t="str">
        <f>IF($E490=" "," ",'Pay &amp; Benefits'!$C$11)</f>
        <v xml:space="preserve"> </v>
      </c>
      <c r="I490" s="379" t="str">
        <f t="shared" si="51"/>
        <v xml:space="preserve"> </v>
      </c>
      <c r="J490" s="380" t="str">
        <f>IF(B490=0," ",VLOOKUP(B490,WageBeneTable5[#All],3,FALSE))</f>
        <v xml:space="preserve"> </v>
      </c>
      <c r="K490" s="377" t="str">
        <f t="shared" si="52"/>
        <v xml:space="preserve"> </v>
      </c>
      <c r="L490" s="377">
        <f t="shared" si="53"/>
        <v>0</v>
      </c>
      <c r="M490" s="381">
        <f t="shared" si="54"/>
        <v>0</v>
      </c>
      <c r="N490" s="382">
        <f t="shared" si="55"/>
        <v>0</v>
      </c>
    </row>
    <row r="491" spans="1:14" x14ac:dyDescent="0.35">
      <c r="A491" s="100">
        <v>6</v>
      </c>
      <c r="B491" s="474"/>
      <c r="C491" s="383"/>
      <c r="D491" s="384" t="str">
        <f>IF(B491=0," ",'kt info'!$G$43)</f>
        <v xml:space="preserve"> </v>
      </c>
      <c r="E491" s="385" t="str">
        <f>IF(B491=0," ",VLOOKUP(B491,WageBeneTable5[#All],2,FALSE))</f>
        <v xml:space="preserve"> </v>
      </c>
      <c r="F491" s="820">
        <f>IF($E491=" ",0,'Pay &amp; Benefits'!$C$10)</f>
        <v>0</v>
      </c>
      <c r="G491" s="821"/>
      <c r="H491" s="386" t="str">
        <f>IF($E491=" "," ",'Pay &amp; Benefits'!$C$11)</f>
        <v xml:space="preserve"> </v>
      </c>
      <c r="I491" s="387" t="str">
        <f t="shared" si="51"/>
        <v xml:space="preserve"> </v>
      </c>
      <c r="J491" s="388" t="str">
        <f>IF(B491=0," ",VLOOKUP(B491,WageBeneTable5[#All],3,FALSE))</f>
        <v xml:space="preserve"> </v>
      </c>
      <c r="K491" s="385" t="str">
        <f t="shared" si="52"/>
        <v xml:space="preserve"> </v>
      </c>
      <c r="L491" s="385">
        <f t="shared" si="53"/>
        <v>0</v>
      </c>
      <c r="M491" s="389">
        <f t="shared" si="54"/>
        <v>0</v>
      </c>
      <c r="N491" s="390">
        <f t="shared" si="55"/>
        <v>0</v>
      </c>
    </row>
    <row r="492" spans="1:14" x14ac:dyDescent="0.35">
      <c r="A492" s="100">
        <v>7</v>
      </c>
      <c r="B492" s="437"/>
      <c r="C492" s="367"/>
      <c r="D492" s="384" t="str">
        <f>IF(B492=0," ",'kt info'!$G$43)</f>
        <v xml:space="preserve"> </v>
      </c>
      <c r="E492" s="385" t="str">
        <f>IF(B492=0," ",VLOOKUP(B492,WageBeneTable5[#All],2,FALSE))</f>
        <v xml:space="preserve"> </v>
      </c>
      <c r="F492" s="822">
        <f>IF($E492=" ",0,'Pay &amp; Benefits'!$C$10)</f>
        <v>0</v>
      </c>
      <c r="G492" s="823"/>
      <c r="H492" s="386" t="str">
        <f>IF($E492=" "," ",'Pay &amp; Benefits'!$C$11)</f>
        <v xml:space="preserve"> </v>
      </c>
      <c r="I492" s="387" t="str">
        <f t="shared" si="51"/>
        <v xml:space="preserve"> </v>
      </c>
      <c r="J492" s="388" t="str">
        <f>IF(B492=0," ",VLOOKUP(B492,WageBeneTable5[#All],3,FALSE))</f>
        <v xml:space="preserve"> </v>
      </c>
      <c r="K492" s="385" t="str">
        <f t="shared" si="52"/>
        <v xml:space="preserve"> </v>
      </c>
      <c r="L492" s="385">
        <f t="shared" si="53"/>
        <v>0</v>
      </c>
      <c r="M492" s="389">
        <f t="shared" si="54"/>
        <v>0</v>
      </c>
      <c r="N492" s="390">
        <f t="shared" si="55"/>
        <v>0</v>
      </c>
    </row>
    <row r="493" spans="1:14" x14ac:dyDescent="0.35">
      <c r="A493" s="100">
        <v>8</v>
      </c>
      <c r="B493" s="437"/>
      <c r="C493" s="367"/>
      <c r="D493" s="384" t="str">
        <f>IF(B493=0," ",'kt info'!$G$43)</f>
        <v xml:space="preserve"> </v>
      </c>
      <c r="E493" s="385" t="str">
        <f>IF(B493=0," ",VLOOKUP(B493,WageBeneTable5[#All],2,FALSE))</f>
        <v xml:space="preserve"> </v>
      </c>
      <c r="F493" s="822">
        <f>IF($E493=" ",0,'Pay &amp; Benefits'!$C$10)</f>
        <v>0</v>
      </c>
      <c r="G493" s="823"/>
      <c r="H493" s="386" t="str">
        <f>IF($E493=" "," ",'Pay &amp; Benefits'!$C$11)</f>
        <v xml:space="preserve"> </v>
      </c>
      <c r="I493" s="387" t="str">
        <f t="shared" si="51"/>
        <v xml:space="preserve"> </v>
      </c>
      <c r="J493" s="388" t="str">
        <f>IF(B493=0," ",VLOOKUP(B493,WageBeneTable5[#All],3,FALSE))</f>
        <v xml:space="preserve"> </v>
      </c>
      <c r="K493" s="385" t="str">
        <f t="shared" si="52"/>
        <v xml:space="preserve"> </v>
      </c>
      <c r="L493" s="385">
        <f t="shared" si="53"/>
        <v>0</v>
      </c>
      <c r="M493" s="389">
        <f t="shared" si="54"/>
        <v>0</v>
      </c>
      <c r="N493" s="390">
        <f t="shared" si="55"/>
        <v>0</v>
      </c>
    </row>
    <row r="494" spans="1:14" x14ac:dyDescent="0.35">
      <c r="A494" s="100">
        <v>9</v>
      </c>
      <c r="B494" s="437"/>
      <c r="C494" s="367"/>
      <c r="D494" s="384" t="str">
        <f>IF(B494=0," ",'kt info'!$G$43)</f>
        <v xml:space="preserve"> </v>
      </c>
      <c r="E494" s="385" t="str">
        <f>IF(B494=0," ",VLOOKUP(B494,WageBeneTable5[#All],2,FALSE))</f>
        <v xml:space="preserve"> </v>
      </c>
      <c r="F494" s="822">
        <f>IF($E494=" ",0,'Pay &amp; Benefits'!$C$10)</f>
        <v>0</v>
      </c>
      <c r="G494" s="823"/>
      <c r="H494" s="386" t="str">
        <f>IF($E494=" "," ",'Pay &amp; Benefits'!$C$11)</f>
        <v xml:space="preserve"> </v>
      </c>
      <c r="I494" s="387" t="str">
        <f t="shared" si="51"/>
        <v xml:space="preserve"> </v>
      </c>
      <c r="J494" s="388" t="str">
        <f>IF(B494=0," ",VLOOKUP(B494,WageBeneTable5[#All],3,FALSE))</f>
        <v xml:space="preserve"> </v>
      </c>
      <c r="K494" s="385" t="str">
        <f t="shared" si="52"/>
        <v xml:space="preserve"> </v>
      </c>
      <c r="L494" s="385">
        <f t="shared" si="53"/>
        <v>0</v>
      </c>
      <c r="M494" s="389">
        <f t="shared" si="54"/>
        <v>0</v>
      </c>
      <c r="N494" s="390">
        <f t="shared" si="55"/>
        <v>0</v>
      </c>
    </row>
    <row r="495" spans="1:14" ht="15" thickBot="1" x14ac:dyDescent="0.4">
      <c r="A495" s="100">
        <v>10</v>
      </c>
      <c r="B495" s="439"/>
      <c r="C495" s="375"/>
      <c r="D495" s="376" t="str">
        <f>IF(B495=0," ",'kt info'!$G$43)</f>
        <v xml:space="preserve"> </v>
      </c>
      <c r="E495" s="377" t="str">
        <f>IF(B495=0," ",VLOOKUP(B495,WageBeneTable5[#All],2,FALSE))</f>
        <v xml:space="preserve"> </v>
      </c>
      <c r="F495" s="813">
        <f>IF($E495=" ",0,'Pay &amp; Benefits'!$C$10)</f>
        <v>0</v>
      </c>
      <c r="G495" s="814"/>
      <c r="H495" s="378" t="str">
        <f>IF($E495=" "," ",'Pay &amp; Benefits'!$C$11)</f>
        <v xml:space="preserve"> </v>
      </c>
      <c r="I495" s="379" t="str">
        <f t="shared" si="51"/>
        <v xml:space="preserve"> </v>
      </c>
      <c r="J495" s="380" t="str">
        <f>IF(B495=0," ",VLOOKUP(B495,WageBeneTable5[#All],3,FALSE))</f>
        <v xml:space="preserve"> </v>
      </c>
      <c r="K495" s="377" t="str">
        <f t="shared" si="52"/>
        <v xml:space="preserve"> </v>
      </c>
      <c r="L495" s="377">
        <f t="shared" si="53"/>
        <v>0</v>
      </c>
      <c r="M495" s="381">
        <f t="shared" si="54"/>
        <v>0</v>
      </c>
      <c r="N495" s="382">
        <f t="shared" si="55"/>
        <v>0</v>
      </c>
    </row>
    <row r="496" spans="1:14" x14ac:dyDescent="0.35">
      <c r="K496" s="391"/>
      <c r="L496" s="392"/>
      <c r="M496" s="393"/>
    </row>
    <row r="497" spans="1:14" ht="15" thickBot="1" x14ac:dyDescent="0.4">
      <c r="B497" s="394" t="s">
        <v>203</v>
      </c>
      <c r="E497" s="395"/>
      <c r="H497" s="815" t="s">
        <v>199</v>
      </c>
      <c r="I497" s="816"/>
      <c r="M497" s="475"/>
      <c r="N497" s="100"/>
    </row>
    <row r="498" spans="1:14" x14ac:dyDescent="0.35">
      <c r="B498" s="32" t="s">
        <v>123</v>
      </c>
      <c r="C498" s="398" t="s">
        <v>239</v>
      </c>
      <c r="D498" s="399" t="s">
        <v>9</v>
      </c>
      <c r="E498" s="400" t="s">
        <v>83</v>
      </c>
      <c r="H498" s="303" t="s">
        <v>15</v>
      </c>
      <c r="I498" s="4" t="s">
        <v>85</v>
      </c>
      <c r="J498" s="4" t="s">
        <v>16</v>
      </c>
      <c r="K498" s="4" t="s">
        <v>241</v>
      </c>
      <c r="L498" s="4" t="s">
        <v>83</v>
      </c>
      <c r="M498" s="476"/>
      <c r="N498" s="477"/>
    </row>
    <row r="499" spans="1:14" ht="15" thickBot="1" x14ac:dyDescent="0.4">
      <c r="B499" s="33" t="s">
        <v>124</v>
      </c>
      <c r="C499" s="401" t="s">
        <v>84</v>
      </c>
      <c r="D499" s="402" t="s">
        <v>10</v>
      </c>
      <c r="E499" s="403" t="s">
        <v>84</v>
      </c>
      <c r="H499" s="304" t="s">
        <v>13</v>
      </c>
      <c r="I499" s="5" t="s">
        <v>86</v>
      </c>
      <c r="J499" s="5" t="s">
        <v>17</v>
      </c>
      <c r="K499" s="5" t="s">
        <v>12</v>
      </c>
      <c r="L499" s="5" t="s">
        <v>84</v>
      </c>
      <c r="M499" s="478"/>
      <c r="N499" s="479"/>
    </row>
    <row r="500" spans="1:14" x14ac:dyDescent="0.35">
      <c r="A500" s="100">
        <v>1</v>
      </c>
      <c r="B500" s="474"/>
      <c r="C500" s="406"/>
      <c r="D500" s="407">
        <f>IF(B500=0,0,VLOOKUP(B500,Supplies!$B$13:$C$97,2,FALSE))</f>
        <v>0</v>
      </c>
      <c r="E500" s="360">
        <f>IF(D500=" "," ",D500*C500)</f>
        <v>0</v>
      </c>
      <c r="G500" s="100">
        <v>1</v>
      </c>
      <c r="H500" s="408"/>
      <c r="I500" s="409"/>
      <c r="J500" s="410"/>
      <c r="K500" s="331" t="str">
        <f>IF(H500=0," ",IF(VLOOKUP(H500,'Equipment List'!$B$12:$F$96,5,FALSE)=0,0,IF(VLOOKUP(H500,'Equipment List'!$B$12:$F$96,5,FALSE)="Grant","Grant",IF(VLOOKUP(H500,'Equipment List'!$B$12:$F$96,5,FALSE)="Depreciated","Depreciated",VLOOKUP(H500,'Equipment List'!$B$12:$F$96,5,FALSE)*I500*J500))))</f>
        <v xml:space="preserve"> </v>
      </c>
      <c r="L500" s="365" t="str">
        <f>IF(K500=" "," ",IF(K500="Grant",0,IF(K500="Depreciated",0,IF('kt info'!$G$43=0,"No Service Frequency",K500/'kt info'!$G$43))))</f>
        <v xml:space="preserve"> </v>
      </c>
      <c r="M500" s="480"/>
      <c r="N500" s="404"/>
    </row>
    <row r="501" spans="1:14" x14ac:dyDescent="0.35">
      <c r="A501" s="100">
        <v>2</v>
      </c>
      <c r="B501" s="437"/>
      <c r="C501" s="414"/>
      <c r="D501" s="415">
        <f>IF(B501=0,0,VLOOKUP(B501,Supplies!$B$13:$C$97,2,FALSE))</f>
        <v>0</v>
      </c>
      <c r="E501" s="385">
        <f>IF(D501=" "," ",D501*C501)</f>
        <v>0</v>
      </c>
      <c r="G501" s="100">
        <v>2</v>
      </c>
      <c r="H501" s="416"/>
      <c r="I501" s="417"/>
      <c r="J501" s="418"/>
      <c r="K501" s="421" t="str">
        <f>IF(H501=0," ",IF(VLOOKUP(H501,'Equipment List'!$B$12:$F$96,5,FALSE)=0,0,IF(VLOOKUP(H501,'Equipment List'!$B$12:$F$96,5,FALSE)="Grant","Grant",IF(VLOOKUP(H501,'Equipment List'!$B$12:$F$96,5,FALSE)="Depreciated","Depreciated",VLOOKUP(H501,'Equipment List'!$B$12:$F$96,5,FALSE)*I501*J501))))</f>
        <v xml:space="preserve"> </v>
      </c>
      <c r="L501" s="390" t="str">
        <f>IF(K501=" "," ",IF(K501="Grant",0,IF(K501="Depreciated",0,IF('kt info'!$G$43=0,"No Service Frequency",K501/'kt info'!$G$43))))</f>
        <v xml:space="preserve"> </v>
      </c>
    </row>
    <row r="502" spans="1:14" x14ac:dyDescent="0.35">
      <c r="A502" s="100">
        <v>3</v>
      </c>
      <c r="B502" s="437"/>
      <c r="C502" s="414"/>
      <c r="D502" s="415">
        <f>IF(B502=0,0,VLOOKUP(B502,Supplies!$B$13:$C$97,2,FALSE))</f>
        <v>0</v>
      </c>
      <c r="E502" s="385">
        <f t="shared" ref="E502:E515" si="56">IF(D502=" "," ",D502*C502)</f>
        <v>0</v>
      </c>
      <c r="G502" s="100">
        <v>3</v>
      </c>
      <c r="H502" s="416"/>
      <c r="I502" s="417"/>
      <c r="J502" s="418"/>
      <c r="K502" s="421" t="str">
        <f>IF(H502=0," ",IF(VLOOKUP(H502,'Equipment List'!$B$12:$F$96,5,FALSE)=0,0,IF(VLOOKUP(H502,'Equipment List'!$B$12:$F$96,5,FALSE)="Grant","Grant",IF(VLOOKUP(H502,'Equipment List'!$B$12:$F$96,5,FALSE)="Depreciated","Depreciated",VLOOKUP(H502,'Equipment List'!$B$12:$F$96,5,FALSE)*I502*J502))))</f>
        <v xml:space="preserve"> </v>
      </c>
      <c r="L502" s="390" t="str">
        <f>IF(K502=" "," ",IF(K502="Grant",0,IF(K502="Depreciated",0,IF('kt info'!$G$43=0,"No Service Frequency",K502/'kt info'!$G$43))))</f>
        <v xml:space="preserve"> </v>
      </c>
    </row>
    <row r="503" spans="1:14" x14ac:dyDescent="0.35">
      <c r="A503" s="100">
        <v>4</v>
      </c>
      <c r="B503" s="437"/>
      <c r="C503" s="414"/>
      <c r="D503" s="415">
        <f>IF(B503=0,0,VLOOKUP(B503,Supplies!$B$13:$C$97,2,FALSE))</f>
        <v>0</v>
      </c>
      <c r="E503" s="385">
        <f t="shared" si="56"/>
        <v>0</v>
      </c>
      <c r="G503" s="100">
        <v>4</v>
      </c>
      <c r="H503" s="416"/>
      <c r="I503" s="417"/>
      <c r="J503" s="418"/>
      <c r="K503" s="421" t="str">
        <f>IF(H503=0," ",IF(VLOOKUP(H503,'Equipment List'!$B$12:$F$96,5,FALSE)=0,0,IF(VLOOKUP(H503,'Equipment List'!$B$12:$F$96,5,FALSE)="Grant","Grant",IF(VLOOKUP(H503,'Equipment List'!$B$12:$F$96,5,FALSE)="Depreciated","Depreciated",VLOOKUP(H503,'Equipment List'!$B$12:$F$96,5,FALSE)*I503*J503))))</f>
        <v xml:space="preserve"> </v>
      </c>
      <c r="L503" s="390" t="str">
        <f>IF(K503=" "," ",IF(K503="Grant",0,IF(K503="Depreciated",0,IF('kt info'!$G$43=0,"No Service Frequency",K503/'kt info'!$G$43))))</f>
        <v xml:space="preserve"> </v>
      </c>
    </row>
    <row r="504" spans="1:14" ht="15" thickBot="1" x14ac:dyDescent="0.4">
      <c r="A504" s="100">
        <v>5</v>
      </c>
      <c r="B504" s="439"/>
      <c r="C504" s="423"/>
      <c r="D504" s="424">
        <f>IF(B504=0,0,VLOOKUP(B504,Supplies!$B$13:$C$97,2,FALSE))</f>
        <v>0</v>
      </c>
      <c r="E504" s="377">
        <f t="shared" si="56"/>
        <v>0</v>
      </c>
      <c r="G504" s="100">
        <v>5</v>
      </c>
      <c r="H504" s="425"/>
      <c r="I504" s="426"/>
      <c r="J504" s="427"/>
      <c r="K504" s="428" t="str">
        <f>IF(H504=0," ",IF(VLOOKUP(H504,'Equipment List'!$B$12:$F$96,5,FALSE)=0,0,IF(VLOOKUP(H504,'Equipment List'!$B$12:$F$96,5,FALSE)="Grant","Grant",IF(VLOOKUP(H504,'Equipment List'!$B$12:$F$96,5,FALSE)="Depreciated","Depreciated",VLOOKUP(H504,'Equipment List'!$B$12:$F$96,5,FALSE)*I504*J504))))</f>
        <v xml:space="preserve"> </v>
      </c>
      <c r="L504" s="382" t="str">
        <f>IF(K504=" "," ",IF(K504="Grant",0,IF(K504="Depreciated",0,IF('kt info'!$G$43=0,"No Service Frequency",K504/'kt info'!$G$43))))</f>
        <v xml:space="preserve"> </v>
      </c>
    </row>
    <row r="505" spans="1:14" x14ac:dyDescent="0.35">
      <c r="A505" s="100">
        <v>6</v>
      </c>
      <c r="B505" s="433"/>
      <c r="C505" s="431"/>
      <c r="D505" s="432">
        <f>IF(B505=0,0,VLOOKUP(B505,Supplies!$B$13:$C$97,2,FALSE))</f>
        <v>0</v>
      </c>
      <c r="E505" s="385">
        <f t="shared" si="56"/>
        <v>0</v>
      </c>
      <c r="G505" s="100">
        <v>6</v>
      </c>
      <c r="H505" s="433"/>
      <c r="I505" s="434"/>
      <c r="J505" s="435"/>
      <c r="K505" s="436" t="str">
        <f>IF(H505=0," ",IF(VLOOKUP(H505,'Equipment List'!$B$12:$F$96,5,FALSE)=0,0,IF(VLOOKUP(H505,'Equipment List'!$B$12:$F$96,5,FALSE)="Grant","Grant",IF(VLOOKUP(H505,'Equipment List'!$B$12:$F$96,5,FALSE)="Depreciated","Depreciated",VLOOKUP(H505,'Equipment List'!$B$12:$F$96,5,FALSE)*I505*J505))))</f>
        <v xml:space="preserve"> </v>
      </c>
      <c r="L505" s="390" t="str">
        <f>IF(K505=" "," ",IF(K505="Grant",0,IF(K505="Depreciated",0,IF('kt info'!$G$43=0,"No Service Frequency",K505/'kt info'!$G$43))))</f>
        <v xml:space="preserve"> </v>
      </c>
    </row>
    <row r="506" spans="1:14" x14ac:dyDescent="0.35">
      <c r="A506" s="100">
        <v>7</v>
      </c>
      <c r="B506" s="437"/>
      <c r="C506" s="414"/>
      <c r="D506" s="415">
        <f>IF(B506=0,0,VLOOKUP(B506,Supplies!$B$13:$C$97,2,FALSE))</f>
        <v>0</v>
      </c>
      <c r="E506" s="385">
        <f t="shared" si="56"/>
        <v>0</v>
      </c>
      <c r="G506" s="100">
        <v>7</v>
      </c>
      <c r="H506" s="437"/>
      <c r="I506" s="417"/>
      <c r="J506" s="418"/>
      <c r="K506" s="438" t="str">
        <f>IF(H506=0," ",IF(VLOOKUP(H506,'Equipment List'!$B$12:$F$96,5,FALSE)=0,0,IF(VLOOKUP(H506,'Equipment List'!$B$12:$F$96,5,FALSE)="Grant","Grant",IF(VLOOKUP(H506,'Equipment List'!$B$12:$F$96,5,FALSE)="Depreciated","Depreciated",VLOOKUP(H506,'Equipment List'!$B$12:$F$96,5,FALSE)*I506*J506))))</f>
        <v xml:space="preserve"> </v>
      </c>
      <c r="L506" s="390" t="str">
        <f>IF(K506=" "," ",IF(K506="Grant",0,IF(K506="Depreciated",0,IF('kt info'!$G$43=0,"No Service Frequency",K506/'kt info'!$G$43))))</f>
        <v xml:space="preserve"> </v>
      </c>
    </row>
    <row r="507" spans="1:14" x14ac:dyDescent="0.35">
      <c r="A507" s="100">
        <v>8</v>
      </c>
      <c r="B507" s="437"/>
      <c r="C507" s="414"/>
      <c r="D507" s="415">
        <f>IF(B507=0,0,VLOOKUP(B507,Supplies!$B$13:$C$97,2,FALSE))</f>
        <v>0</v>
      </c>
      <c r="E507" s="385">
        <f t="shared" si="56"/>
        <v>0</v>
      </c>
      <c r="G507" s="100">
        <v>8</v>
      </c>
      <c r="H507" s="437"/>
      <c r="I507" s="417"/>
      <c r="J507" s="418"/>
      <c r="K507" s="438" t="str">
        <f>IF(H507=0," ",IF(VLOOKUP(H507,'Equipment List'!$B$12:$F$96,5,FALSE)=0,0,IF(VLOOKUP(H507,'Equipment List'!$B$12:$F$96,5,FALSE)="Grant","Grant",IF(VLOOKUP(H507,'Equipment List'!$B$12:$F$96,5,FALSE)="Depreciated","Depreciated",VLOOKUP(H507,'Equipment List'!$B$12:$F$96,5,FALSE)*I507*J507))))</f>
        <v xml:space="preserve"> </v>
      </c>
      <c r="L507" s="390" t="str">
        <f>IF(K507=" "," ",IF(K507="Grant",0,IF(K507="Depreciated",0,IF('kt info'!$G$43=0,"No Service Frequency",K507/'kt info'!$G$43))))</f>
        <v xml:space="preserve"> </v>
      </c>
    </row>
    <row r="508" spans="1:14" x14ac:dyDescent="0.35">
      <c r="A508" s="100">
        <v>9</v>
      </c>
      <c r="B508" s="437"/>
      <c r="C508" s="414"/>
      <c r="D508" s="415">
        <f>IF(B508=0,0,VLOOKUP(B508,Supplies!$B$13:$C$97,2,FALSE))</f>
        <v>0</v>
      </c>
      <c r="E508" s="385">
        <f t="shared" si="56"/>
        <v>0</v>
      </c>
      <c r="G508" s="100">
        <v>9</v>
      </c>
      <c r="H508" s="437"/>
      <c r="I508" s="417"/>
      <c r="J508" s="418"/>
      <c r="K508" s="438" t="str">
        <f>IF(H508=0," ",IF(VLOOKUP(H508,'Equipment List'!$B$12:$F$96,5,FALSE)=0,0,IF(VLOOKUP(H508,'Equipment List'!$B$12:$F$96,5,FALSE)="Grant","Grant",IF(VLOOKUP(H508,'Equipment List'!$B$12:$F$96,5,FALSE)="Depreciated","Depreciated",VLOOKUP(H508,'Equipment List'!$B$12:$F$96,5,FALSE)*I508*J508))))</f>
        <v xml:space="preserve"> </v>
      </c>
      <c r="L508" s="390" t="str">
        <f>IF(K508=" "," ",IF(K508="Grant",0,IF(K508="Depreciated",0,IF('kt info'!$G$43=0,"No Service Frequency",K508/'kt info'!$G$43))))</f>
        <v xml:space="preserve"> </v>
      </c>
    </row>
    <row r="509" spans="1:14" ht="15" thickBot="1" x14ac:dyDescent="0.4">
      <c r="A509" s="100">
        <v>10</v>
      </c>
      <c r="B509" s="439"/>
      <c r="C509" s="423"/>
      <c r="D509" s="424">
        <f>IF(B509=0,0,VLOOKUP(B509,Supplies!$B$13:$C$97,2,FALSE))</f>
        <v>0</v>
      </c>
      <c r="E509" s="377">
        <f t="shared" si="56"/>
        <v>0</v>
      </c>
      <c r="G509" s="100">
        <v>10</v>
      </c>
      <c r="H509" s="439"/>
      <c r="I509" s="426"/>
      <c r="J509" s="427"/>
      <c r="K509" s="440" t="str">
        <f>IF(H509=0," ",IF(VLOOKUP(H509,'Equipment List'!$B$12:$F$96,5,FALSE)=0,0,IF(VLOOKUP(H509,'Equipment List'!$B$12:$F$96,5,FALSE)="Grant","Grant",IF(VLOOKUP(H509,'Equipment List'!$B$12:$F$96,5,FALSE)="Depreciated","Depreciated",VLOOKUP(H509,'Equipment List'!$B$12:$F$96,5,FALSE)*I509*J509))))</f>
        <v xml:space="preserve"> </v>
      </c>
      <c r="L509" s="382" t="str">
        <f>IF(K509=" "," ",IF(K509="Grant",0,IF(K509="Depreciated",0,IF('kt info'!$G$43=0,"No Service Frequency",K509/'kt info'!$G$43))))</f>
        <v xml:space="preserve"> </v>
      </c>
    </row>
    <row r="510" spans="1:14" x14ac:dyDescent="0.35">
      <c r="A510" s="100">
        <v>11</v>
      </c>
      <c r="B510" s="433"/>
      <c r="C510" s="431"/>
      <c r="D510" s="432">
        <f>IF(B510=0,0,VLOOKUP(B510,Supplies!$B$13:$C$97,2,FALSE))</f>
        <v>0</v>
      </c>
      <c r="E510" s="385">
        <f t="shared" si="56"/>
        <v>0</v>
      </c>
    </row>
    <row r="511" spans="1:14" ht="15" thickBot="1" x14ac:dyDescent="0.4">
      <c r="A511" s="100">
        <v>12</v>
      </c>
      <c r="B511" s="437"/>
      <c r="C511" s="414"/>
      <c r="D511" s="415">
        <f>IF(B511=0,0,VLOOKUP(B511,Supplies!$B$13:$C$97,2,FALSE))</f>
        <v>0</v>
      </c>
      <c r="E511" s="385">
        <f t="shared" si="56"/>
        <v>0</v>
      </c>
      <c r="H511" s="817" t="s">
        <v>200</v>
      </c>
      <c r="I511" s="816"/>
      <c r="J511" s="354"/>
      <c r="K511" s="354"/>
      <c r="L511" s="354"/>
      <c r="M511" s="354"/>
    </row>
    <row r="512" spans="1:14" x14ac:dyDescent="0.35">
      <c r="A512" s="100">
        <v>13</v>
      </c>
      <c r="B512" s="437"/>
      <c r="C512" s="414"/>
      <c r="D512" s="415">
        <f>IF(B512=0,0,VLOOKUP(B512,Supplies!$B$13:$C$97,2,FALSE))</f>
        <v>0</v>
      </c>
      <c r="E512" s="385">
        <f t="shared" si="56"/>
        <v>0</v>
      </c>
      <c r="H512" s="441" t="s">
        <v>159</v>
      </c>
      <c r="I512" s="4" t="s">
        <v>92</v>
      </c>
      <c r="J512" s="4" t="s">
        <v>300</v>
      </c>
      <c r="K512" s="350" t="s">
        <v>93</v>
      </c>
      <c r="L512" s="4" t="s">
        <v>12</v>
      </c>
      <c r="M512" s="4" t="s">
        <v>12</v>
      </c>
      <c r="N512" s="481"/>
    </row>
    <row r="513" spans="1:14" ht="15" thickBot="1" x14ac:dyDescent="0.4">
      <c r="A513" s="100">
        <v>14</v>
      </c>
      <c r="B513" s="437"/>
      <c r="C513" s="414"/>
      <c r="D513" s="415">
        <f>IF(B513=0,0,VLOOKUP(B513,Supplies!$B$13:$C$97,2,FALSE))</f>
        <v>0</v>
      </c>
      <c r="E513" s="385">
        <f t="shared" si="56"/>
        <v>0</v>
      </c>
      <c r="H513" s="305" t="s">
        <v>13</v>
      </c>
      <c r="I513" s="5" t="s">
        <v>301</v>
      </c>
      <c r="J513" s="5" t="s">
        <v>169</v>
      </c>
      <c r="K513" s="354" t="s">
        <v>94</v>
      </c>
      <c r="L513" s="5" t="s">
        <v>302</v>
      </c>
      <c r="M513" s="5" t="s">
        <v>240</v>
      </c>
      <c r="N513" s="481"/>
    </row>
    <row r="514" spans="1:14" ht="15" thickBot="1" x14ac:dyDescent="0.4">
      <c r="A514" s="100">
        <v>15</v>
      </c>
      <c r="B514" s="439"/>
      <c r="C514" s="442"/>
      <c r="D514" s="443">
        <f>IF(B514=0,0,VLOOKUP(B514,Supplies!$B$13:$C$97,2,FALSE))</f>
        <v>0</v>
      </c>
      <c r="E514" s="377">
        <f t="shared" si="56"/>
        <v>0</v>
      </c>
      <c r="G514" s="393"/>
      <c r="H514" s="258"/>
      <c r="I514" s="444"/>
      <c r="J514" s="445"/>
      <c r="K514" s="446">
        <f>IF(H514=0,0,VLOOKUP(H514,Transportation!$B$6:$L$16,11,FALSE))</f>
        <v>0</v>
      </c>
      <c r="L514" s="447">
        <f>IF(I514=0,0,I514*K514)</f>
        <v>0</v>
      </c>
      <c r="M514" s="448">
        <f>IF(I514=0,0,I514*K514*J514)</f>
        <v>0</v>
      </c>
      <c r="N514" s="487"/>
    </row>
    <row r="515" spans="1:14" ht="15" thickBot="1" x14ac:dyDescent="0.4">
      <c r="A515" s="100">
        <v>16</v>
      </c>
      <c r="B515" s="433"/>
      <c r="C515" s="449"/>
      <c r="D515" s="450">
        <f>IF(B515=0,0,VLOOKUP(B515,Supplies!$B$13:$C$97,2,FALSE))</f>
        <v>0</v>
      </c>
      <c r="E515" s="385">
        <f t="shared" si="56"/>
        <v>0</v>
      </c>
      <c r="H515" s="259"/>
      <c r="I515" s="451"/>
      <c r="J515" s="452"/>
      <c r="K515" s="453">
        <f>IF(H515=0,0,VLOOKUP(H515,Transportation!$B$6:$L$16,11,FALSE))</f>
        <v>0</v>
      </c>
      <c r="L515" s="454">
        <f>IF(I515=0,0,I515*K515)</f>
        <v>0</v>
      </c>
      <c r="M515" s="455">
        <f>IF(I515=0,0,I515*K515*J515)</f>
        <v>0</v>
      </c>
      <c r="N515" s="487"/>
    </row>
    <row r="516" spans="1:14" x14ac:dyDescent="0.35">
      <c r="A516" s="100">
        <v>17</v>
      </c>
      <c r="B516" s="437"/>
      <c r="C516" s="456"/>
      <c r="D516" s="457">
        <f>IF(B516=0,0,VLOOKUP(B516,Supplies!$B$13:$C$97,2,FALSE))</f>
        <v>0</v>
      </c>
      <c r="E516" s="385">
        <f>IF(D516=" "," ",D516*C516)</f>
        <v>0</v>
      </c>
      <c r="H516" s="260"/>
      <c r="I516" s="458"/>
      <c r="J516" s="459"/>
      <c r="K516" s="460"/>
      <c r="L516" s="460"/>
      <c r="M516" s="460"/>
      <c r="N516" s="483"/>
    </row>
    <row r="517" spans="1:14" ht="15" thickBot="1" x14ac:dyDescent="0.4">
      <c r="A517" s="100">
        <v>18</v>
      </c>
      <c r="B517" s="437"/>
      <c r="C517" s="456"/>
      <c r="D517" s="457">
        <f>IF(B517=0,0,VLOOKUP(B517,Supplies!$B$13:$C$97,2,FALSE))</f>
        <v>0</v>
      </c>
      <c r="E517" s="385">
        <f>IF(D517=" "," ",D517*C517)</f>
        <v>0</v>
      </c>
      <c r="H517" s="461" t="s">
        <v>201</v>
      </c>
      <c r="I517" s="462"/>
      <c r="J517" s="463"/>
      <c r="K517" s="464"/>
      <c r="L517" s="464"/>
      <c r="M517" s="464"/>
      <c r="N517" s="483"/>
    </row>
    <row r="518" spans="1:14" x14ac:dyDescent="0.35">
      <c r="A518" s="100">
        <v>19</v>
      </c>
      <c r="B518" s="437"/>
      <c r="C518" s="456"/>
      <c r="D518" s="457">
        <f>IF(B518=0,0,VLOOKUP(B518,Supplies!$B$13:$C$97,2,FALSE))</f>
        <v>0</v>
      </c>
      <c r="E518" s="385">
        <f>IF(D518=" "," ",D518*C518)</f>
        <v>0</v>
      </c>
      <c r="H518" s="465" t="s">
        <v>202</v>
      </c>
      <c r="I518" s="466" t="s">
        <v>204</v>
      </c>
      <c r="J518" s="463"/>
      <c r="K518" s="464"/>
      <c r="L518" s="464"/>
      <c r="M518" s="464"/>
      <c r="N518" s="483"/>
    </row>
    <row r="519" spans="1:14" ht="15" thickBot="1" x14ac:dyDescent="0.4">
      <c r="A519" s="100">
        <v>20</v>
      </c>
      <c r="B519" s="439"/>
      <c r="C519" s="442"/>
      <c r="D519" s="443">
        <f>IF(B519=0,0,VLOOKUP(B519,Supplies!$B$13:$C$97,2,FALSE))</f>
        <v>0</v>
      </c>
      <c r="E519" s="377">
        <f>IF(D519=" "," ",D519*C519)</f>
        <v>0</v>
      </c>
      <c r="H519" s="467"/>
      <c r="I519" s="484" t="str">
        <f>IF(H519=0," ",VLOOKUP(H519,Subcontractors!$B$15:$E$25,4))</f>
        <v xml:space="preserve"> </v>
      </c>
      <c r="J519" s="463"/>
      <c r="K519" s="464"/>
      <c r="L519" s="464"/>
      <c r="M519" s="464"/>
    </row>
    <row r="520" spans="1:14" ht="15.75" customHeight="1" thickBot="1" x14ac:dyDescent="0.4">
      <c r="A520" s="100"/>
      <c r="B520" s="335"/>
      <c r="C520" s="485"/>
      <c r="D520" s="397"/>
      <c r="E520" s="397"/>
      <c r="H520" s="469"/>
      <c r="I520" s="486" t="str">
        <f>IF(H520=0," ",VLOOKUP(H520,Subcontractors!$B$15:$E$25,4))</f>
        <v xml:space="preserve"> </v>
      </c>
    </row>
    <row r="521" spans="1:14" ht="15.75" customHeight="1" x14ac:dyDescent="0.35">
      <c r="A521" s="100"/>
      <c r="B521" s="335"/>
      <c r="C521" s="485"/>
      <c r="D521" s="397"/>
      <c r="E521" s="397"/>
      <c r="H521" s="473"/>
      <c r="I521" s="404"/>
    </row>
    <row r="522" spans="1:14" ht="14.5" customHeight="1" x14ac:dyDescent="0.35">
      <c r="A522" s="818" t="s">
        <v>191</v>
      </c>
      <c r="B522" s="833"/>
      <c r="C522" s="833"/>
      <c r="D522" s="833"/>
      <c r="E522" s="833"/>
      <c r="F522" s="833"/>
      <c r="G522" s="150" t="str">
        <f>B473</f>
        <v>Enter Periodical Service 2</v>
      </c>
      <c r="H522" s="301"/>
      <c r="I522" s="149"/>
      <c r="J522" s="149"/>
      <c r="K522" s="149"/>
      <c r="L522" s="149"/>
      <c r="M522" s="149"/>
      <c r="N522" s="149"/>
    </row>
    <row r="523" spans="1:14" ht="18.5" x14ac:dyDescent="0.35">
      <c r="A523" s="818" t="s">
        <v>193</v>
      </c>
      <c r="B523" s="828"/>
      <c r="C523" s="828"/>
      <c r="D523" s="828"/>
      <c r="E523" s="828"/>
      <c r="F523" s="828"/>
      <c r="G523" s="150" t="str">
        <f>B531</f>
        <v>Enter Periodical Service 3</v>
      </c>
      <c r="H523" s="301"/>
      <c r="I523" s="150"/>
      <c r="J523" s="150"/>
      <c r="K523" s="150"/>
      <c r="L523" s="150"/>
      <c r="M523" s="150"/>
      <c r="N523" s="150"/>
    </row>
    <row r="525" spans="1:14" x14ac:dyDescent="0.35">
      <c r="B525" s="222" t="s">
        <v>109</v>
      </c>
      <c r="C525" s="741">
        <f>'kt info'!$C$3</f>
        <v>0</v>
      </c>
      <c r="D525" s="824"/>
      <c r="E525" s="824"/>
      <c r="F525" s="825"/>
      <c r="H525" s="333"/>
      <c r="J525" s="811" t="s">
        <v>170</v>
      </c>
      <c r="K525" s="708"/>
      <c r="L525" s="708"/>
      <c r="M525" s="708"/>
    </row>
    <row r="526" spans="1:14" x14ac:dyDescent="0.35">
      <c r="C526" s="300"/>
      <c r="D526" s="100"/>
      <c r="E526" s="100"/>
      <c r="F526" s="100"/>
      <c r="I526" s="329"/>
      <c r="J526" s="329" t="str">
        <f>$B$10</f>
        <v>All Carpets</v>
      </c>
      <c r="L526" s="336" t="str">
        <f>$B$415</f>
        <v>Enter Periodical Service 1</v>
      </c>
    </row>
    <row r="527" spans="1:14" x14ac:dyDescent="0.35">
      <c r="B527" s="222" t="s">
        <v>110</v>
      </c>
      <c r="C527" s="741">
        <f>'kt info'!$C$5</f>
        <v>0</v>
      </c>
      <c r="D527" s="824"/>
      <c r="E527" s="824"/>
      <c r="F527" s="825"/>
      <c r="J527" s="329" t="str">
        <f>$B$67</f>
        <v>High Traffic Carpet</v>
      </c>
      <c r="L527" s="336" t="str">
        <f>$B$473</f>
        <v>Enter Periodical Service 2</v>
      </c>
    </row>
    <row r="528" spans="1:14" x14ac:dyDescent="0.35">
      <c r="C528" s="300"/>
      <c r="D528" s="100"/>
      <c r="E528" s="100"/>
      <c r="F528" s="100"/>
      <c r="J528" s="329" t="str">
        <f>$B$125</f>
        <v>Hard Floor Strip and Wax</v>
      </c>
      <c r="L528" s="336" t="str">
        <f>$B$531</f>
        <v>Enter Periodical Service 3</v>
      </c>
    </row>
    <row r="529" spans="1:14" x14ac:dyDescent="0.35">
      <c r="B529" s="222" t="s">
        <v>135</v>
      </c>
      <c r="C529" s="741">
        <f>'kt info'!$C$7</f>
        <v>0</v>
      </c>
      <c r="D529" s="824"/>
      <c r="E529" s="824"/>
      <c r="F529" s="825"/>
      <c r="J529" s="329" t="str">
        <f>$B$183</f>
        <v>Hard Floor Scrub and Seal</v>
      </c>
      <c r="L529" s="336" t="str">
        <f>$B$589</f>
        <v>Enter Periodical Service 4</v>
      </c>
    </row>
    <row r="530" spans="1:14" x14ac:dyDescent="0.35">
      <c r="J530" s="336" t="str">
        <f>$B$241</f>
        <v>Window Washing</v>
      </c>
      <c r="L530" s="336" t="str">
        <f>$B$647</f>
        <v>Enter Periodical Service 5</v>
      </c>
    </row>
    <row r="531" spans="1:14" ht="18.5" x14ac:dyDescent="0.35">
      <c r="A531" s="337"/>
      <c r="B531" s="490" t="str">
        <f>'kt info'!B45</f>
        <v>Enter Periodical Service 3</v>
      </c>
      <c r="C531" s="339"/>
      <c r="D531" s="337"/>
      <c r="E531" s="337"/>
      <c r="F531" s="337"/>
      <c r="G531" s="337"/>
      <c r="H531" s="302" t="s">
        <v>77</v>
      </c>
      <c r="I531" s="236" t="s">
        <v>238</v>
      </c>
      <c r="J531" s="336" t="str">
        <f>$B$299</f>
        <v>Clean Chairs</v>
      </c>
      <c r="L531" s="336" t="str">
        <f>$B$705</f>
        <v>Enter Periodical Service 6</v>
      </c>
      <c r="M531" s="337"/>
      <c r="N531" s="337"/>
    </row>
    <row r="532" spans="1:14" x14ac:dyDescent="0.35">
      <c r="E532" s="178" t="s">
        <v>79</v>
      </c>
      <c r="G532" s="340"/>
      <c r="H532" s="341">
        <f>IF(SUM(M544:M553)&gt;0,SUM(M544:M553)/'kt info'!$G$45,0)</f>
        <v>0</v>
      </c>
      <c r="I532" s="342">
        <f>H532*'kt info'!$G$45</f>
        <v>0</v>
      </c>
      <c r="J532" s="336" t="str">
        <f>$B$357</f>
        <v>High Dusting</v>
      </c>
      <c r="L532" s="336" t="str">
        <f>$B$763</f>
        <v>Enter Periodical Service 7</v>
      </c>
    </row>
    <row r="533" spans="1:14" x14ac:dyDescent="0.35">
      <c r="B533" s="343" t="s">
        <v>78</v>
      </c>
      <c r="E533" s="178" t="s">
        <v>189</v>
      </c>
      <c r="G533" s="340"/>
      <c r="H533" s="344">
        <f>IF(SUM(K544:K553)&gt;0,SUM(K544:K553),0)</f>
        <v>0</v>
      </c>
      <c r="I533" s="345">
        <f>H533*'kt info'!$G$45</f>
        <v>0</v>
      </c>
      <c r="J533" s="336"/>
      <c r="L533" s="336" t="str">
        <f>$B$821</f>
        <v>Enter Periodical Service 8</v>
      </c>
    </row>
    <row r="534" spans="1:14" x14ac:dyDescent="0.35">
      <c r="B534" s="177" t="s">
        <v>96</v>
      </c>
      <c r="C534" s="346">
        <f>'kt info'!E45</f>
        <v>0</v>
      </c>
      <c r="E534" s="178" t="s">
        <v>80</v>
      </c>
      <c r="G534" s="340"/>
      <c r="H534" s="344">
        <f>IF(SUM(E558:E577)&gt;0,SUM(E558:E577),0)</f>
        <v>0</v>
      </c>
      <c r="I534" s="345">
        <f>H534*'kt info'!$G$45</f>
        <v>0</v>
      </c>
      <c r="J534" s="336"/>
      <c r="L534" s="336" t="str">
        <f>$B$879</f>
        <v>Enter Periodical Service 9</v>
      </c>
    </row>
    <row r="535" spans="1:14" x14ac:dyDescent="0.35">
      <c r="E535" s="178" t="s">
        <v>81</v>
      </c>
      <c r="G535" s="340"/>
      <c r="H535" s="344">
        <f>IF(SUM(L558:L567)&gt;0,SUM(L558:L567),0)</f>
        <v>0</v>
      </c>
      <c r="I535" s="345">
        <f>H535*'kt info'!$G$45</f>
        <v>0</v>
      </c>
      <c r="J535" s="336"/>
      <c r="L535" s="336" t="str">
        <f>$B$937</f>
        <v>Enter Periodical Service 10</v>
      </c>
    </row>
    <row r="536" spans="1:14" x14ac:dyDescent="0.35">
      <c r="B536" s="177" t="s">
        <v>98</v>
      </c>
      <c r="C536" s="347">
        <f>ROUND(IF(SUM(H533:H539)&gt;0,SUM(H533:H539),0),0)</f>
        <v>0</v>
      </c>
      <c r="E536" s="178" t="s">
        <v>89</v>
      </c>
      <c r="G536" s="340"/>
      <c r="H536" s="344">
        <f>IF(SUM(J571:J575)&gt;0,SUM(L571:L575),0)</f>
        <v>0</v>
      </c>
      <c r="I536" s="345">
        <f>H536*'kt info'!$G$45</f>
        <v>0</v>
      </c>
      <c r="J536" s="329"/>
      <c r="K536" s="336"/>
    </row>
    <row r="537" spans="1:14" x14ac:dyDescent="0.35">
      <c r="E537" s="178" t="s">
        <v>201</v>
      </c>
      <c r="G537" s="340"/>
      <c r="H537" s="344">
        <f>IF(SUM(I577:I578)=0,0,SUM(I577:I578))</f>
        <v>0</v>
      </c>
      <c r="I537" s="345">
        <f>H537*'kt info'!$G$45</f>
        <v>0</v>
      </c>
      <c r="K537" s="336"/>
    </row>
    <row r="538" spans="1:14" x14ac:dyDescent="0.35">
      <c r="B538" s="177" t="s">
        <v>97</v>
      </c>
      <c r="C538" s="347">
        <f>IF(C534&gt;0,C536/C534,0)</f>
        <v>0</v>
      </c>
      <c r="E538" s="178" t="s">
        <v>87</v>
      </c>
      <c r="G538" s="340"/>
      <c r="H538" s="344">
        <f>IF('Overhead &amp; Margin'!$D$10&gt;0,((H533+H534+H535+H536+H537)*'Overhead &amp; Margin'!$D$10/(1-('Overhead &amp; Margin'!$D$10+'Overhead &amp; Margin'!$G$10))),0)</f>
        <v>0</v>
      </c>
      <c r="I538" s="345">
        <f>H538*'kt info'!$G$45</f>
        <v>0</v>
      </c>
      <c r="K538" s="336"/>
    </row>
    <row r="539" spans="1:14" x14ac:dyDescent="0.35">
      <c r="G539" s="178" t="s">
        <v>88</v>
      </c>
      <c r="H539" s="344">
        <f>IF('Overhead &amp; Margin'!$G$10=0,0,'Overhead &amp; Margin'!$G$10*(H533+H534+H535+H536+H537)/(1-('Overhead &amp; Margin'!$D$10+'Overhead &amp; Margin'!$G$10)))</f>
        <v>0</v>
      </c>
      <c r="I539" s="345">
        <f>H539*'kt info'!$G$45</f>
        <v>0</v>
      </c>
    </row>
    <row r="540" spans="1:14" x14ac:dyDescent="0.35">
      <c r="M540" s="605" t="str">
        <f>'kt info'!$B$12</f>
        <v>Form date: 10/24/25</v>
      </c>
    </row>
    <row r="541" spans="1:14" ht="15" thickBot="1" x14ac:dyDescent="0.4">
      <c r="B541" s="348" t="s">
        <v>104</v>
      </c>
    </row>
    <row r="542" spans="1:14" x14ac:dyDescent="0.35">
      <c r="B542" s="84" t="s">
        <v>18</v>
      </c>
      <c r="C542" s="349" t="s">
        <v>19</v>
      </c>
      <c r="D542" s="350" t="s">
        <v>25</v>
      </c>
      <c r="E542" s="350" t="s">
        <v>20</v>
      </c>
      <c r="F542" s="826" t="s">
        <v>22</v>
      </c>
      <c r="G542" s="826"/>
      <c r="H542" s="351" t="s">
        <v>23</v>
      </c>
      <c r="I542" s="350" t="s">
        <v>21</v>
      </c>
      <c r="J542" s="350" t="s">
        <v>24</v>
      </c>
      <c r="K542" s="350" t="s">
        <v>77</v>
      </c>
      <c r="L542" s="352" t="s">
        <v>26</v>
      </c>
      <c r="M542" s="4" t="s">
        <v>27</v>
      </c>
      <c r="N542" s="4" t="s">
        <v>0</v>
      </c>
    </row>
    <row r="543" spans="1:14" ht="15" thickBot="1" x14ac:dyDescent="0.4">
      <c r="B543" s="22" t="s">
        <v>306</v>
      </c>
      <c r="C543" s="353" t="s">
        <v>28</v>
      </c>
      <c r="D543" s="354" t="s">
        <v>33</v>
      </c>
      <c r="E543" s="354" t="s">
        <v>29</v>
      </c>
      <c r="F543" s="827" t="s">
        <v>30</v>
      </c>
      <c r="G543" s="827"/>
      <c r="H543" s="355" t="s">
        <v>31</v>
      </c>
      <c r="I543" s="354"/>
      <c r="J543" s="354" t="s">
        <v>38</v>
      </c>
      <c r="K543" s="354" t="s">
        <v>189</v>
      </c>
      <c r="L543" s="356" t="s">
        <v>0</v>
      </c>
      <c r="M543" s="5" t="s">
        <v>0</v>
      </c>
      <c r="N543" s="5" t="s">
        <v>77</v>
      </c>
    </row>
    <row r="544" spans="1:14" x14ac:dyDescent="0.35">
      <c r="A544" s="100">
        <v>1</v>
      </c>
      <c r="B544" s="474"/>
      <c r="C544" s="358"/>
      <c r="D544" s="359" t="str">
        <f>IF(B544=0," ",'kt info'!$G$45)</f>
        <v xml:space="preserve"> </v>
      </c>
      <c r="E544" s="360" t="str">
        <f>IF(B544=0," ",VLOOKUP(B544,WageBeneTable5[#All],2,FALSE))</f>
        <v xml:space="preserve"> </v>
      </c>
      <c r="F544" s="820">
        <f>IF($E544=" ",0,'Pay &amp; Benefits'!$C$10)</f>
        <v>0</v>
      </c>
      <c r="G544" s="821"/>
      <c r="H544" s="361" t="str">
        <f>IF($E544=" "," ",'Pay &amp; Benefits'!$C$11)</f>
        <v xml:space="preserve"> </v>
      </c>
      <c r="I544" s="362" t="str">
        <f t="shared" ref="I544:I553" si="57">IF(E544=" "," ",0.0765)</f>
        <v xml:space="preserve"> </v>
      </c>
      <c r="J544" s="363" t="str">
        <f>IF(B544=0," ",VLOOKUP(B544,WageBeneTable5[#All],3,FALSE))</f>
        <v xml:space="preserve"> </v>
      </c>
      <c r="K544" s="360" t="str">
        <f t="shared" ref="K544:K553" si="58">IF(B544=0," ",C544*E544*(1+I544+F544+H544+J544))</f>
        <v xml:space="preserve"> </v>
      </c>
      <c r="L544" s="360">
        <f t="shared" ref="L544:L553" si="59">IF(K544=" ",0,K544*D544)</f>
        <v>0</v>
      </c>
      <c r="M544" s="364">
        <f t="shared" ref="M544:M553" si="60">IF(B544=0,0,C544*D544)</f>
        <v>0</v>
      </c>
      <c r="N544" s="365">
        <f t="shared" ref="N544:N553" si="61">IF(L544=0,0,IF(D544=0,0,L544/D544))</f>
        <v>0</v>
      </c>
    </row>
    <row r="545" spans="1:14" x14ac:dyDescent="0.35">
      <c r="A545" s="100">
        <v>2</v>
      </c>
      <c r="B545" s="437"/>
      <c r="C545" s="367"/>
      <c r="D545" s="359" t="str">
        <f>IF(B545=0," ",'kt info'!$G$45)</f>
        <v xml:space="preserve"> </v>
      </c>
      <c r="E545" s="368" t="str">
        <f>IF(B545=0," ",VLOOKUP(B545,WageBeneTable5[#All],2,FALSE))</f>
        <v xml:space="preserve"> </v>
      </c>
      <c r="F545" s="822">
        <f>IF($E545=" ",0,'Pay &amp; Benefits'!$C$10)</f>
        <v>0</v>
      </c>
      <c r="G545" s="823"/>
      <c r="H545" s="369" t="str">
        <f>IF($E545=" "," ",'Pay &amp; Benefits'!$C$11)</f>
        <v xml:space="preserve"> </v>
      </c>
      <c r="I545" s="370" t="str">
        <f t="shared" si="57"/>
        <v xml:space="preserve"> </v>
      </c>
      <c r="J545" s="371" t="str">
        <f>IF(B545=0," ",VLOOKUP(B545,WageBeneTable5[#All],3,FALSE))</f>
        <v xml:space="preserve"> </v>
      </c>
      <c r="K545" s="368" t="str">
        <f t="shared" si="58"/>
        <v xml:space="preserve"> </v>
      </c>
      <c r="L545" s="368">
        <f t="shared" si="59"/>
        <v>0</v>
      </c>
      <c r="M545" s="372">
        <f t="shared" si="60"/>
        <v>0</v>
      </c>
      <c r="N545" s="373">
        <f t="shared" si="61"/>
        <v>0</v>
      </c>
    </row>
    <row r="546" spans="1:14" x14ac:dyDescent="0.35">
      <c r="A546" s="100">
        <v>3</v>
      </c>
      <c r="B546" s="437"/>
      <c r="C546" s="367"/>
      <c r="D546" s="359" t="str">
        <f>IF(B546=0," ",'kt info'!$G$45)</f>
        <v xml:space="preserve"> </v>
      </c>
      <c r="E546" s="368" t="str">
        <f>IF(B546=0," ",VLOOKUP(B546,WageBeneTable5[#All],2,FALSE))</f>
        <v xml:space="preserve"> </v>
      </c>
      <c r="F546" s="822">
        <f>IF($E546=" ",0,'Pay &amp; Benefits'!$C$10)</f>
        <v>0</v>
      </c>
      <c r="G546" s="823"/>
      <c r="H546" s="369" t="str">
        <f>IF($E546=" "," ",'Pay &amp; Benefits'!$C$11)</f>
        <v xml:space="preserve"> </v>
      </c>
      <c r="I546" s="370" t="str">
        <f t="shared" si="57"/>
        <v xml:space="preserve"> </v>
      </c>
      <c r="J546" s="371" t="str">
        <f>IF(B546=0," ",VLOOKUP(B546,WageBeneTable5[#All],3,FALSE))</f>
        <v xml:space="preserve"> </v>
      </c>
      <c r="K546" s="368" t="str">
        <f t="shared" si="58"/>
        <v xml:space="preserve"> </v>
      </c>
      <c r="L546" s="368">
        <f t="shared" si="59"/>
        <v>0</v>
      </c>
      <c r="M546" s="372">
        <f t="shared" si="60"/>
        <v>0</v>
      </c>
      <c r="N546" s="373">
        <f t="shared" si="61"/>
        <v>0</v>
      </c>
    </row>
    <row r="547" spans="1:14" x14ac:dyDescent="0.35">
      <c r="A547" s="100">
        <v>4</v>
      </c>
      <c r="B547" s="437"/>
      <c r="C547" s="367"/>
      <c r="D547" s="359" t="str">
        <f>IF(B547=0," ",'kt info'!$G$45)</f>
        <v xml:space="preserve"> </v>
      </c>
      <c r="E547" s="368" t="str">
        <f>IF(B547=0," ",VLOOKUP(B547,WageBeneTable5[#All],2,FALSE))</f>
        <v xml:space="preserve"> </v>
      </c>
      <c r="F547" s="822">
        <f>IF($E547=" ",0,'Pay &amp; Benefits'!$C$10)</f>
        <v>0</v>
      </c>
      <c r="G547" s="823"/>
      <c r="H547" s="369" t="str">
        <f>IF($E547=" "," ",'Pay &amp; Benefits'!$C$11)</f>
        <v xml:space="preserve"> </v>
      </c>
      <c r="I547" s="370" t="str">
        <f t="shared" si="57"/>
        <v xml:space="preserve"> </v>
      </c>
      <c r="J547" s="371" t="str">
        <f>IF(B547=0," ",VLOOKUP(B547,WageBeneTable5[#All],3,FALSE))</f>
        <v xml:space="preserve"> </v>
      </c>
      <c r="K547" s="368" t="str">
        <f t="shared" si="58"/>
        <v xml:space="preserve"> </v>
      </c>
      <c r="L547" s="368">
        <f t="shared" si="59"/>
        <v>0</v>
      </c>
      <c r="M547" s="372">
        <f t="shared" si="60"/>
        <v>0</v>
      </c>
      <c r="N547" s="373">
        <f t="shared" si="61"/>
        <v>0</v>
      </c>
    </row>
    <row r="548" spans="1:14" ht="15" thickBot="1" x14ac:dyDescent="0.4">
      <c r="A548" s="100">
        <v>5</v>
      </c>
      <c r="B548" s="439"/>
      <c r="C548" s="375"/>
      <c r="D548" s="376" t="str">
        <f>IF(B548=0," ",'kt info'!$G$45)</f>
        <v xml:space="preserve"> </v>
      </c>
      <c r="E548" s="377" t="str">
        <f>IF(B548=0," ",VLOOKUP(B548,WageBeneTable5[#All],2,FALSE))</f>
        <v xml:space="preserve"> </v>
      </c>
      <c r="F548" s="813">
        <f>IF($E548=" ",0,'Pay &amp; Benefits'!$C$10)</f>
        <v>0</v>
      </c>
      <c r="G548" s="814"/>
      <c r="H548" s="378" t="str">
        <f>IF($E548=" "," ",'Pay &amp; Benefits'!$C$11)</f>
        <v xml:space="preserve"> </v>
      </c>
      <c r="I548" s="379" t="str">
        <f t="shared" si="57"/>
        <v xml:space="preserve"> </v>
      </c>
      <c r="J548" s="380" t="str">
        <f>IF(B548=0," ",VLOOKUP(B548,WageBeneTable5[#All],3,FALSE))</f>
        <v xml:space="preserve"> </v>
      </c>
      <c r="K548" s="377" t="str">
        <f t="shared" si="58"/>
        <v xml:space="preserve"> </v>
      </c>
      <c r="L548" s="377">
        <f t="shared" si="59"/>
        <v>0</v>
      </c>
      <c r="M548" s="381">
        <f t="shared" si="60"/>
        <v>0</v>
      </c>
      <c r="N548" s="382">
        <f t="shared" si="61"/>
        <v>0</v>
      </c>
    </row>
    <row r="549" spans="1:14" x14ac:dyDescent="0.35">
      <c r="A549" s="100">
        <v>6</v>
      </c>
      <c r="B549" s="474"/>
      <c r="C549" s="383"/>
      <c r="D549" s="384" t="str">
        <f>IF(B549=0," ",'kt info'!$G$45)</f>
        <v xml:space="preserve"> </v>
      </c>
      <c r="E549" s="385" t="str">
        <f>IF(B549=0," ",VLOOKUP(B549,WageBeneTable5[#All],2,FALSE))</f>
        <v xml:space="preserve"> </v>
      </c>
      <c r="F549" s="820">
        <f>IF($E549=" ",0,'Pay &amp; Benefits'!$C$10)</f>
        <v>0</v>
      </c>
      <c r="G549" s="821"/>
      <c r="H549" s="386" t="str">
        <f>IF($E549=" "," ",'Pay &amp; Benefits'!$C$11)</f>
        <v xml:space="preserve"> </v>
      </c>
      <c r="I549" s="387" t="str">
        <f t="shared" si="57"/>
        <v xml:space="preserve"> </v>
      </c>
      <c r="J549" s="388" t="str">
        <f>IF(B549=0," ",VLOOKUP(B549,WageBeneTable5[#All],3,FALSE))</f>
        <v xml:space="preserve"> </v>
      </c>
      <c r="K549" s="385" t="str">
        <f t="shared" si="58"/>
        <v xml:space="preserve"> </v>
      </c>
      <c r="L549" s="385">
        <f t="shared" si="59"/>
        <v>0</v>
      </c>
      <c r="M549" s="389">
        <f t="shared" si="60"/>
        <v>0</v>
      </c>
      <c r="N549" s="390">
        <f t="shared" si="61"/>
        <v>0</v>
      </c>
    </row>
    <row r="550" spans="1:14" x14ac:dyDescent="0.35">
      <c r="A550" s="100">
        <v>7</v>
      </c>
      <c r="B550" s="437"/>
      <c r="C550" s="367"/>
      <c r="D550" s="384" t="str">
        <f>IF(B550=0," ",'kt info'!$G$45)</f>
        <v xml:space="preserve"> </v>
      </c>
      <c r="E550" s="385" t="str">
        <f>IF(B550=0," ",VLOOKUP(B550,WageBeneTable5[#All],2,FALSE))</f>
        <v xml:space="preserve"> </v>
      </c>
      <c r="F550" s="822">
        <f>IF($E550=" ",0,'Pay &amp; Benefits'!$C$10)</f>
        <v>0</v>
      </c>
      <c r="G550" s="823"/>
      <c r="H550" s="386" t="str">
        <f>IF($E550=" "," ",'Pay &amp; Benefits'!$C$11)</f>
        <v xml:space="preserve"> </v>
      </c>
      <c r="I550" s="387" t="str">
        <f t="shared" si="57"/>
        <v xml:space="preserve"> </v>
      </c>
      <c r="J550" s="388" t="str">
        <f>IF(B550=0," ",VLOOKUP(B550,WageBeneTable5[#All],3,FALSE))</f>
        <v xml:space="preserve"> </v>
      </c>
      <c r="K550" s="385" t="str">
        <f t="shared" si="58"/>
        <v xml:space="preserve"> </v>
      </c>
      <c r="L550" s="385">
        <f t="shared" si="59"/>
        <v>0</v>
      </c>
      <c r="M550" s="389">
        <f t="shared" si="60"/>
        <v>0</v>
      </c>
      <c r="N550" s="390">
        <f t="shared" si="61"/>
        <v>0</v>
      </c>
    </row>
    <row r="551" spans="1:14" x14ac:dyDescent="0.35">
      <c r="A551" s="100">
        <v>8</v>
      </c>
      <c r="B551" s="437"/>
      <c r="C551" s="367"/>
      <c r="D551" s="384" t="str">
        <f>IF(B551=0," ",'kt info'!$G$45)</f>
        <v xml:space="preserve"> </v>
      </c>
      <c r="E551" s="385" t="str">
        <f>IF(B551=0," ",VLOOKUP(B551,WageBeneTable5[#All],2,FALSE))</f>
        <v xml:space="preserve"> </v>
      </c>
      <c r="F551" s="822">
        <f>IF($E551=" ",0,'Pay &amp; Benefits'!$C$10)</f>
        <v>0</v>
      </c>
      <c r="G551" s="823"/>
      <c r="H551" s="386" t="str">
        <f>IF($E551=" "," ",'Pay &amp; Benefits'!$C$11)</f>
        <v xml:space="preserve"> </v>
      </c>
      <c r="I551" s="387" t="str">
        <f t="shared" si="57"/>
        <v xml:space="preserve"> </v>
      </c>
      <c r="J551" s="388" t="str">
        <f>IF(B551=0," ",VLOOKUP(B551,WageBeneTable5[#All],3,FALSE))</f>
        <v xml:space="preserve"> </v>
      </c>
      <c r="K551" s="385" t="str">
        <f t="shared" si="58"/>
        <v xml:space="preserve"> </v>
      </c>
      <c r="L551" s="385">
        <f t="shared" si="59"/>
        <v>0</v>
      </c>
      <c r="M551" s="389">
        <f t="shared" si="60"/>
        <v>0</v>
      </c>
      <c r="N551" s="390">
        <f t="shared" si="61"/>
        <v>0</v>
      </c>
    </row>
    <row r="552" spans="1:14" x14ac:dyDescent="0.35">
      <c r="A552" s="100">
        <v>9</v>
      </c>
      <c r="B552" s="437"/>
      <c r="C552" s="367"/>
      <c r="D552" s="384" t="str">
        <f>IF(B552=0," ",'kt info'!$G$45)</f>
        <v xml:space="preserve"> </v>
      </c>
      <c r="E552" s="385" t="str">
        <f>IF(B552=0," ",VLOOKUP(B552,WageBeneTable5[#All],2,FALSE))</f>
        <v xml:space="preserve"> </v>
      </c>
      <c r="F552" s="822">
        <f>IF($E552=" ",0,'Pay &amp; Benefits'!$C$10)</f>
        <v>0</v>
      </c>
      <c r="G552" s="823"/>
      <c r="H552" s="386" t="str">
        <f>IF($E552=" "," ",'Pay &amp; Benefits'!$C$11)</f>
        <v xml:space="preserve"> </v>
      </c>
      <c r="I552" s="387" t="str">
        <f t="shared" si="57"/>
        <v xml:space="preserve"> </v>
      </c>
      <c r="J552" s="388" t="str">
        <f>IF(B552=0," ",VLOOKUP(B552,WageBeneTable5[#All],3,FALSE))</f>
        <v xml:space="preserve"> </v>
      </c>
      <c r="K552" s="385" t="str">
        <f t="shared" si="58"/>
        <v xml:space="preserve"> </v>
      </c>
      <c r="L552" s="385">
        <f t="shared" si="59"/>
        <v>0</v>
      </c>
      <c r="M552" s="389">
        <f t="shared" si="60"/>
        <v>0</v>
      </c>
      <c r="N552" s="390">
        <f t="shared" si="61"/>
        <v>0</v>
      </c>
    </row>
    <row r="553" spans="1:14" ht="15" thickBot="1" x14ac:dyDescent="0.4">
      <c r="A553" s="100">
        <v>10</v>
      </c>
      <c r="B553" s="439"/>
      <c r="C553" s="375"/>
      <c r="D553" s="376" t="str">
        <f>IF(B553=0," ",'kt info'!$G$45)</f>
        <v xml:space="preserve"> </v>
      </c>
      <c r="E553" s="377" t="str">
        <f>IF(B553=0," ",VLOOKUP(B553,WageBeneTable5[#All],2,FALSE))</f>
        <v xml:space="preserve"> </v>
      </c>
      <c r="F553" s="813">
        <f>IF($E553=" ",0,'Pay &amp; Benefits'!$C$10)</f>
        <v>0</v>
      </c>
      <c r="G553" s="814"/>
      <c r="H553" s="378" t="str">
        <f>IF($E553=" "," ",'Pay &amp; Benefits'!$C$11)</f>
        <v xml:space="preserve"> </v>
      </c>
      <c r="I553" s="379" t="str">
        <f t="shared" si="57"/>
        <v xml:space="preserve"> </v>
      </c>
      <c r="J553" s="380" t="str">
        <f>IF(B553=0," ",VLOOKUP(B553,WageBeneTable5[#All],3,FALSE))</f>
        <v xml:space="preserve"> </v>
      </c>
      <c r="K553" s="377" t="str">
        <f t="shared" si="58"/>
        <v xml:space="preserve"> </v>
      </c>
      <c r="L553" s="377">
        <f t="shared" si="59"/>
        <v>0</v>
      </c>
      <c r="M553" s="381">
        <f t="shared" si="60"/>
        <v>0</v>
      </c>
      <c r="N553" s="382">
        <f t="shared" si="61"/>
        <v>0</v>
      </c>
    </row>
    <row r="554" spans="1:14" x14ac:dyDescent="0.35">
      <c r="K554" s="391"/>
      <c r="L554" s="392"/>
      <c r="M554" s="393"/>
    </row>
    <row r="555" spans="1:14" ht="15" thickBot="1" x14ac:dyDescent="0.4">
      <c r="B555" s="394" t="s">
        <v>203</v>
      </c>
      <c r="E555" s="395"/>
      <c r="H555" s="815" t="s">
        <v>199</v>
      </c>
      <c r="I555" s="816"/>
      <c r="M555" s="475"/>
      <c r="N555" s="100"/>
    </row>
    <row r="556" spans="1:14" x14ac:dyDescent="0.35">
      <c r="B556" s="32" t="s">
        <v>123</v>
      </c>
      <c r="C556" s="398" t="s">
        <v>239</v>
      </c>
      <c r="D556" s="399" t="s">
        <v>9</v>
      </c>
      <c r="E556" s="400" t="s">
        <v>83</v>
      </c>
      <c r="H556" s="303" t="s">
        <v>15</v>
      </c>
      <c r="I556" s="4" t="s">
        <v>85</v>
      </c>
      <c r="J556" s="4" t="s">
        <v>16</v>
      </c>
      <c r="K556" s="4" t="s">
        <v>241</v>
      </c>
      <c r="L556" s="4" t="s">
        <v>83</v>
      </c>
      <c r="M556" s="476"/>
      <c r="N556" s="477"/>
    </row>
    <row r="557" spans="1:14" ht="15" thickBot="1" x14ac:dyDescent="0.4">
      <c r="B557" s="33" t="s">
        <v>124</v>
      </c>
      <c r="C557" s="401" t="s">
        <v>84</v>
      </c>
      <c r="D557" s="402" t="s">
        <v>10</v>
      </c>
      <c r="E557" s="403" t="s">
        <v>84</v>
      </c>
      <c r="H557" s="304" t="s">
        <v>13</v>
      </c>
      <c r="I557" s="5" t="s">
        <v>86</v>
      </c>
      <c r="J557" s="5" t="s">
        <v>17</v>
      </c>
      <c r="K557" s="5" t="s">
        <v>12</v>
      </c>
      <c r="L557" s="5" t="s">
        <v>84</v>
      </c>
      <c r="M557" s="478"/>
      <c r="N557" s="479"/>
    </row>
    <row r="558" spans="1:14" x14ac:dyDescent="0.35">
      <c r="A558" s="100">
        <v>1</v>
      </c>
      <c r="B558" s="474"/>
      <c r="C558" s="406"/>
      <c r="D558" s="407">
        <f>IF(B558=0,0,VLOOKUP(B558,Supplies!$B$13:$C$97,2,FALSE))</f>
        <v>0</v>
      </c>
      <c r="E558" s="360">
        <f>IF(D558=" "," ",D558*C558)</f>
        <v>0</v>
      </c>
      <c r="G558" s="100">
        <v>1</v>
      </c>
      <c r="H558" s="408"/>
      <c r="I558" s="409"/>
      <c r="J558" s="410"/>
      <c r="K558" s="331" t="str">
        <f>IF(H558=0," ",IF(VLOOKUP(H558,'Equipment List'!$B$12:$F$96,5,FALSE)=0,0,IF(VLOOKUP(H558,'Equipment List'!$B$12:$F$96,5,FALSE)="Grant","Grant",IF(VLOOKUP(H558,'Equipment List'!$B$12:$F$96,5,FALSE)="Depreciated","Depreciated",VLOOKUP(H558,'Equipment List'!$B$12:$F$96,5,FALSE)*I558*J558))))</f>
        <v xml:space="preserve"> </v>
      </c>
      <c r="L558" s="365" t="str">
        <f>IF(K558=" "," ",IF(K558="Grant",0,IF(K558="Depreciated",0,IF('kt info'!$G$45=0,"No Service Frequency",K558/'kt info'!$G$45))))</f>
        <v xml:space="preserve"> </v>
      </c>
      <c r="M558" s="480"/>
      <c r="N558" s="404"/>
    </row>
    <row r="559" spans="1:14" x14ac:dyDescent="0.35">
      <c r="A559" s="100">
        <v>2</v>
      </c>
      <c r="B559" s="437"/>
      <c r="C559" s="414"/>
      <c r="D559" s="415">
        <f>IF(B559=0,0,VLOOKUP(B559,Supplies!$B$13:$C$97,2,FALSE))</f>
        <v>0</v>
      </c>
      <c r="E559" s="385">
        <f t="shared" ref="E559:E573" si="62">IF(D559=" "," ",D559*C559)</f>
        <v>0</v>
      </c>
      <c r="G559" s="100">
        <v>2</v>
      </c>
      <c r="H559" s="416"/>
      <c r="I559" s="417"/>
      <c r="J559" s="418"/>
      <c r="K559" s="421" t="str">
        <f>IF(H559=0," ",IF(VLOOKUP(H559,'Equipment List'!$B$12:$F$96,5,FALSE)=0,0,IF(VLOOKUP(H559,'Equipment List'!$B$12:$F$96,5,FALSE)="Grant","Grant",IF(VLOOKUP(H559,'Equipment List'!$B$12:$F$96,5,FALSE)="Depreciated","Depreciated",VLOOKUP(H559,'Equipment List'!$B$12:$F$96,5,FALSE)*I559*J559))))</f>
        <v xml:space="preserve"> </v>
      </c>
      <c r="L559" s="390" t="str">
        <f>IF(K559=" "," ",IF(K559="Grant",0,IF(K559="Depreciated",0,IF('kt info'!$G$45=0,"No Service Frequency",K559/'kt info'!$G$45))))</f>
        <v xml:space="preserve"> </v>
      </c>
    </row>
    <row r="560" spans="1:14" x14ac:dyDescent="0.35">
      <c r="A560" s="100">
        <v>3</v>
      </c>
      <c r="B560" s="437"/>
      <c r="C560" s="414"/>
      <c r="D560" s="415">
        <f>IF(B560=0,0,VLOOKUP(B560,Supplies!$B$13:$C$97,2,FALSE))</f>
        <v>0</v>
      </c>
      <c r="E560" s="385">
        <f t="shared" si="62"/>
        <v>0</v>
      </c>
      <c r="G560" s="100">
        <v>3</v>
      </c>
      <c r="H560" s="416"/>
      <c r="I560" s="417"/>
      <c r="J560" s="418"/>
      <c r="K560" s="421" t="str">
        <f>IF(H560=0," ",IF(VLOOKUP(H560,'Equipment List'!$B$12:$F$96,5,FALSE)=0,0,IF(VLOOKUP(H560,'Equipment List'!$B$12:$F$96,5,FALSE)="Grant","Grant",IF(VLOOKUP(H560,'Equipment List'!$B$12:$F$96,5,FALSE)="Depreciated","Depreciated",VLOOKUP(H560,'Equipment List'!$B$12:$F$96,5,FALSE)*I560*J560))))</f>
        <v xml:space="preserve"> </v>
      </c>
      <c r="L560" s="390" t="str">
        <f>IF(K560=" "," ",IF(K560="Grant",0,IF(K560="Depreciated",0,IF('kt info'!$G$45=0,"No Service Frequency",K560/'kt info'!$G$45))))</f>
        <v xml:space="preserve"> </v>
      </c>
    </row>
    <row r="561" spans="1:14" x14ac:dyDescent="0.35">
      <c r="A561" s="100">
        <v>4</v>
      </c>
      <c r="B561" s="437"/>
      <c r="C561" s="414"/>
      <c r="D561" s="415">
        <f>IF(B561=0,0,VLOOKUP(B561,Supplies!$B$13:$C$97,2,FALSE))</f>
        <v>0</v>
      </c>
      <c r="E561" s="385">
        <f t="shared" si="62"/>
        <v>0</v>
      </c>
      <c r="G561" s="100">
        <v>4</v>
      </c>
      <c r="H561" s="416"/>
      <c r="I561" s="417"/>
      <c r="J561" s="418"/>
      <c r="K561" s="421" t="str">
        <f>IF(H561=0," ",IF(VLOOKUP(H561,'Equipment List'!$B$12:$F$96,5,FALSE)=0,0,IF(VLOOKUP(H561,'Equipment List'!$B$12:$F$96,5,FALSE)="Grant","Grant",IF(VLOOKUP(H561,'Equipment List'!$B$12:$F$96,5,FALSE)="Depreciated","Depreciated",VLOOKUP(H561,'Equipment List'!$B$12:$F$96,5,FALSE)*I561*J561))))</f>
        <v xml:space="preserve"> </v>
      </c>
      <c r="L561" s="390" t="str">
        <f>IF(K561=" "," ",IF(K561="Grant",0,IF(K561="Depreciated",0,IF('kt info'!$G$45=0,"No Service Frequency",K561/'kt info'!$G$45))))</f>
        <v xml:space="preserve"> </v>
      </c>
    </row>
    <row r="562" spans="1:14" ht="15" thickBot="1" x14ac:dyDescent="0.4">
      <c r="A562" s="100">
        <v>5</v>
      </c>
      <c r="B562" s="439"/>
      <c r="C562" s="423"/>
      <c r="D562" s="424">
        <f>IF(B562=0,0,VLOOKUP(B562,Supplies!$B$13:$C$97,2,FALSE))</f>
        <v>0</v>
      </c>
      <c r="E562" s="377">
        <f t="shared" si="62"/>
        <v>0</v>
      </c>
      <c r="G562" s="100">
        <v>5</v>
      </c>
      <c r="H562" s="425"/>
      <c r="I562" s="426"/>
      <c r="J562" s="427"/>
      <c r="K562" s="428" t="str">
        <f>IF(H562=0," ",IF(VLOOKUP(H562,'Equipment List'!$B$12:$F$96,5,FALSE)=0,0,IF(VLOOKUP(H562,'Equipment List'!$B$12:$F$96,5,FALSE)="Grant","Grant",IF(VLOOKUP(H562,'Equipment List'!$B$12:$F$96,5,FALSE)="Depreciated","Depreciated",VLOOKUP(H562,'Equipment List'!$B$12:$F$96,5,FALSE)*I562*J562))))</f>
        <v xml:space="preserve"> </v>
      </c>
      <c r="L562" s="382" t="str">
        <f>IF(K562=" "," ",IF(K562="Grant",0,IF(K562="Depreciated",0,IF('kt info'!$G$45=0,"No Service Frequency",K562/'kt info'!$G$45))))</f>
        <v xml:space="preserve"> </v>
      </c>
    </row>
    <row r="563" spans="1:14" x14ac:dyDescent="0.35">
      <c r="A563" s="100">
        <v>6</v>
      </c>
      <c r="B563" s="433"/>
      <c r="C563" s="431"/>
      <c r="D563" s="432">
        <f>IF(B563=0,0,VLOOKUP(B563,Supplies!$B$13:$C$97,2,FALSE))</f>
        <v>0</v>
      </c>
      <c r="E563" s="385">
        <f t="shared" si="62"/>
        <v>0</v>
      </c>
      <c r="G563" s="100">
        <v>6</v>
      </c>
      <c r="H563" s="433"/>
      <c r="I563" s="434"/>
      <c r="J563" s="435"/>
      <c r="K563" s="436" t="str">
        <f>IF(H563=0," ",IF(VLOOKUP(H563,'Equipment List'!$B$12:$F$96,5,FALSE)=0,0,IF(VLOOKUP(H563,'Equipment List'!$B$12:$F$96,5,FALSE)="Grant","Grant",IF(VLOOKUP(H563,'Equipment List'!$B$12:$F$96,5,FALSE)="Depreciated","Depreciated",VLOOKUP(H563,'Equipment List'!$B$12:$F$96,5,FALSE)*I563*J563))))</f>
        <v xml:space="preserve"> </v>
      </c>
      <c r="L563" s="390" t="str">
        <f>IF(K563=" "," ",IF(K563="Grant",0,IF(K563="Depreciated",0,IF('kt info'!$G$45=0,"No Service Frequency",K563/'kt info'!$G$45))))</f>
        <v xml:space="preserve"> </v>
      </c>
    </row>
    <row r="564" spans="1:14" x14ac:dyDescent="0.35">
      <c r="A564" s="100">
        <v>7</v>
      </c>
      <c r="B564" s="437"/>
      <c r="C564" s="414"/>
      <c r="D564" s="415">
        <f>IF(B564=0,0,VLOOKUP(B564,Supplies!$B$13:$C$97,2,FALSE))</f>
        <v>0</v>
      </c>
      <c r="E564" s="385">
        <f t="shared" si="62"/>
        <v>0</v>
      </c>
      <c r="G564" s="100">
        <v>7</v>
      </c>
      <c r="H564" s="437"/>
      <c r="I564" s="417"/>
      <c r="J564" s="418"/>
      <c r="K564" s="438" t="str">
        <f>IF(H564=0," ",IF(VLOOKUP(H564,'Equipment List'!$B$12:$F$96,5,FALSE)=0,0,IF(VLOOKUP(H564,'Equipment List'!$B$12:$F$96,5,FALSE)="Grant","Grant",IF(VLOOKUP(H564,'Equipment List'!$B$12:$F$96,5,FALSE)="Depreciated","Depreciated",VLOOKUP(H564,'Equipment List'!$B$12:$F$96,5,FALSE)*I564*J564))))</f>
        <v xml:space="preserve"> </v>
      </c>
      <c r="L564" s="390" t="str">
        <f>IF(K564=" "," ",IF(K564="Grant",0,IF(K564="Depreciated",0,IF('kt info'!$G$45=0,"No Service Frequency",K564/'kt info'!$G$45))))</f>
        <v xml:space="preserve"> </v>
      </c>
    </row>
    <row r="565" spans="1:14" x14ac:dyDescent="0.35">
      <c r="A565" s="100">
        <v>8</v>
      </c>
      <c r="B565" s="437"/>
      <c r="C565" s="414"/>
      <c r="D565" s="415">
        <f>IF(B565=0,0,VLOOKUP(B565,Supplies!$B$13:$C$97,2,FALSE))</f>
        <v>0</v>
      </c>
      <c r="E565" s="385">
        <f t="shared" si="62"/>
        <v>0</v>
      </c>
      <c r="G565" s="100">
        <v>8</v>
      </c>
      <c r="H565" s="437"/>
      <c r="I565" s="417"/>
      <c r="J565" s="418"/>
      <c r="K565" s="438" t="str">
        <f>IF(H565=0," ",IF(VLOOKUP(H565,'Equipment List'!$B$12:$F$96,5,FALSE)=0,0,IF(VLOOKUP(H565,'Equipment List'!$B$12:$F$96,5,FALSE)="Grant","Grant",IF(VLOOKUP(H565,'Equipment List'!$B$12:$F$96,5,FALSE)="Depreciated","Depreciated",VLOOKUP(H565,'Equipment List'!$B$12:$F$96,5,FALSE)*I565*J565))))</f>
        <v xml:space="preserve"> </v>
      </c>
      <c r="L565" s="390" t="str">
        <f>IF(K565=" "," ",IF(K565="Grant",0,IF(K565="Depreciated",0,IF('kt info'!$G$45=0,"No Service Frequency",K565/'kt info'!$G$45))))</f>
        <v xml:space="preserve"> </v>
      </c>
    </row>
    <row r="566" spans="1:14" x14ac:dyDescent="0.35">
      <c r="A566" s="100">
        <v>9</v>
      </c>
      <c r="B566" s="437"/>
      <c r="C566" s="414"/>
      <c r="D566" s="415">
        <f>IF(B566=0,0,VLOOKUP(B566,Supplies!$B$13:$C$97,2,FALSE))</f>
        <v>0</v>
      </c>
      <c r="E566" s="385">
        <f t="shared" si="62"/>
        <v>0</v>
      </c>
      <c r="G566" s="100">
        <v>9</v>
      </c>
      <c r="H566" s="437"/>
      <c r="I566" s="417"/>
      <c r="J566" s="418"/>
      <c r="K566" s="438" t="str">
        <f>IF(H566=0," ",IF(VLOOKUP(H566,'Equipment List'!$B$12:$F$96,5,FALSE)=0,0,IF(VLOOKUP(H566,'Equipment List'!$B$12:$F$96,5,FALSE)="Grant","Grant",IF(VLOOKUP(H566,'Equipment List'!$B$12:$F$96,5,FALSE)="Depreciated","Depreciated",VLOOKUP(H566,'Equipment List'!$B$12:$F$96,5,FALSE)*I566*J566))))</f>
        <v xml:space="preserve"> </v>
      </c>
      <c r="L566" s="390" t="str">
        <f>IF(K566=" "," ",IF(K566="Grant",0,IF(K566="Depreciated",0,IF('kt info'!$G$45=0,"No Service Frequency",K566/'kt info'!$G$45))))</f>
        <v xml:space="preserve"> </v>
      </c>
    </row>
    <row r="567" spans="1:14" ht="15" thickBot="1" x14ac:dyDescent="0.4">
      <c r="A567" s="100">
        <v>10</v>
      </c>
      <c r="B567" s="439"/>
      <c r="C567" s="423"/>
      <c r="D567" s="424">
        <f>IF(B567=0,0,VLOOKUP(B567,Supplies!$B$13:$C$97,2,FALSE))</f>
        <v>0</v>
      </c>
      <c r="E567" s="377">
        <f t="shared" si="62"/>
        <v>0</v>
      </c>
      <c r="G567" s="100">
        <v>10</v>
      </c>
      <c r="H567" s="439"/>
      <c r="I567" s="426"/>
      <c r="J567" s="427"/>
      <c r="K567" s="440" t="str">
        <f>IF(H567=0," ",IF(VLOOKUP(H567,'Equipment List'!$B$12:$F$96,5,FALSE)=0,0,IF(VLOOKUP(H567,'Equipment List'!$B$12:$F$96,5,FALSE)="Grant","Grant",IF(VLOOKUP(H567,'Equipment List'!$B$12:$F$96,5,FALSE)="Depreciated","Depreciated",VLOOKUP(H567,'Equipment List'!$B$12:$F$96,5,FALSE)*I567*J567))))</f>
        <v xml:space="preserve"> </v>
      </c>
      <c r="L567" s="382" t="str">
        <f>IF(K567=" "," ",IF(K567="Grant",0,IF(K567="Depreciated",0,IF('kt info'!$G$45=0,"No Service Frequency",K567/'kt info'!$G$45))))</f>
        <v xml:space="preserve"> </v>
      </c>
    </row>
    <row r="568" spans="1:14" x14ac:dyDescent="0.35">
      <c r="A568" s="100">
        <v>11</v>
      </c>
      <c r="B568" s="433"/>
      <c r="C568" s="431"/>
      <c r="D568" s="432">
        <f>IF(B568=0,0,VLOOKUP(B568,Supplies!$B$13:$C$97,2,FALSE))</f>
        <v>0</v>
      </c>
      <c r="E568" s="385">
        <f t="shared" si="62"/>
        <v>0</v>
      </c>
    </row>
    <row r="569" spans="1:14" ht="15" thickBot="1" x14ac:dyDescent="0.4">
      <c r="A569" s="100">
        <v>12</v>
      </c>
      <c r="B569" s="437"/>
      <c r="C569" s="414"/>
      <c r="D569" s="415">
        <f>IF(B569=0,0,VLOOKUP(B569,Supplies!$B$13:$C$97,2,FALSE))</f>
        <v>0</v>
      </c>
      <c r="E569" s="385">
        <f t="shared" si="62"/>
        <v>0</v>
      </c>
      <c r="H569" s="817" t="s">
        <v>200</v>
      </c>
      <c r="I569" s="816"/>
      <c r="J569" s="354"/>
      <c r="K569" s="354"/>
      <c r="L569" s="354"/>
      <c r="M569" s="354"/>
    </row>
    <row r="570" spans="1:14" x14ac:dyDescent="0.35">
      <c r="A570" s="100">
        <v>13</v>
      </c>
      <c r="B570" s="437"/>
      <c r="C570" s="414"/>
      <c r="D570" s="415">
        <f>IF(B570=0,0,VLOOKUP(B570,Supplies!$B$13:$C$97,2,FALSE))</f>
        <v>0</v>
      </c>
      <c r="E570" s="385">
        <f t="shared" si="62"/>
        <v>0</v>
      </c>
      <c r="H570" s="441" t="s">
        <v>159</v>
      </c>
      <c r="I570" s="4" t="s">
        <v>92</v>
      </c>
      <c r="J570" s="4" t="s">
        <v>300</v>
      </c>
      <c r="K570" s="350" t="s">
        <v>93</v>
      </c>
      <c r="L570" s="4" t="s">
        <v>12</v>
      </c>
      <c r="M570" s="4" t="s">
        <v>12</v>
      </c>
      <c r="N570" s="481"/>
    </row>
    <row r="571" spans="1:14" ht="15" thickBot="1" x14ac:dyDescent="0.4">
      <c r="A571" s="100">
        <v>14</v>
      </c>
      <c r="B571" s="437"/>
      <c r="C571" s="414"/>
      <c r="D571" s="415">
        <f>IF(B571=0,0,VLOOKUP(B571,Supplies!$B$13:$C$97,2,FALSE))</f>
        <v>0</v>
      </c>
      <c r="E571" s="385">
        <f t="shared" si="62"/>
        <v>0</v>
      </c>
      <c r="H571" s="305" t="s">
        <v>13</v>
      </c>
      <c r="I571" s="5" t="s">
        <v>301</v>
      </c>
      <c r="J571" s="5" t="s">
        <v>169</v>
      </c>
      <c r="K571" s="354" t="s">
        <v>94</v>
      </c>
      <c r="L571" s="5" t="s">
        <v>302</v>
      </c>
      <c r="M571" s="5" t="s">
        <v>240</v>
      </c>
      <c r="N571" s="481"/>
    </row>
    <row r="572" spans="1:14" ht="15" thickBot="1" x14ac:dyDescent="0.4">
      <c r="A572" s="100">
        <v>15</v>
      </c>
      <c r="B572" s="439"/>
      <c r="C572" s="442"/>
      <c r="D572" s="443">
        <f>IF(B572=0,0,VLOOKUP(B572,Supplies!$B$13:$C$97,2,FALSE))</f>
        <v>0</v>
      </c>
      <c r="E572" s="377">
        <f t="shared" si="62"/>
        <v>0</v>
      </c>
      <c r="G572" s="393"/>
      <c r="H572" s="258"/>
      <c r="I572" s="444"/>
      <c r="J572" s="445"/>
      <c r="K572" s="446">
        <f>IF(H572=0,0,VLOOKUP(H572,Transportation!$B$6:$L$16,11,FALSE))</f>
        <v>0</v>
      </c>
      <c r="L572" s="447">
        <f>IF(I572=0,0,I572*K572)</f>
        <v>0</v>
      </c>
      <c r="M572" s="448">
        <f>IF(I572=0,0,I572*K572*J572)</f>
        <v>0</v>
      </c>
      <c r="N572" s="487"/>
    </row>
    <row r="573" spans="1:14" ht="15" thickBot="1" x14ac:dyDescent="0.4">
      <c r="A573" s="100">
        <v>16</v>
      </c>
      <c r="B573" s="433"/>
      <c r="C573" s="449"/>
      <c r="D573" s="450">
        <f>IF(B573=0,0,VLOOKUP(B573,Supplies!$B$13:$C$97,2,FALSE))</f>
        <v>0</v>
      </c>
      <c r="E573" s="385">
        <f t="shared" si="62"/>
        <v>0</v>
      </c>
      <c r="H573" s="259"/>
      <c r="I573" s="451"/>
      <c r="J573" s="452"/>
      <c r="K573" s="453">
        <f>IF(H573=0,0,VLOOKUP(H573,Transportation!$B$6:$L$16,11,FALSE))</f>
        <v>0</v>
      </c>
      <c r="L573" s="454">
        <f>IF(I573=0,0,I573*K573)</f>
        <v>0</v>
      </c>
      <c r="M573" s="455">
        <f>IF(I573=0,0,I573*K573*J573)</f>
        <v>0</v>
      </c>
      <c r="N573" s="487"/>
    </row>
    <row r="574" spans="1:14" x14ac:dyDescent="0.35">
      <c r="A574" s="100">
        <v>17</v>
      </c>
      <c r="B574" s="437"/>
      <c r="C574" s="456"/>
      <c r="D574" s="457">
        <f>IF(B574=0,0,VLOOKUP(B574,Supplies!$B$13:$C$97,2,FALSE))</f>
        <v>0</v>
      </c>
      <c r="E574" s="385">
        <f>IF(D574=" "," ",D574*C574)</f>
        <v>0</v>
      </c>
      <c r="H574" s="260"/>
      <c r="I574" s="458"/>
      <c r="J574" s="459"/>
      <c r="K574" s="460"/>
      <c r="L574" s="460"/>
      <c r="M574" s="460"/>
      <c r="N574" s="483"/>
    </row>
    <row r="575" spans="1:14" ht="15" thickBot="1" x14ac:dyDescent="0.4">
      <c r="A575" s="100">
        <v>18</v>
      </c>
      <c r="B575" s="437"/>
      <c r="C575" s="456"/>
      <c r="D575" s="457">
        <f>IF(B575=0,0,VLOOKUP(B575,Supplies!$B$13:$C$97,2,FALSE))</f>
        <v>0</v>
      </c>
      <c r="E575" s="385">
        <f>IF(D575=" "," ",D575*C575)</f>
        <v>0</v>
      </c>
      <c r="H575" s="461" t="s">
        <v>201</v>
      </c>
      <c r="I575" s="462"/>
      <c r="J575" s="463"/>
      <c r="K575" s="464"/>
      <c r="L575" s="464"/>
      <c r="M575" s="464"/>
      <c r="N575" s="483"/>
    </row>
    <row r="576" spans="1:14" x14ac:dyDescent="0.35">
      <c r="A576" s="100">
        <v>19</v>
      </c>
      <c r="B576" s="437"/>
      <c r="C576" s="456"/>
      <c r="D576" s="457">
        <f>IF(B576=0,0,VLOOKUP(B576,Supplies!$B$13:$C$97,2,FALSE))</f>
        <v>0</v>
      </c>
      <c r="E576" s="385">
        <f>IF(D576=" "," ",D576*C576)</f>
        <v>0</v>
      </c>
      <c r="H576" s="465" t="s">
        <v>202</v>
      </c>
      <c r="I576" s="466" t="s">
        <v>204</v>
      </c>
      <c r="J576" s="463"/>
      <c r="K576" s="464"/>
      <c r="L576" s="464"/>
      <c r="M576" s="464"/>
      <c r="N576" s="483"/>
    </row>
    <row r="577" spans="1:14" ht="15" thickBot="1" x14ac:dyDescent="0.4">
      <c r="A577" s="100">
        <v>20</v>
      </c>
      <c r="B577" s="439"/>
      <c r="C577" s="442"/>
      <c r="D577" s="443">
        <f>IF(B577=0,0,VLOOKUP(B577,Supplies!$B$13:$C$97,2,FALSE))</f>
        <v>0</v>
      </c>
      <c r="E577" s="377">
        <f>IF(D577=" "," ",D577*C577)</f>
        <v>0</v>
      </c>
      <c r="H577" s="467"/>
      <c r="I577" s="484" t="str">
        <f>IF(H577=0," ",VLOOKUP(H577,Subcontractors!$B$15:$E$25,4))</f>
        <v xml:space="preserve"> </v>
      </c>
      <c r="J577" s="463"/>
      <c r="K577" s="464"/>
      <c r="L577" s="464"/>
      <c r="M577" s="464"/>
    </row>
    <row r="578" spans="1:14" ht="15" thickBot="1" x14ac:dyDescent="0.4">
      <c r="A578" s="100"/>
      <c r="B578" s="335"/>
      <c r="C578" s="485"/>
      <c r="D578" s="397"/>
      <c r="E578" s="397"/>
      <c r="H578" s="469"/>
      <c r="I578" s="486" t="str">
        <f>IF(H578=0," ",VLOOKUP(H578,Subcontractors!$B$15:$E$25,4))</f>
        <v xml:space="preserve"> </v>
      </c>
    </row>
    <row r="579" spans="1:14" x14ac:dyDescent="0.35">
      <c r="A579" s="100"/>
      <c r="B579" s="335"/>
      <c r="C579" s="485"/>
      <c r="D579" s="397"/>
      <c r="E579" s="397"/>
      <c r="H579" s="473"/>
      <c r="I579" s="404"/>
    </row>
    <row r="580" spans="1:14" ht="18.5" x14ac:dyDescent="0.35">
      <c r="A580" s="818" t="s">
        <v>191</v>
      </c>
      <c r="B580" s="828"/>
      <c r="C580" s="828"/>
      <c r="D580" s="828"/>
      <c r="E580" s="828"/>
      <c r="F580" s="828"/>
      <c r="G580" s="274" t="str">
        <f>B531</f>
        <v>Enter Periodical Service 3</v>
      </c>
      <c r="H580" s="306"/>
      <c r="I580" s="275"/>
      <c r="J580" s="275"/>
      <c r="K580" s="275"/>
      <c r="L580" s="275"/>
      <c r="M580" s="150"/>
      <c r="N580" s="150"/>
    </row>
    <row r="581" spans="1:14" ht="18.5" x14ac:dyDescent="0.35">
      <c r="A581" s="818" t="s">
        <v>193</v>
      </c>
      <c r="B581" s="828"/>
      <c r="C581" s="828"/>
      <c r="D581" s="828"/>
      <c r="E581" s="828"/>
      <c r="F581" s="828"/>
      <c r="G581" s="150" t="str">
        <f>B589</f>
        <v>Enter Periodical Service 4</v>
      </c>
      <c r="H581" s="301"/>
      <c r="I581" s="150"/>
      <c r="J581" s="150"/>
      <c r="K581" s="150"/>
      <c r="L581" s="150"/>
      <c r="M581" s="150"/>
      <c r="N581" s="150"/>
    </row>
    <row r="583" spans="1:14" x14ac:dyDescent="0.35">
      <c r="B583" s="222" t="s">
        <v>109</v>
      </c>
      <c r="C583" s="741">
        <f>'kt info'!$C$3</f>
        <v>0</v>
      </c>
      <c r="D583" s="824"/>
      <c r="E583" s="824"/>
      <c r="F583" s="825"/>
      <c r="H583" s="333"/>
      <c r="J583" s="811" t="s">
        <v>170</v>
      </c>
      <c r="K583" s="708"/>
      <c r="L583" s="708"/>
      <c r="M583" s="708"/>
    </row>
    <row r="584" spans="1:14" x14ac:dyDescent="0.35">
      <c r="C584" s="300"/>
      <c r="D584" s="100"/>
      <c r="E584" s="100"/>
      <c r="F584" s="100"/>
      <c r="I584" s="329"/>
      <c r="J584" s="329" t="str">
        <f>$B$10</f>
        <v>All Carpets</v>
      </c>
      <c r="L584" s="336" t="str">
        <f>$B$415</f>
        <v>Enter Periodical Service 1</v>
      </c>
    </row>
    <row r="585" spans="1:14" x14ac:dyDescent="0.35">
      <c r="B585" s="222" t="s">
        <v>110</v>
      </c>
      <c r="C585" s="741">
        <f>'kt info'!$C$5</f>
        <v>0</v>
      </c>
      <c r="D585" s="824"/>
      <c r="E585" s="824"/>
      <c r="F585" s="825"/>
      <c r="J585" s="329" t="str">
        <f>$B$67</f>
        <v>High Traffic Carpet</v>
      </c>
      <c r="L585" s="336" t="str">
        <f>$B$473</f>
        <v>Enter Periodical Service 2</v>
      </c>
    </row>
    <row r="586" spans="1:14" x14ac:dyDescent="0.35">
      <c r="C586" s="300"/>
      <c r="D586" s="100"/>
      <c r="E586" s="100"/>
      <c r="F586" s="100"/>
      <c r="J586" s="329" t="str">
        <f>$B$125</f>
        <v>Hard Floor Strip and Wax</v>
      </c>
      <c r="L586" s="336" t="str">
        <f>$B$531</f>
        <v>Enter Periodical Service 3</v>
      </c>
    </row>
    <row r="587" spans="1:14" x14ac:dyDescent="0.35">
      <c r="B587" s="222" t="s">
        <v>135</v>
      </c>
      <c r="C587" s="741">
        <f>'kt info'!$C$7</f>
        <v>0</v>
      </c>
      <c r="D587" s="824"/>
      <c r="E587" s="824"/>
      <c r="F587" s="825"/>
      <c r="J587" s="329" t="str">
        <f>$B$183</f>
        <v>Hard Floor Scrub and Seal</v>
      </c>
      <c r="L587" s="336" t="str">
        <f>$B$589</f>
        <v>Enter Periodical Service 4</v>
      </c>
    </row>
    <row r="588" spans="1:14" x14ac:dyDescent="0.35">
      <c r="J588" s="336" t="str">
        <f>$B$241</f>
        <v>Window Washing</v>
      </c>
      <c r="L588" s="336" t="str">
        <f>$B$647</f>
        <v>Enter Periodical Service 5</v>
      </c>
    </row>
    <row r="589" spans="1:14" ht="18.5" x14ac:dyDescent="0.35">
      <c r="A589" s="337"/>
      <c r="B589" s="490" t="str">
        <f>'kt info'!B47</f>
        <v>Enter Periodical Service 4</v>
      </c>
      <c r="C589" s="339"/>
      <c r="D589" s="337"/>
      <c r="E589" s="337"/>
      <c r="F589" s="337"/>
      <c r="G589" s="337"/>
      <c r="H589" s="302" t="s">
        <v>77</v>
      </c>
      <c r="I589" s="236" t="s">
        <v>238</v>
      </c>
      <c r="J589" s="336" t="str">
        <f>$B$299</f>
        <v>Clean Chairs</v>
      </c>
      <c r="L589" s="336" t="str">
        <f>$B$705</f>
        <v>Enter Periodical Service 6</v>
      </c>
      <c r="M589" s="337"/>
      <c r="N589" s="337"/>
    </row>
    <row r="590" spans="1:14" x14ac:dyDescent="0.35">
      <c r="G590" s="178" t="s">
        <v>79</v>
      </c>
      <c r="H590" s="341">
        <f>IF(SUM(M602:M611)&gt;0,SUM(M602:M611)/'kt info'!$G$47,0)</f>
        <v>0</v>
      </c>
      <c r="I590" s="342">
        <f>H590*'kt info'!$G$47</f>
        <v>0</v>
      </c>
      <c r="J590" s="336" t="str">
        <f>$B$357</f>
        <v>High Dusting</v>
      </c>
      <c r="L590" s="336" t="str">
        <f>$B$763</f>
        <v>Enter Periodical Service 7</v>
      </c>
    </row>
    <row r="591" spans="1:14" x14ac:dyDescent="0.35">
      <c r="B591" s="343" t="s">
        <v>78</v>
      </c>
      <c r="G591" s="178" t="s">
        <v>189</v>
      </c>
      <c r="H591" s="344">
        <f>IF(SUM(K602:K611)&gt;0,SUM(K602:K611),0)</f>
        <v>0</v>
      </c>
      <c r="I591" s="345">
        <f>H591*'kt info'!$G$47</f>
        <v>0</v>
      </c>
      <c r="J591" s="336"/>
      <c r="L591" s="336" t="str">
        <f>$B$821</f>
        <v>Enter Periodical Service 8</v>
      </c>
    </row>
    <row r="592" spans="1:14" x14ac:dyDescent="0.35">
      <c r="B592" s="177" t="s">
        <v>96</v>
      </c>
      <c r="C592" s="346">
        <f>'kt info'!E47</f>
        <v>0</v>
      </c>
      <c r="G592" s="178" t="s">
        <v>80</v>
      </c>
      <c r="H592" s="344">
        <f>IF(SUM(E616:E635)&gt;0,SUM(E616:E635),0)</f>
        <v>0</v>
      </c>
      <c r="I592" s="345">
        <f>H592*'kt info'!$G$47</f>
        <v>0</v>
      </c>
      <c r="J592" s="336"/>
      <c r="L592" s="336" t="str">
        <f>$B$879</f>
        <v>Enter Periodical Service 9</v>
      </c>
    </row>
    <row r="593" spans="1:14" x14ac:dyDescent="0.35">
      <c r="G593" s="178" t="s">
        <v>81</v>
      </c>
      <c r="H593" s="344">
        <f>IF(SUM(L616:L625)&gt;0,SUM(L616:L625),0)</f>
        <v>0</v>
      </c>
      <c r="I593" s="345">
        <f>H593*'kt info'!$G$47</f>
        <v>0</v>
      </c>
      <c r="J593" s="336"/>
      <c r="L593" s="336" t="str">
        <f>$B$937</f>
        <v>Enter Periodical Service 10</v>
      </c>
    </row>
    <row r="594" spans="1:14" x14ac:dyDescent="0.35">
      <c r="B594" s="177" t="s">
        <v>98</v>
      </c>
      <c r="C594" s="347">
        <f>ROUND(IF(SUM(H591:H597)&gt;0,SUM(H591:H597),0),0)</f>
        <v>0</v>
      </c>
      <c r="G594" s="178" t="s">
        <v>89</v>
      </c>
      <c r="H594" s="344">
        <f>IF(SUM(J629:J633)&gt;0,SUM(L629:L633),0)</f>
        <v>0</v>
      </c>
      <c r="I594" s="345">
        <f>H594*'kt info'!$G$47</f>
        <v>0</v>
      </c>
      <c r="J594" s="329"/>
      <c r="K594" s="336"/>
    </row>
    <row r="595" spans="1:14" x14ac:dyDescent="0.35">
      <c r="G595" s="178" t="s">
        <v>201</v>
      </c>
      <c r="H595" s="344">
        <f>IF(SUM(I635:I636)=0,0,SUM(I635:I636))</f>
        <v>0</v>
      </c>
      <c r="I595" s="345">
        <f>H595*'kt info'!$G$47</f>
        <v>0</v>
      </c>
      <c r="K595" s="336"/>
    </row>
    <row r="596" spans="1:14" x14ac:dyDescent="0.35">
      <c r="B596" s="177" t="s">
        <v>97</v>
      </c>
      <c r="C596" s="347">
        <f>IF(C592&gt;0,C594/C592,0)</f>
        <v>0</v>
      </c>
      <c r="G596" s="178" t="s">
        <v>87</v>
      </c>
      <c r="H596" s="344">
        <f>IF('Overhead &amp; Margin'!$D$10&gt;0,((H591+H592+H593+H594+H595)*'Overhead &amp; Margin'!$D$10/(1-('Overhead &amp; Margin'!$D$10+'Overhead &amp; Margin'!$G$10))),0)</f>
        <v>0</v>
      </c>
      <c r="I596" s="345">
        <f>H596*'kt info'!$G$47</f>
        <v>0</v>
      </c>
      <c r="K596" s="336"/>
    </row>
    <row r="597" spans="1:14" x14ac:dyDescent="0.35">
      <c r="G597" s="178" t="s">
        <v>88</v>
      </c>
      <c r="H597" s="344">
        <f>IF('Overhead &amp; Margin'!$G$10=0,0,'Overhead &amp; Margin'!$G$10*(H591+H592+H593+H594+H595)/(1-('Overhead &amp; Margin'!$D$10+'Overhead &amp; Margin'!$G$10)))</f>
        <v>0</v>
      </c>
      <c r="I597" s="345">
        <f>H597*'kt info'!$G$47</f>
        <v>0</v>
      </c>
    </row>
    <row r="598" spans="1:14" x14ac:dyDescent="0.35">
      <c r="M598" s="605" t="str">
        <f>'kt info'!$B$12</f>
        <v>Form date: 10/24/25</v>
      </c>
    </row>
    <row r="599" spans="1:14" ht="15" thickBot="1" x14ac:dyDescent="0.4">
      <c r="B599" s="348" t="s">
        <v>104</v>
      </c>
    </row>
    <row r="600" spans="1:14" x14ac:dyDescent="0.35">
      <c r="B600" s="84" t="s">
        <v>18</v>
      </c>
      <c r="C600" s="349" t="s">
        <v>19</v>
      </c>
      <c r="D600" s="350" t="s">
        <v>25</v>
      </c>
      <c r="E600" s="350" t="s">
        <v>20</v>
      </c>
      <c r="F600" s="826" t="s">
        <v>22</v>
      </c>
      <c r="G600" s="826"/>
      <c r="H600" s="351" t="s">
        <v>23</v>
      </c>
      <c r="I600" s="350" t="s">
        <v>21</v>
      </c>
      <c r="J600" s="350" t="s">
        <v>24</v>
      </c>
      <c r="K600" s="350" t="s">
        <v>77</v>
      </c>
      <c r="L600" s="352" t="s">
        <v>26</v>
      </c>
      <c r="M600" s="4" t="s">
        <v>27</v>
      </c>
      <c r="N600" s="4" t="s">
        <v>0</v>
      </c>
    </row>
    <row r="601" spans="1:14" ht="15" thickBot="1" x14ac:dyDescent="0.4">
      <c r="B601" s="22" t="s">
        <v>306</v>
      </c>
      <c r="C601" s="353" t="s">
        <v>28</v>
      </c>
      <c r="D601" s="354" t="s">
        <v>33</v>
      </c>
      <c r="E601" s="354" t="s">
        <v>29</v>
      </c>
      <c r="F601" s="827" t="s">
        <v>30</v>
      </c>
      <c r="G601" s="827"/>
      <c r="H601" s="355" t="s">
        <v>31</v>
      </c>
      <c r="I601" s="354"/>
      <c r="J601" s="354" t="s">
        <v>38</v>
      </c>
      <c r="K601" s="354" t="s">
        <v>189</v>
      </c>
      <c r="L601" s="356" t="s">
        <v>0</v>
      </c>
      <c r="M601" s="5" t="s">
        <v>0</v>
      </c>
      <c r="N601" s="5" t="s">
        <v>77</v>
      </c>
    </row>
    <row r="602" spans="1:14" x14ac:dyDescent="0.35">
      <c r="A602" s="100">
        <v>1</v>
      </c>
      <c r="B602" s="474"/>
      <c r="C602" s="358"/>
      <c r="D602" s="359" t="str">
        <f>IF(B602=0," ",'kt info'!$G$47)</f>
        <v xml:space="preserve"> </v>
      </c>
      <c r="E602" s="360" t="str">
        <f>IF(B602=0," ",VLOOKUP(B602,WageBeneTable5[#All],2,FALSE))</f>
        <v xml:space="preserve"> </v>
      </c>
      <c r="F602" s="820">
        <f>IF($E602=" ",0,'Pay &amp; Benefits'!$C$10)</f>
        <v>0</v>
      </c>
      <c r="G602" s="821"/>
      <c r="H602" s="361" t="str">
        <f>IF($E602=" "," ",'Pay &amp; Benefits'!$C$11)</f>
        <v xml:space="preserve"> </v>
      </c>
      <c r="I602" s="362" t="str">
        <f t="shared" ref="I602:I611" si="63">IF(E602=" "," ",0.0765)</f>
        <v xml:space="preserve"> </v>
      </c>
      <c r="J602" s="363" t="str">
        <f>IF(B602=0," ",VLOOKUP(B602,WageBeneTable5[#All],3,FALSE))</f>
        <v xml:space="preserve"> </v>
      </c>
      <c r="K602" s="360" t="str">
        <f t="shared" ref="K602:K611" si="64">IF(B602=0," ",C602*E602*(1+I602+F602+H602+J602))</f>
        <v xml:space="preserve"> </v>
      </c>
      <c r="L602" s="360">
        <f t="shared" ref="L602:L611" si="65">IF(K602=" ",0,K602*D602)</f>
        <v>0</v>
      </c>
      <c r="M602" s="364">
        <f t="shared" ref="M602:M611" si="66">IF(B602=0,0,C602*D602)</f>
        <v>0</v>
      </c>
      <c r="N602" s="365">
        <f t="shared" ref="N602:N611" si="67">IF(L602=0,0,IF(D602=0,0,L602/D602))</f>
        <v>0</v>
      </c>
    </row>
    <row r="603" spans="1:14" x14ac:dyDescent="0.35">
      <c r="A603" s="100">
        <v>2</v>
      </c>
      <c r="B603" s="437"/>
      <c r="C603" s="367"/>
      <c r="D603" s="359" t="str">
        <f>IF(B603=0," ",'kt info'!$G$47)</f>
        <v xml:space="preserve"> </v>
      </c>
      <c r="E603" s="368" t="str">
        <f>IF(B603=0," ",VLOOKUP(B603,WageBeneTable5[#All],2,FALSE))</f>
        <v xml:space="preserve"> </v>
      </c>
      <c r="F603" s="822">
        <f>IF($E603=" ",0,'Pay &amp; Benefits'!$C$10)</f>
        <v>0</v>
      </c>
      <c r="G603" s="823"/>
      <c r="H603" s="369" t="str">
        <f>IF($E603=" "," ",'Pay &amp; Benefits'!$C$11)</f>
        <v xml:space="preserve"> </v>
      </c>
      <c r="I603" s="370" t="str">
        <f t="shared" si="63"/>
        <v xml:space="preserve"> </v>
      </c>
      <c r="J603" s="371" t="str">
        <f>IF(B603=0," ",VLOOKUP(B603,WageBeneTable5[#All],3,FALSE))</f>
        <v xml:space="preserve"> </v>
      </c>
      <c r="K603" s="368" t="str">
        <f t="shared" si="64"/>
        <v xml:space="preserve"> </v>
      </c>
      <c r="L603" s="368">
        <f t="shared" si="65"/>
        <v>0</v>
      </c>
      <c r="M603" s="372">
        <f t="shared" si="66"/>
        <v>0</v>
      </c>
      <c r="N603" s="373">
        <f t="shared" si="67"/>
        <v>0</v>
      </c>
    </row>
    <row r="604" spans="1:14" x14ac:dyDescent="0.35">
      <c r="A604" s="100">
        <v>3</v>
      </c>
      <c r="B604" s="437"/>
      <c r="C604" s="367"/>
      <c r="D604" s="359" t="str">
        <f>IF(B604=0," ",'kt info'!$G$47)</f>
        <v xml:space="preserve"> </v>
      </c>
      <c r="E604" s="368" t="str">
        <f>IF(B604=0," ",VLOOKUP(B604,WageBeneTable5[#All],2,FALSE))</f>
        <v xml:space="preserve"> </v>
      </c>
      <c r="F604" s="822">
        <f>IF($E604=" ",0,'Pay &amp; Benefits'!$C$10)</f>
        <v>0</v>
      </c>
      <c r="G604" s="823"/>
      <c r="H604" s="369" t="str">
        <f>IF($E604=" "," ",'Pay &amp; Benefits'!$C$11)</f>
        <v xml:space="preserve"> </v>
      </c>
      <c r="I604" s="370" t="str">
        <f t="shared" si="63"/>
        <v xml:space="preserve"> </v>
      </c>
      <c r="J604" s="371" t="str">
        <f>IF(B604=0," ",VLOOKUP(B604,WageBeneTable5[#All],3,FALSE))</f>
        <v xml:space="preserve"> </v>
      </c>
      <c r="K604" s="368" t="str">
        <f t="shared" si="64"/>
        <v xml:space="preserve"> </v>
      </c>
      <c r="L604" s="368">
        <f t="shared" si="65"/>
        <v>0</v>
      </c>
      <c r="M604" s="372">
        <f t="shared" si="66"/>
        <v>0</v>
      </c>
      <c r="N604" s="373">
        <f t="shared" si="67"/>
        <v>0</v>
      </c>
    </row>
    <row r="605" spans="1:14" x14ac:dyDescent="0.35">
      <c r="A605" s="100">
        <v>4</v>
      </c>
      <c r="B605" s="437"/>
      <c r="C605" s="367"/>
      <c r="D605" s="359" t="str">
        <f>IF(B605=0," ",'kt info'!$G$47)</f>
        <v xml:space="preserve"> </v>
      </c>
      <c r="E605" s="368" t="str">
        <f>IF(B605=0," ",VLOOKUP(B605,WageBeneTable5[#All],2,FALSE))</f>
        <v xml:space="preserve"> </v>
      </c>
      <c r="F605" s="822">
        <f>IF($E605=" ",0,'Pay &amp; Benefits'!$C$10)</f>
        <v>0</v>
      </c>
      <c r="G605" s="823"/>
      <c r="H605" s="369" t="str">
        <f>IF($E605=" "," ",'Pay &amp; Benefits'!$C$11)</f>
        <v xml:space="preserve"> </v>
      </c>
      <c r="I605" s="370" t="str">
        <f t="shared" si="63"/>
        <v xml:space="preserve"> </v>
      </c>
      <c r="J605" s="371" t="str">
        <f>IF(B605=0," ",VLOOKUP(B605,WageBeneTable5[#All],3,FALSE))</f>
        <v xml:space="preserve"> </v>
      </c>
      <c r="K605" s="368" t="str">
        <f t="shared" si="64"/>
        <v xml:space="preserve"> </v>
      </c>
      <c r="L605" s="368">
        <f t="shared" si="65"/>
        <v>0</v>
      </c>
      <c r="M605" s="372">
        <f t="shared" si="66"/>
        <v>0</v>
      </c>
      <c r="N605" s="373">
        <f t="shared" si="67"/>
        <v>0</v>
      </c>
    </row>
    <row r="606" spans="1:14" ht="15" thickBot="1" x14ac:dyDescent="0.4">
      <c r="A606" s="100">
        <v>5</v>
      </c>
      <c r="B606" s="439"/>
      <c r="C606" s="375"/>
      <c r="D606" s="376" t="str">
        <f>IF(B606=0," ",'kt info'!$G$47)</f>
        <v xml:space="preserve"> </v>
      </c>
      <c r="E606" s="377" t="str">
        <f>IF(B606=0," ",VLOOKUP(B606,WageBeneTable5[#All],2,FALSE))</f>
        <v xml:space="preserve"> </v>
      </c>
      <c r="F606" s="813">
        <f>IF($E606=" ",0,'Pay &amp; Benefits'!$C$10)</f>
        <v>0</v>
      </c>
      <c r="G606" s="814"/>
      <c r="H606" s="378" t="str">
        <f>IF($E606=" "," ",'Pay &amp; Benefits'!$C$11)</f>
        <v xml:space="preserve"> </v>
      </c>
      <c r="I606" s="379" t="str">
        <f t="shared" si="63"/>
        <v xml:space="preserve"> </v>
      </c>
      <c r="J606" s="380" t="str">
        <f>IF(B606=0," ",VLOOKUP(B606,WageBeneTable5[#All],3,FALSE))</f>
        <v xml:space="preserve"> </v>
      </c>
      <c r="K606" s="377" t="str">
        <f t="shared" si="64"/>
        <v xml:space="preserve"> </v>
      </c>
      <c r="L606" s="377">
        <f t="shared" si="65"/>
        <v>0</v>
      </c>
      <c r="M606" s="381">
        <f t="shared" si="66"/>
        <v>0</v>
      </c>
      <c r="N606" s="382">
        <f t="shared" si="67"/>
        <v>0</v>
      </c>
    </row>
    <row r="607" spans="1:14" x14ac:dyDescent="0.35">
      <c r="A607" s="100">
        <v>6</v>
      </c>
      <c r="B607" s="474"/>
      <c r="C607" s="383"/>
      <c r="D607" s="384" t="str">
        <f>IF(B607=0," ",'kt info'!$G$47)</f>
        <v xml:space="preserve"> </v>
      </c>
      <c r="E607" s="385" t="str">
        <f>IF(B607=0," ",VLOOKUP(B607,WageBeneTable5[#All],2,FALSE))</f>
        <v xml:space="preserve"> </v>
      </c>
      <c r="F607" s="820">
        <f>IF($E607=" ",0,'Pay &amp; Benefits'!$C$10)</f>
        <v>0</v>
      </c>
      <c r="G607" s="821"/>
      <c r="H607" s="386" t="str">
        <f>IF($E607=" "," ",'Pay &amp; Benefits'!$C$11)</f>
        <v xml:space="preserve"> </v>
      </c>
      <c r="I607" s="387" t="str">
        <f t="shared" si="63"/>
        <v xml:space="preserve"> </v>
      </c>
      <c r="J607" s="388" t="str">
        <f>IF(B607=0," ",VLOOKUP(B607,WageBeneTable5[#All],3,FALSE))</f>
        <v xml:space="preserve"> </v>
      </c>
      <c r="K607" s="385" t="str">
        <f t="shared" si="64"/>
        <v xml:space="preserve"> </v>
      </c>
      <c r="L607" s="385">
        <f t="shared" si="65"/>
        <v>0</v>
      </c>
      <c r="M607" s="389">
        <f t="shared" si="66"/>
        <v>0</v>
      </c>
      <c r="N607" s="390">
        <f t="shared" si="67"/>
        <v>0</v>
      </c>
    </row>
    <row r="608" spans="1:14" x14ac:dyDescent="0.35">
      <c r="A608" s="100">
        <v>7</v>
      </c>
      <c r="B608" s="437"/>
      <c r="C608" s="367"/>
      <c r="D608" s="384" t="str">
        <f>IF(B608=0," ",'kt info'!$G$47)</f>
        <v xml:space="preserve"> </v>
      </c>
      <c r="E608" s="385" t="str">
        <f>IF(B608=0," ",VLOOKUP(B608,WageBeneTable5[#All],2,FALSE))</f>
        <v xml:space="preserve"> </v>
      </c>
      <c r="F608" s="822">
        <f>IF($E608=" ",0,'Pay &amp; Benefits'!$C$10)</f>
        <v>0</v>
      </c>
      <c r="G608" s="823"/>
      <c r="H608" s="386" t="str">
        <f>IF($E608=" "," ",'Pay &amp; Benefits'!$C$11)</f>
        <v xml:space="preserve"> </v>
      </c>
      <c r="I608" s="387" t="str">
        <f t="shared" si="63"/>
        <v xml:space="preserve"> </v>
      </c>
      <c r="J608" s="388" t="str">
        <f>IF(B608=0," ",VLOOKUP(B608,WageBeneTable5[#All],3,FALSE))</f>
        <v xml:space="preserve"> </v>
      </c>
      <c r="K608" s="385" t="str">
        <f t="shared" si="64"/>
        <v xml:space="preserve"> </v>
      </c>
      <c r="L608" s="385">
        <f t="shared" si="65"/>
        <v>0</v>
      </c>
      <c r="M608" s="389">
        <f t="shared" si="66"/>
        <v>0</v>
      </c>
      <c r="N608" s="390">
        <f t="shared" si="67"/>
        <v>0</v>
      </c>
    </row>
    <row r="609" spans="1:14" x14ac:dyDescent="0.35">
      <c r="A609" s="100">
        <v>8</v>
      </c>
      <c r="B609" s="437"/>
      <c r="C609" s="367"/>
      <c r="D609" s="384" t="str">
        <f>IF(B609=0," ",'kt info'!$G$47)</f>
        <v xml:space="preserve"> </v>
      </c>
      <c r="E609" s="385" t="str">
        <f>IF(B609=0," ",VLOOKUP(B609,WageBeneTable5[#All],2,FALSE))</f>
        <v xml:space="preserve"> </v>
      </c>
      <c r="F609" s="822">
        <f>IF($E609=" ",0,'Pay &amp; Benefits'!$C$10)</f>
        <v>0</v>
      </c>
      <c r="G609" s="823"/>
      <c r="H609" s="386" t="str">
        <f>IF($E609=" "," ",'Pay &amp; Benefits'!$C$11)</f>
        <v xml:space="preserve"> </v>
      </c>
      <c r="I609" s="387" t="str">
        <f t="shared" si="63"/>
        <v xml:space="preserve"> </v>
      </c>
      <c r="J609" s="388" t="str">
        <f>IF(B609=0," ",VLOOKUP(B609,WageBeneTable5[#All],3,FALSE))</f>
        <v xml:space="preserve"> </v>
      </c>
      <c r="K609" s="385" t="str">
        <f t="shared" si="64"/>
        <v xml:space="preserve"> </v>
      </c>
      <c r="L609" s="385">
        <f t="shared" si="65"/>
        <v>0</v>
      </c>
      <c r="M609" s="389">
        <f t="shared" si="66"/>
        <v>0</v>
      </c>
      <c r="N609" s="390">
        <f t="shared" si="67"/>
        <v>0</v>
      </c>
    </row>
    <row r="610" spans="1:14" x14ac:dyDescent="0.35">
      <c r="A610" s="100">
        <v>9</v>
      </c>
      <c r="B610" s="437"/>
      <c r="C610" s="367"/>
      <c r="D610" s="384" t="str">
        <f>IF(B610=0," ",'kt info'!$G$47)</f>
        <v xml:space="preserve"> </v>
      </c>
      <c r="E610" s="385" t="str">
        <f>IF(B610=0," ",VLOOKUP(B610,WageBeneTable5[#All],2,FALSE))</f>
        <v xml:space="preserve"> </v>
      </c>
      <c r="F610" s="822">
        <f>IF($E610=" ",0,'Pay &amp; Benefits'!$C$10)</f>
        <v>0</v>
      </c>
      <c r="G610" s="823"/>
      <c r="H610" s="386" t="str">
        <f>IF($E610=" "," ",'Pay &amp; Benefits'!$C$11)</f>
        <v xml:space="preserve"> </v>
      </c>
      <c r="I610" s="387" t="str">
        <f t="shared" si="63"/>
        <v xml:space="preserve"> </v>
      </c>
      <c r="J610" s="388" t="str">
        <f>IF(B610=0," ",VLOOKUP(B610,WageBeneTable5[#All],3,FALSE))</f>
        <v xml:space="preserve"> </v>
      </c>
      <c r="K610" s="385" t="str">
        <f t="shared" si="64"/>
        <v xml:space="preserve"> </v>
      </c>
      <c r="L610" s="385">
        <f t="shared" si="65"/>
        <v>0</v>
      </c>
      <c r="M610" s="389">
        <f t="shared" si="66"/>
        <v>0</v>
      </c>
      <c r="N610" s="390">
        <f t="shared" si="67"/>
        <v>0</v>
      </c>
    </row>
    <row r="611" spans="1:14" ht="15" thickBot="1" x14ac:dyDescent="0.4">
      <c r="A611" s="100">
        <v>10</v>
      </c>
      <c r="B611" s="439"/>
      <c r="C611" s="375"/>
      <c r="D611" s="376" t="str">
        <f>IF(B611=0," ",'kt info'!$G$47)</f>
        <v xml:space="preserve"> </v>
      </c>
      <c r="E611" s="377" t="str">
        <f>IF(B611=0," ",VLOOKUP(B611,WageBeneTable5[#All],2,FALSE))</f>
        <v xml:space="preserve"> </v>
      </c>
      <c r="F611" s="813">
        <f>IF($E611=" ",0,'Pay &amp; Benefits'!$C$10)</f>
        <v>0</v>
      </c>
      <c r="G611" s="814"/>
      <c r="H611" s="378" t="str">
        <f>IF($E611=" "," ",'Pay &amp; Benefits'!$C$11)</f>
        <v xml:space="preserve"> </v>
      </c>
      <c r="I611" s="379" t="str">
        <f t="shared" si="63"/>
        <v xml:space="preserve"> </v>
      </c>
      <c r="J611" s="380" t="str">
        <f>IF(B611=0," ",VLOOKUP(B611,WageBeneTable5[#All],3,FALSE))</f>
        <v xml:space="preserve"> </v>
      </c>
      <c r="K611" s="377" t="str">
        <f t="shared" si="64"/>
        <v xml:space="preserve"> </v>
      </c>
      <c r="L611" s="377">
        <f t="shared" si="65"/>
        <v>0</v>
      </c>
      <c r="M611" s="381">
        <f t="shared" si="66"/>
        <v>0</v>
      </c>
      <c r="N611" s="382">
        <f t="shared" si="67"/>
        <v>0</v>
      </c>
    </row>
    <row r="612" spans="1:14" x14ac:dyDescent="0.35">
      <c r="K612" s="391"/>
      <c r="L612" s="392"/>
      <c r="M612" s="393"/>
    </row>
    <row r="613" spans="1:14" ht="15" thickBot="1" x14ac:dyDescent="0.4">
      <c r="B613" s="394" t="s">
        <v>203</v>
      </c>
      <c r="E613" s="395"/>
      <c r="H613" s="815" t="s">
        <v>199</v>
      </c>
      <c r="I613" s="816"/>
      <c r="M613" s="475"/>
      <c r="N613" s="100"/>
    </row>
    <row r="614" spans="1:14" x14ac:dyDescent="0.35">
      <c r="B614" s="32" t="s">
        <v>123</v>
      </c>
      <c r="C614" s="398" t="s">
        <v>239</v>
      </c>
      <c r="D614" s="399" t="s">
        <v>9</v>
      </c>
      <c r="E614" s="400" t="s">
        <v>83</v>
      </c>
      <c r="H614" s="303" t="s">
        <v>15</v>
      </c>
      <c r="I614" s="4" t="s">
        <v>85</v>
      </c>
      <c r="J614" s="4" t="s">
        <v>16</v>
      </c>
      <c r="K614" s="4" t="s">
        <v>241</v>
      </c>
      <c r="L614" s="4" t="s">
        <v>83</v>
      </c>
      <c r="M614" s="476"/>
      <c r="N614" s="477"/>
    </row>
    <row r="615" spans="1:14" ht="15" thickBot="1" x14ac:dyDescent="0.4">
      <c r="B615" s="33" t="s">
        <v>124</v>
      </c>
      <c r="C615" s="401" t="s">
        <v>84</v>
      </c>
      <c r="D615" s="402" t="s">
        <v>10</v>
      </c>
      <c r="E615" s="403" t="s">
        <v>84</v>
      </c>
      <c r="H615" s="304" t="s">
        <v>13</v>
      </c>
      <c r="I615" s="5" t="s">
        <v>86</v>
      </c>
      <c r="J615" s="5" t="s">
        <v>17</v>
      </c>
      <c r="K615" s="5" t="s">
        <v>12</v>
      </c>
      <c r="L615" s="5" t="s">
        <v>84</v>
      </c>
      <c r="M615" s="478"/>
      <c r="N615" s="479"/>
    </row>
    <row r="616" spans="1:14" x14ac:dyDescent="0.35">
      <c r="A616" s="100">
        <v>1</v>
      </c>
      <c r="B616" s="474"/>
      <c r="C616" s="406"/>
      <c r="D616" s="407">
        <f>IF(B616=0,0,VLOOKUP(B616,Supplies!$B$13:$C$97,2,FALSE))</f>
        <v>0</v>
      </c>
      <c r="E616" s="360">
        <f>IF(D616=" "," ",D616*C616)</f>
        <v>0</v>
      </c>
      <c r="G616" s="100">
        <v>1</v>
      </c>
      <c r="H616" s="408"/>
      <c r="I616" s="409"/>
      <c r="J616" s="410"/>
      <c r="K616" s="331" t="str">
        <f>IF(H616=0," ",IF(VLOOKUP(H616,'Equipment List'!$B$12:$F$96,5,FALSE)=0,0,IF(VLOOKUP(H616,'Equipment List'!$B$12:$F$96,5,FALSE)="Grant","Grant",IF(VLOOKUP(H616,'Equipment List'!$B$12:$F$96,5,FALSE)="Depreciated","Depreciated",VLOOKUP(H616,'Equipment List'!$B$12:$F$96,5,FALSE)*I616*J616))))</f>
        <v xml:space="preserve"> </v>
      </c>
      <c r="L616" s="365" t="str">
        <f>IF(K616=" "," ",IF(K616="Grant",0,IF(K616="Depreciated",0,IF('kt info'!$G$47=0,"No Service Frequency",K616/'kt info'!$G$47))))</f>
        <v xml:space="preserve"> </v>
      </c>
      <c r="M616" s="480"/>
      <c r="N616" s="404"/>
    </row>
    <row r="617" spans="1:14" x14ac:dyDescent="0.35">
      <c r="A617" s="100">
        <v>2</v>
      </c>
      <c r="B617" s="437"/>
      <c r="C617" s="414"/>
      <c r="D617" s="415">
        <f>IF(B617=0,0,VLOOKUP(B617,Supplies!$B$13:$C$97,2,FALSE))</f>
        <v>0</v>
      </c>
      <c r="E617" s="385">
        <f t="shared" ref="E617:E631" si="68">IF(D617=" "," ",D617*C617)</f>
        <v>0</v>
      </c>
      <c r="G617" s="100">
        <v>2</v>
      </c>
      <c r="H617" s="416"/>
      <c r="I617" s="417"/>
      <c r="J617" s="418"/>
      <c r="K617" s="421" t="str">
        <f>IF(H617=0," ",IF(VLOOKUP(H617,'Equipment List'!$B$12:$F$96,5,FALSE)=0,0,IF(VLOOKUP(H617,'Equipment List'!$B$12:$F$96,5,FALSE)="Grant","Grant",IF(VLOOKUP(H617,'Equipment List'!$B$12:$F$96,5,FALSE)="Depreciated","Depreciated",VLOOKUP(H617,'Equipment List'!$B$12:$F$96,5,FALSE)*I617*J617))))</f>
        <v xml:space="preserve"> </v>
      </c>
      <c r="L617" s="390" t="str">
        <f>IF(K617=" "," ",IF(K617="Grant",0,IF(K617="Depreciated",0,IF('kt info'!$G$47=0,"No Service Frequency",K617/'kt info'!$G$47))))</f>
        <v xml:space="preserve"> </v>
      </c>
    </row>
    <row r="618" spans="1:14" x14ac:dyDescent="0.35">
      <c r="A618" s="100">
        <v>3</v>
      </c>
      <c r="B618" s="437"/>
      <c r="C618" s="414"/>
      <c r="D618" s="415">
        <f>IF(B618=0,0,VLOOKUP(B618,Supplies!$B$13:$C$97,2,FALSE))</f>
        <v>0</v>
      </c>
      <c r="E618" s="385">
        <f t="shared" si="68"/>
        <v>0</v>
      </c>
      <c r="G618" s="100">
        <v>3</v>
      </c>
      <c r="H618" s="416"/>
      <c r="I618" s="417"/>
      <c r="J618" s="418"/>
      <c r="K618" s="421" t="str">
        <f>IF(H618=0," ",IF(VLOOKUP(H618,'Equipment List'!$B$12:$F$96,5,FALSE)=0,0,IF(VLOOKUP(H618,'Equipment List'!$B$12:$F$96,5,FALSE)="Grant","Grant",IF(VLOOKUP(H618,'Equipment List'!$B$12:$F$96,5,FALSE)="Depreciated","Depreciated",VLOOKUP(H618,'Equipment List'!$B$12:$F$96,5,FALSE)*I618*J618))))</f>
        <v xml:space="preserve"> </v>
      </c>
      <c r="L618" s="390" t="str">
        <f>IF(K618=" "," ",IF(K618="Grant",0,IF(K618="Depreciated",0,IF('kt info'!$G$47=0,"No Service Frequency",K618/'kt info'!$G$47))))</f>
        <v xml:space="preserve"> </v>
      </c>
    </row>
    <row r="619" spans="1:14" x14ac:dyDescent="0.35">
      <c r="A619" s="100">
        <v>4</v>
      </c>
      <c r="B619" s="437"/>
      <c r="C619" s="414"/>
      <c r="D619" s="415">
        <f>IF(B619=0,0,VLOOKUP(B619,Supplies!$B$13:$C$97,2,FALSE))</f>
        <v>0</v>
      </c>
      <c r="E619" s="385">
        <f t="shared" si="68"/>
        <v>0</v>
      </c>
      <c r="G619" s="100">
        <v>4</v>
      </c>
      <c r="H619" s="416"/>
      <c r="I619" s="417"/>
      <c r="J619" s="418"/>
      <c r="K619" s="421" t="str">
        <f>IF(H619=0," ",IF(VLOOKUP(H619,'Equipment List'!$B$12:$F$96,5,FALSE)=0,0,IF(VLOOKUP(H619,'Equipment List'!$B$12:$F$96,5,FALSE)="Grant","Grant",IF(VLOOKUP(H619,'Equipment List'!$B$12:$F$96,5,FALSE)="Depreciated","Depreciated",VLOOKUP(H619,'Equipment List'!$B$12:$F$96,5,FALSE)*I619*J619))))</f>
        <v xml:space="preserve"> </v>
      </c>
      <c r="L619" s="390" t="str">
        <f>IF(K619=" "," ",IF(K619="Grant",0,IF(K619="Depreciated",0,IF('kt info'!$G$47=0,"No Service Frequency",K619/'kt info'!$G$47))))</f>
        <v xml:space="preserve"> </v>
      </c>
    </row>
    <row r="620" spans="1:14" ht="15" thickBot="1" x14ac:dyDescent="0.4">
      <c r="A620" s="100">
        <v>5</v>
      </c>
      <c r="B620" s="439"/>
      <c r="C620" s="423"/>
      <c r="D620" s="424">
        <f>IF(B620=0,0,VLOOKUP(B620,Supplies!$B$13:$C$97,2,FALSE))</f>
        <v>0</v>
      </c>
      <c r="E620" s="377">
        <f t="shared" si="68"/>
        <v>0</v>
      </c>
      <c r="G620" s="100">
        <v>5</v>
      </c>
      <c r="H620" s="425"/>
      <c r="I620" s="426"/>
      <c r="J620" s="427"/>
      <c r="K620" s="428" t="str">
        <f>IF(H620=0," ",IF(VLOOKUP(H620,'Equipment List'!$B$12:$F$96,5,FALSE)=0,0,IF(VLOOKUP(H620,'Equipment List'!$B$12:$F$96,5,FALSE)="Grant","Grant",IF(VLOOKUP(H620,'Equipment List'!$B$12:$F$96,5,FALSE)="Depreciated","Depreciated",VLOOKUP(H620,'Equipment List'!$B$12:$F$96,5,FALSE)*I620*J620))))</f>
        <v xml:space="preserve"> </v>
      </c>
      <c r="L620" s="382" t="str">
        <f>IF(K620=" "," ",IF(K620="Grant",0,IF(K620="Depreciated",0,IF('kt info'!$G$47=0,"No Service Frequency",K620/'kt info'!$G$47))))</f>
        <v xml:space="preserve"> </v>
      </c>
    </row>
    <row r="621" spans="1:14" x14ac:dyDescent="0.35">
      <c r="A621" s="100">
        <v>6</v>
      </c>
      <c r="B621" s="433"/>
      <c r="C621" s="431"/>
      <c r="D621" s="432">
        <f>IF(B621=0,0,VLOOKUP(B621,Supplies!$B$13:$C$97,2,FALSE))</f>
        <v>0</v>
      </c>
      <c r="E621" s="385">
        <f t="shared" si="68"/>
        <v>0</v>
      </c>
      <c r="G621" s="100">
        <v>6</v>
      </c>
      <c r="H621" s="433"/>
      <c r="I621" s="434"/>
      <c r="J621" s="435"/>
      <c r="K621" s="436" t="str">
        <f>IF(H621=0," ",IF(VLOOKUP(H621,'Equipment List'!$B$12:$F$96,5,FALSE)=0,0,IF(VLOOKUP(H621,'Equipment List'!$B$12:$F$96,5,FALSE)="Grant","Grant",IF(VLOOKUP(H621,'Equipment List'!$B$12:$F$96,5,FALSE)="Depreciated","Depreciated",VLOOKUP(H621,'Equipment List'!$B$12:$F$96,5,FALSE)*I621*J621))))</f>
        <v xml:space="preserve"> </v>
      </c>
      <c r="L621" s="390" t="str">
        <f>IF(K621=" "," ",IF(K621="Grant",0,IF(K621="Depreciated",0,IF('kt info'!$G$47=0,"No Service Frequency",K621/'kt info'!$G$47))))</f>
        <v xml:space="preserve"> </v>
      </c>
    </row>
    <row r="622" spans="1:14" x14ac:dyDescent="0.35">
      <c r="A622" s="100">
        <v>7</v>
      </c>
      <c r="B622" s="437"/>
      <c r="C622" s="414"/>
      <c r="D622" s="415">
        <f>IF(B622=0,0,VLOOKUP(B622,Supplies!$B$13:$C$97,2,FALSE))</f>
        <v>0</v>
      </c>
      <c r="E622" s="385">
        <f t="shared" si="68"/>
        <v>0</v>
      </c>
      <c r="G622" s="100">
        <v>7</v>
      </c>
      <c r="H622" s="437"/>
      <c r="I622" s="417"/>
      <c r="J622" s="418"/>
      <c r="K622" s="438" t="str">
        <f>IF(H622=0," ",IF(VLOOKUP(H622,'Equipment List'!$B$12:$F$96,5,FALSE)=0,0,IF(VLOOKUP(H622,'Equipment List'!$B$12:$F$96,5,FALSE)="Grant","Grant",IF(VLOOKUP(H622,'Equipment List'!$B$12:$F$96,5,FALSE)="Depreciated","Depreciated",VLOOKUP(H622,'Equipment List'!$B$12:$F$96,5,FALSE)*I622*J622))))</f>
        <v xml:space="preserve"> </v>
      </c>
      <c r="L622" s="390" t="str">
        <f>IF(K622=" "," ",IF(K622="Grant",0,IF(K622="Depreciated",0,IF('kt info'!$G$47=0,"No Service Frequency",K622/'kt info'!$G$47))))</f>
        <v xml:space="preserve"> </v>
      </c>
    </row>
    <row r="623" spans="1:14" x14ac:dyDescent="0.35">
      <c r="A623" s="100">
        <v>8</v>
      </c>
      <c r="B623" s="437"/>
      <c r="C623" s="414"/>
      <c r="D623" s="415">
        <f>IF(B623=0,0,VLOOKUP(B623,Supplies!$B$13:$C$97,2,FALSE))</f>
        <v>0</v>
      </c>
      <c r="E623" s="385">
        <f t="shared" si="68"/>
        <v>0</v>
      </c>
      <c r="G623" s="100">
        <v>8</v>
      </c>
      <c r="H623" s="437"/>
      <c r="I623" s="417"/>
      <c r="J623" s="418"/>
      <c r="K623" s="438" t="str">
        <f>IF(H623=0," ",IF(VLOOKUP(H623,'Equipment List'!$B$12:$F$96,5,FALSE)=0,0,IF(VLOOKUP(H623,'Equipment List'!$B$12:$F$96,5,FALSE)="Grant","Grant",IF(VLOOKUP(H623,'Equipment List'!$B$12:$F$96,5,FALSE)="Depreciated","Depreciated",VLOOKUP(H623,'Equipment List'!$B$12:$F$96,5,FALSE)*I623*J623))))</f>
        <v xml:space="preserve"> </v>
      </c>
      <c r="L623" s="390" t="str">
        <f>IF(K623=" "," ",IF(K623="Grant",0,IF(K623="Depreciated",0,IF('kt info'!$G$47=0,"No Service Frequency",K623/'kt info'!$G$47))))</f>
        <v xml:space="preserve"> </v>
      </c>
    </row>
    <row r="624" spans="1:14" x14ac:dyDescent="0.35">
      <c r="A624" s="100">
        <v>9</v>
      </c>
      <c r="B624" s="437"/>
      <c r="C624" s="414"/>
      <c r="D624" s="415">
        <f>IF(B624=0,0,VLOOKUP(B624,Supplies!$B$13:$C$97,2,FALSE))</f>
        <v>0</v>
      </c>
      <c r="E624" s="385">
        <f t="shared" si="68"/>
        <v>0</v>
      </c>
      <c r="G624" s="100">
        <v>9</v>
      </c>
      <c r="H624" s="437"/>
      <c r="I624" s="417"/>
      <c r="J624" s="418"/>
      <c r="K624" s="438" t="str">
        <f>IF(H624=0," ",IF(VLOOKUP(H624,'Equipment List'!$B$12:$F$96,5,FALSE)=0,0,IF(VLOOKUP(H624,'Equipment List'!$B$12:$F$96,5,FALSE)="Grant","Grant",IF(VLOOKUP(H624,'Equipment List'!$B$12:$F$96,5,FALSE)="Depreciated","Depreciated",VLOOKUP(H624,'Equipment List'!$B$12:$F$96,5,FALSE)*I624*J624))))</f>
        <v xml:space="preserve"> </v>
      </c>
      <c r="L624" s="390" t="str">
        <f>IF(K624=" "," ",IF(K624="Grant",0,IF(K624="Depreciated",0,IF('kt info'!$G$47=0,"No Service Frequency",K624/'kt info'!$G$47))))</f>
        <v xml:space="preserve"> </v>
      </c>
    </row>
    <row r="625" spans="1:14" ht="15" thickBot="1" x14ac:dyDescent="0.4">
      <c r="A625" s="100">
        <v>10</v>
      </c>
      <c r="B625" s="439"/>
      <c r="C625" s="423"/>
      <c r="D625" s="424">
        <f>IF(B625=0,0,VLOOKUP(B625,Supplies!$B$13:$C$97,2,FALSE))</f>
        <v>0</v>
      </c>
      <c r="E625" s="377">
        <f t="shared" si="68"/>
        <v>0</v>
      </c>
      <c r="G625" s="100">
        <v>10</v>
      </c>
      <c r="H625" s="439"/>
      <c r="I625" s="426"/>
      <c r="J625" s="427"/>
      <c r="K625" s="440" t="str">
        <f>IF(H625=0," ",IF(VLOOKUP(H625,'Equipment List'!$B$12:$F$96,5,FALSE)=0,0,IF(VLOOKUP(H625,'Equipment List'!$B$12:$F$96,5,FALSE)="Grant","Grant",IF(VLOOKUP(H625,'Equipment List'!$B$12:$F$96,5,FALSE)="Depreciated","Depreciated",VLOOKUP(H625,'Equipment List'!$B$12:$F$96,5,FALSE)*I625*J625))))</f>
        <v xml:space="preserve"> </v>
      </c>
      <c r="L625" s="382" t="str">
        <f>IF(K625=" "," ",IF(K625="Grant",0,IF(K625="Depreciated",0,IF('kt info'!$G$47=0,"No Service Frequency",K625/'kt info'!$G$47))))</f>
        <v xml:space="preserve"> </v>
      </c>
    </row>
    <row r="626" spans="1:14" x14ac:dyDescent="0.35">
      <c r="A626" s="100">
        <v>11</v>
      </c>
      <c r="B626" s="433"/>
      <c r="C626" s="431"/>
      <c r="D626" s="432">
        <f>IF(B626=0,0,VLOOKUP(B626,Supplies!$B$13:$C$97,2,FALSE))</f>
        <v>0</v>
      </c>
      <c r="E626" s="385">
        <f t="shared" si="68"/>
        <v>0</v>
      </c>
    </row>
    <row r="627" spans="1:14" ht="15" thickBot="1" x14ac:dyDescent="0.4">
      <c r="A627" s="100">
        <v>12</v>
      </c>
      <c r="B627" s="437"/>
      <c r="C627" s="414"/>
      <c r="D627" s="415">
        <f>IF(B627=0,0,VLOOKUP(B627,Supplies!$B$13:$C$97,2,FALSE))</f>
        <v>0</v>
      </c>
      <c r="E627" s="385">
        <f t="shared" si="68"/>
        <v>0</v>
      </c>
      <c r="H627" s="817" t="s">
        <v>200</v>
      </c>
      <c r="I627" s="816"/>
      <c r="J627" s="354"/>
      <c r="K627" s="354"/>
      <c r="L627" s="354"/>
      <c r="M627" s="354"/>
    </row>
    <row r="628" spans="1:14" x14ac:dyDescent="0.35">
      <c r="A628" s="100">
        <v>13</v>
      </c>
      <c r="B628" s="437"/>
      <c r="C628" s="414"/>
      <c r="D628" s="415">
        <f>IF(B628=0,0,VLOOKUP(B628,Supplies!$B$13:$C$97,2,FALSE))</f>
        <v>0</v>
      </c>
      <c r="E628" s="385">
        <f t="shared" si="68"/>
        <v>0</v>
      </c>
      <c r="H628" s="441" t="s">
        <v>159</v>
      </c>
      <c r="I628" s="4" t="s">
        <v>92</v>
      </c>
      <c r="J628" s="4" t="s">
        <v>300</v>
      </c>
      <c r="K628" s="350" t="s">
        <v>93</v>
      </c>
      <c r="L628" s="4" t="s">
        <v>12</v>
      </c>
      <c r="M628" s="4" t="s">
        <v>12</v>
      </c>
      <c r="N628" s="481"/>
    </row>
    <row r="629" spans="1:14" ht="15" thickBot="1" x14ac:dyDescent="0.4">
      <c r="A629" s="100">
        <v>14</v>
      </c>
      <c r="B629" s="437"/>
      <c r="C629" s="414"/>
      <c r="D629" s="415">
        <f>IF(B629=0,0,VLOOKUP(B629,Supplies!$B$13:$C$97,2,FALSE))</f>
        <v>0</v>
      </c>
      <c r="E629" s="385">
        <f t="shared" si="68"/>
        <v>0</v>
      </c>
      <c r="H629" s="305" t="s">
        <v>13</v>
      </c>
      <c r="I629" s="5" t="s">
        <v>301</v>
      </c>
      <c r="J629" s="5" t="s">
        <v>169</v>
      </c>
      <c r="K629" s="354" t="s">
        <v>94</v>
      </c>
      <c r="L629" s="5" t="s">
        <v>302</v>
      </c>
      <c r="M629" s="5" t="s">
        <v>240</v>
      </c>
      <c r="N629" s="481"/>
    </row>
    <row r="630" spans="1:14" ht="15" thickBot="1" x14ac:dyDescent="0.4">
      <c r="A630" s="100">
        <v>15</v>
      </c>
      <c r="B630" s="439"/>
      <c r="C630" s="442"/>
      <c r="D630" s="443">
        <f>IF(B630=0,0,VLOOKUP(B630,Supplies!$B$13:$C$97,2,FALSE))</f>
        <v>0</v>
      </c>
      <c r="E630" s="377">
        <f t="shared" si="68"/>
        <v>0</v>
      </c>
      <c r="G630" s="393"/>
      <c r="H630" s="258"/>
      <c r="I630" s="444"/>
      <c r="J630" s="445"/>
      <c r="K630" s="446">
        <f>IF(H630=0,0,VLOOKUP(H630,Transportation!$B$6:$L$16,11,FALSE))</f>
        <v>0</v>
      </c>
      <c r="L630" s="447">
        <f>IF(I630=0,0,I630*K630)</f>
        <v>0</v>
      </c>
      <c r="M630" s="448">
        <f>IF(I630=0,0,I630*K630*J630)</f>
        <v>0</v>
      </c>
      <c r="N630" s="487"/>
    </row>
    <row r="631" spans="1:14" ht="15" thickBot="1" x14ac:dyDescent="0.4">
      <c r="A631" s="100">
        <v>16</v>
      </c>
      <c r="B631" s="433"/>
      <c r="C631" s="449"/>
      <c r="D631" s="450">
        <f>IF(B631=0,0,VLOOKUP(B631,Supplies!$B$13:$C$97,2,FALSE))</f>
        <v>0</v>
      </c>
      <c r="E631" s="385">
        <f t="shared" si="68"/>
        <v>0</v>
      </c>
      <c r="H631" s="259"/>
      <c r="I631" s="451"/>
      <c r="J631" s="452"/>
      <c r="K631" s="453">
        <f>IF(H631=0,0,VLOOKUP(H631,Transportation!$B$6:$L$16,11,FALSE))</f>
        <v>0</v>
      </c>
      <c r="L631" s="454">
        <f>IF(I631=0,0,I631*K631)</f>
        <v>0</v>
      </c>
      <c r="M631" s="455">
        <f>IF(I631=0,0,I631*K631*J631)</f>
        <v>0</v>
      </c>
      <c r="N631" s="487"/>
    </row>
    <row r="632" spans="1:14" x14ac:dyDescent="0.35">
      <c r="A632" s="100">
        <v>17</v>
      </c>
      <c r="B632" s="437"/>
      <c r="C632" s="456"/>
      <c r="D632" s="457">
        <f>IF(B632=0,0,VLOOKUP(B632,Supplies!$B$13:$C$97,2,FALSE))</f>
        <v>0</v>
      </c>
      <c r="E632" s="385">
        <f>IF(D632=" "," ",D632*C632)</f>
        <v>0</v>
      </c>
      <c r="H632" s="260"/>
      <c r="I632" s="458"/>
      <c r="J632" s="459"/>
      <c r="K632" s="460"/>
      <c r="L632" s="460"/>
      <c r="M632" s="460"/>
      <c r="N632" s="483"/>
    </row>
    <row r="633" spans="1:14" ht="15" thickBot="1" x14ac:dyDescent="0.4">
      <c r="A633" s="100">
        <v>18</v>
      </c>
      <c r="B633" s="437"/>
      <c r="C633" s="456"/>
      <c r="D633" s="457">
        <f>IF(B633=0,0,VLOOKUP(B633,Supplies!$B$13:$C$97,2,FALSE))</f>
        <v>0</v>
      </c>
      <c r="E633" s="385">
        <f>IF(D633=" "," ",D633*C633)</f>
        <v>0</v>
      </c>
      <c r="H633" s="461" t="s">
        <v>201</v>
      </c>
      <c r="I633" s="462"/>
      <c r="J633" s="463"/>
      <c r="K633" s="464"/>
      <c r="L633" s="464"/>
      <c r="M633" s="464"/>
      <c r="N633" s="483"/>
    </row>
    <row r="634" spans="1:14" x14ac:dyDescent="0.35">
      <c r="A634" s="100">
        <v>19</v>
      </c>
      <c r="B634" s="437"/>
      <c r="C634" s="456"/>
      <c r="D634" s="457">
        <f>IF(B634=0,0,VLOOKUP(B634,Supplies!$B$13:$C$97,2,FALSE))</f>
        <v>0</v>
      </c>
      <c r="E634" s="385">
        <f>IF(D634=" "," ",D634*C634)</f>
        <v>0</v>
      </c>
      <c r="H634" s="465" t="s">
        <v>202</v>
      </c>
      <c r="I634" s="466" t="s">
        <v>204</v>
      </c>
      <c r="J634" s="463"/>
      <c r="K634" s="464"/>
      <c r="L634" s="464"/>
      <c r="M634" s="464"/>
      <c r="N634" s="483"/>
    </row>
    <row r="635" spans="1:14" ht="15" thickBot="1" x14ac:dyDescent="0.4">
      <c r="A635" s="100">
        <v>20</v>
      </c>
      <c r="B635" s="439"/>
      <c r="C635" s="442"/>
      <c r="D635" s="443">
        <f>IF(B635=0,0,VLOOKUP(B635,Supplies!$B$13:$C$97,2,FALSE))</f>
        <v>0</v>
      </c>
      <c r="E635" s="377">
        <f>IF(D635=" "," ",D635*C635)</f>
        <v>0</v>
      </c>
      <c r="H635" s="467"/>
      <c r="I635" s="484" t="str">
        <f>IF(H635=0," ",VLOOKUP(H635,Subcontractors!$B$15:$E$25,4))</f>
        <v xml:space="preserve"> </v>
      </c>
      <c r="J635" s="463"/>
      <c r="K635" s="464"/>
      <c r="L635" s="464"/>
      <c r="M635" s="464"/>
    </row>
    <row r="636" spans="1:14" ht="15" thickBot="1" x14ac:dyDescent="0.4">
      <c r="A636" s="100"/>
      <c r="B636" s="335"/>
      <c r="C636" s="485"/>
      <c r="D636" s="397"/>
      <c r="E636" s="397"/>
      <c r="H636" s="469"/>
      <c r="I636" s="486" t="str">
        <f>IF(H636=0," ",VLOOKUP(H636,Subcontractors!$B$15:$E$25,4))</f>
        <v xml:space="preserve"> </v>
      </c>
    </row>
    <row r="637" spans="1:14" x14ac:dyDescent="0.35">
      <c r="A637" s="100"/>
      <c r="B637" s="335"/>
      <c r="C637" s="485"/>
      <c r="D637" s="397"/>
      <c r="E637" s="397"/>
      <c r="H637" s="473"/>
      <c r="I637" s="404"/>
    </row>
    <row r="638" spans="1:14" ht="21" x14ac:dyDescent="0.35">
      <c r="A638" s="818" t="s">
        <v>191</v>
      </c>
      <c r="B638" s="819"/>
      <c r="C638" s="819"/>
      <c r="D638" s="819"/>
      <c r="E638" s="819"/>
      <c r="F638" s="819"/>
      <c r="G638" s="150" t="str">
        <f>B589</f>
        <v>Enter Periodical Service 4</v>
      </c>
      <c r="H638" s="307"/>
      <c r="I638" s="261"/>
      <c r="J638" s="149"/>
      <c r="K638" s="149"/>
      <c r="L638" s="149"/>
      <c r="M638" s="149"/>
      <c r="N638" s="149"/>
    </row>
    <row r="639" spans="1:14" ht="15" customHeight="1" x14ac:dyDescent="0.35">
      <c r="A639" s="818" t="s">
        <v>193</v>
      </c>
      <c r="B639" s="828"/>
      <c r="C639" s="828"/>
      <c r="D639" s="828"/>
      <c r="E639" s="828"/>
      <c r="F639" s="828"/>
      <c r="G639" s="150" t="str">
        <f>'kt info'!B49</f>
        <v>Enter Periodical Service 5</v>
      </c>
      <c r="H639" s="301"/>
      <c r="I639" s="150"/>
      <c r="J639" s="150"/>
      <c r="K639" s="150"/>
      <c r="L639" s="150"/>
      <c r="M639" s="150"/>
      <c r="N639" s="150"/>
    </row>
    <row r="641" spans="1:14" x14ac:dyDescent="0.35">
      <c r="B641" s="222" t="s">
        <v>109</v>
      </c>
      <c r="C641" s="741">
        <f>'kt info'!$C$3</f>
        <v>0</v>
      </c>
      <c r="D641" s="824"/>
      <c r="E641" s="824"/>
      <c r="F641" s="825"/>
      <c r="H641" s="333"/>
      <c r="J641" s="811" t="s">
        <v>170</v>
      </c>
      <c r="K641" s="708"/>
      <c r="L641" s="708"/>
      <c r="M641" s="708"/>
    </row>
    <row r="642" spans="1:14" x14ac:dyDescent="0.35">
      <c r="C642" s="300"/>
      <c r="D642" s="100"/>
      <c r="E642" s="100"/>
      <c r="F642" s="100"/>
      <c r="I642" s="329"/>
      <c r="J642" s="329" t="str">
        <f>$B$10</f>
        <v>All Carpets</v>
      </c>
      <c r="L642" s="336" t="str">
        <f>$B$415</f>
        <v>Enter Periodical Service 1</v>
      </c>
    </row>
    <row r="643" spans="1:14" x14ac:dyDescent="0.35">
      <c r="B643" s="222" t="s">
        <v>110</v>
      </c>
      <c r="C643" s="741">
        <f>'kt info'!$C$5</f>
        <v>0</v>
      </c>
      <c r="D643" s="824"/>
      <c r="E643" s="824"/>
      <c r="F643" s="825"/>
      <c r="J643" s="329" t="str">
        <f>$B$67</f>
        <v>High Traffic Carpet</v>
      </c>
      <c r="L643" s="336" t="str">
        <f>$B$473</f>
        <v>Enter Periodical Service 2</v>
      </c>
    </row>
    <row r="644" spans="1:14" x14ac:dyDescent="0.35">
      <c r="C644" s="300"/>
      <c r="D644" s="100"/>
      <c r="E644" s="100"/>
      <c r="F644" s="100"/>
      <c r="J644" s="329" t="str">
        <f>$B$125</f>
        <v>Hard Floor Strip and Wax</v>
      </c>
      <c r="L644" s="336" t="str">
        <f>$B$531</f>
        <v>Enter Periodical Service 3</v>
      </c>
    </row>
    <row r="645" spans="1:14" x14ac:dyDescent="0.35">
      <c r="B645" s="222" t="s">
        <v>135</v>
      </c>
      <c r="C645" s="741">
        <f>'kt info'!$C$7</f>
        <v>0</v>
      </c>
      <c r="D645" s="824"/>
      <c r="E645" s="824"/>
      <c r="F645" s="825"/>
      <c r="J645" s="329" t="str">
        <f>$B$183</f>
        <v>Hard Floor Scrub and Seal</v>
      </c>
      <c r="L645" s="336" t="str">
        <f>$B$589</f>
        <v>Enter Periodical Service 4</v>
      </c>
    </row>
    <row r="646" spans="1:14" x14ac:dyDescent="0.35">
      <c r="J646" s="336" t="str">
        <f>$B$241</f>
        <v>Window Washing</v>
      </c>
      <c r="L646" s="336" t="str">
        <f>$B$647</f>
        <v>Enter Periodical Service 5</v>
      </c>
    </row>
    <row r="647" spans="1:14" ht="18.5" x14ac:dyDescent="0.35">
      <c r="A647" s="337"/>
      <c r="B647" s="490" t="str">
        <f>'kt info'!B49</f>
        <v>Enter Periodical Service 5</v>
      </c>
      <c r="C647" s="339"/>
      <c r="D647" s="337"/>
      <c r="E647" s="337"/>
      <c r="F647" s="337"/>
      <c r="G647" s="337"/>
      <c r="H647" s="302" t="s">
        <v>77</v>
      </c>
      <c r="I647" s="236" t="s">
        <v>238</v>
      </c>
      <c r="J647" s="336" t="str">
        <f>$B$299</f>
        <v>Clean Chairs</v>
      </c>
      <c r="L647" s="336" t="str">
        <f>$B$705</f>
        <v>Enter Periodical Service 6</v>
      </c>
      <c r="M647" s="337"/>
      <c r="N647" s="337"/>
    </row>
    <row r="648" spans="1:14" x14ac:dyDescent="0.35">
      <c r="E648" s="178" t="s">
        <v>79</v>
      </c>
      <c r="G648" s="340"/>
      <c r="H648" s="341">
        <f>IF(SUM(M660:M669)&gt;0,SUM(M660:M669)/'kt info'!$G$49,0)</f>
        <v>0</v>
      </c>
      <c r="I648" s="342">
        <f>H648*'kt info'!$G$49</f>
        <v>0</v>
      </c>
      <c r="J648" s="336" t="str">
        <f>$B$357</f>
        <v>High Dusting</v>
      </c>
      <c r="L648" s="336" t="str">
        <f>$B$763</f>
        <v>Enter Periodical Service 7</v>
      </c>
    </row>
    <row r="649" spans="1:14" x14ac:dyDescent="0.35">
      <c r="B649" s="343" t="s">
        <v>78</v>
      </c>
      <c r="E649" s="178" t="s">
        <v>189</v>
      </c>
      <c r="G649" s="340"/>
      <c r="H649" s="344">
        <f>IF(SUM(K660:K669)&gt;0,SUM(K660:K669),0)</f>
        <v>0</v>
      </c>
      <c r="I649" s="345">
        <f>H649*'kt info'!$G$49</f>
        <v>0</v>
      </c>
      <c r="J649" s="336"/>
      <c r="L649" s="336" t="str">
        <f>$B$821</f>
        <v>Enter Periodical Service 8</v>
      </c>
    </row>
    <row r="650" spans="1:14" x14ac:dyDescent="0.35">
      <c r="B650" s="177" t="s">
        <v>96</v>
      </c>
      <c r="C650" s="346">
        <f>'kt info'!E157</f>
        <v>0</v>
      </c>
      <c r="E650" s="178" t="s">
        <v>80</v>
      </c>
      <c r="G650" s="340"/>
      <c r="H650" s="344">
        <f>IF(SUM(E674:E693)&gt;0,SUM(E674:E693),0)</f>
        <v>0</v>
      </c>
      <c r="I650" s="345">
        <f>H650*'kt info'!$G$49</f>
        <v>0</v>
      </c>
      <c r="J650" s="336"/>
      <c r="L650" s="336" t="str">
        <f>$B$879</f>
        <v>Enter Periodical Service 9</v>
      </c>
    </row>
    <row r="651" spans="1:14" x14ac:dyDescent="0.35">
      <c r="E651" s="178" t="s">
        <v>81</v>
      </c>
      <c r="G651" s="340"/>
      <c r="H651" s="344">
        <f>IF(SUM(L674:L683)&gt;0,SUM(L674:L683),0)</f>
        <v>0</v>
      </c>
      <c r="I651" s="345">
        <f>H651*'kt info'!$G$49</f>
        <v>0</v>
      </c>
      <c r="J651" s="336"/>
      <c r="L651" s="336" t="str">
        <f>$B$937</f>
        <v>Enter Periodical Service 10</v>
      </c>
    </row>
    <row r="652" spans="1:14" x14ac:dyDescent="0.35">
      <c r="B652" s="177" t="s">
        <v>98</v>
      </c>
      <c r="C652" s="347">
        <f>ROUND(IF(SUM(H649:H655)&gt;0,SUM(H649:H655),0),0)</f>
        <v>0</v>
      </c>
      <c r="E652" s="178" t="s">
        <v>89</v>
      </c>
      <c r="G652" s="340"/>
      <c r="H652" s="344">
        <f>IF(SUM(J687:J691)&gt;0,SUM(L687:L691),0)</f>
        <v>0</v>
      </c>
      <c r="I652" s="345">
        <f>H652*'kt info'!$G$49</f>
        <v>0</v>
      </c>
      <c r="J652" s="329"/>
      <c r="K652" s="336"/>
    </row>
    <row r="653" spans="1:14" x14ac:dyDescent="0.35">
      <c r="E653" s="178" t="s">
        <v>201</v>
      </c>
      <c r="G653" s="340"/>
      <c r="H653" s="344">
        <f>IF(SUM(I693:I694)=0,0,SUM(I693:I694))</f>
        <v>0</v>
      </c>
      <c r="I653" s="345">
        <f>H653*'kt info'!$G$49</f>
        <v>0</v>
      </c>
      <c r="K653" s="336"/>
    </row>
    <row r="654" spans="1:14" x14ac:dyDescent="0.35">
      <c r="B654" s="177" t="s">
        <v>97</v>
      </c>
      <c r="C654" s="347">
        <f>IF(C650&gt;0,C652/C650,0)</f>
        <v>0</v>
      </c>
      <c r="E654" s="178" t="s">
        <v>87</v>
      </c>
      <c r="G654" s="340"/>
      <c r="H654" s="344">
        <f>IF('Overhead &amp; Margin'!$D$10&gt;0,((H649+H650+H651+H652+H653)*'Overhead &amp; Margin'!$D$10/(1-('Overhead &amp; Margin'!$D$10+'Overhead &amp; Margin'!$G$10))),0)</f>
        <v>0</v>
      </c>
      <c r="I654" s="345">
        <f>H654*'kt info'!$G$49</f>
        <v>0</v>
      </c>
      <c r="K654" s="336"/>
    </row>
    <row r="655" spans="1:14" x14ac:dyDescent="0.35">
      <c r="G655" s="178" t="s">
        <v>88</v>
      </c>
      <c r="H655" s="344">
        <f>IF('Overhead &amp; Margin'!$G$10=0,0,'Overhead &amp; Margin'!$G$10*(H649+H650+H651+H652+H653)/(1-('Overhead &amp; Margin'!$D$10+'Overhead &amp; Margin'!$G$10)))</f>
        <v>0</v>
      </c>
      <c r="I655" s="345">
        <f>H655*'kt info'!$G$49</f>
        <v>0</v>
      </c>
    </row>
    <row r="656" spans="1:14" x14ac:dyDescent="0.35">
      <c r="M656" s="605" t="str">
        <f>'kt info'!$B$12</f>
        <v>Form date: 10/24/25</v>
      </c>
    </row>
    <row r="657" spans="1:14" ht="15" thickBot="1" x14ac:dyDescent="0.4">
      <c r="B657" s="348" t="s">
        <v>104</v>
      </c>
    </row>
    <row r="658" spans="1:14" x14ac:dyDescent="0.35">
      <c r="B658" s="84" t="s">
        <v>18</v>
      </c>
      <c r="C658" s="349" t="s">
        <v>19</v>
      </c>
      <c r="D658" s="350" t="s">
        <v>25</v>
      </c>
      <c r="E658" s="350" t="s">
        <v>20</v>
      </c>
      <c r="F658" s="826" t="s">
        <v>22</v>
      </c>
      <c r="G658" s="826"/>
      <c r="H658" s="351" t="s">
        <v>23</v>
      </c>
      <c r="I658" s="350" t="s">
        <v>21</v>
      </c>
      <c r="J658" s="350" t="s">
        <v>24</v>
      </c>
      <c r="K658" s="350" t="s">
        <v>77</v>
      </c>
      <c r="L658" s="352" t="s">
        <v>26</v>
      </c>
      <c r="M658" s="4" t="s">
        <v>27</v>
      </c>
      <c r="N658" s="4" t="s">
        <v>0</v>
      </c>
    </row>
    <row r="659" spans="1:14" ht="15" thickBot="1" x14ac:dyDescent="0.4">
      <c r="B659" s="22" t="s">
        <v>306</v>
      </c>
      <c r="C659" s="353" t="s">
        <v>28</v>
      </c>
      <c r="D659" s="354" t="s">
        <v>33</v>
      </c>
      <c r="E659" s="354" t="s">
        <v>29</v>
      </c>
      <c r="F659" s="827" t="s">
        <v>30</v>
      </c>
      <c r="G659" s="827"/>
      <c r="H659" s="355" t="s">
        <v>31</v>
      </c>
      <c r="I659" s="354"/>
      <c r="J659" s="354" t="s">
        <v>38</v>
      </c>
      <c r="K659" s="354" t="s">
        <v>189</v>
      </c>
      <c r="L659" s="356" t="s">
        <v>0</v>
      </c>
      <c r="M659" s="5" t="s">
        <v>0</v>
      </c>
      <c r="N659" s="5" t="s">
        <v>77</v>
      </c>
    </row>
    <row r="660" spans="1:14" x14ac:dyDescent="0.35">
      <c r="A660" s="100">
        <v>1</v>
      </c>
      <c r="B660" s="474"/>
      <c r="C660" s="358"/>
      <c r="D660" s="359" t="str">
        <f>IF(B660=0," ",'kt info'!$G$49)</f>
        <v xml:space="preserve"> </v>
      </c>
      <c r="E660" s="360" t="str">
        <f>IF(B660=0," ",VLOOKUP(B660,WageBeneTable5[#All],2,FALSE))</f>
        <v xml:space="preserve"> </v>
      </c>
      <c r="F660" s="820">
        <f>IF($E660=" ",0,'Pay &amp; Benefits'!$C$10)</f>
        <v>0</v>
      </c>
      <c r="G660" s="821"/>
      <c r="H660" s="361" t="str">
        <f>IF($E660=" "," ",'Pay &amp; Benefits'!$C$11)</f>
        <v xml:space="preserve"> </v>
      </c>
      <c r="I660" s="362" t="str">
        <f t="shared" ref="I660:I669" si="69">IF(E660=" "," ",0.0765)</f>
        <v xml:space="preserve"> </v>
      </c>
      <c r="J660" s="363" t="str">
        <f>IF(B660=0," ",VLOOKUP(B660,WageBeneTable5[#All],3,FALSE))</f>
        <v xml:space="preserve"> </v>
      </c>
      <c r="K660" s="360" t="str">
        <f t="shared" ref="K660:K669" si="70">IF(B660=0," ",C660*E660*(1+I660+F660+H660+J660))</f>
        <v xml:space="preserve"> </v>
      </c>
      <c r="L660" s="360">
        <f t="shared" ref="L660:L669" si="71">IF(K660=" ",0,K660*D660)</f>
        <v>0</v>
      </c>
      <c r="M660" s="364">
        <f t="shared" ref="M660:M669" si="72">IF(B660=0,0,C660*D660)</f>
        <v>0</v>
      </c>
      <c r="N660" s="365">
        <f t="shared" ref="N660:N669" si="73">IF(L660=0,0,IF(D660=0,0,L660/D660))</f>
        <v>0</v>
      </c>
    </row>
    <row r="661" spans="1:14" x14ac:dyDescent="0.35">
      <c r="A661" s="100">
        <v>2</v>
      </c>
      <c r="B661" s="437"/>
      <c r="C661" s="367"/>
      <c r="D661" s="359" t="str">
        <f>IF(B661=0," ",'kt info'!$G$49)</f>
        <v xml:space="preserve"> </v>
      </c>
      <c r="E661" s="368" t="str">
        <f>IF(B661=0," ",VLOOKUP(B661,WageBeneTable5[#All],2,FALSE))</f>
        <v xml:space="preserve"> </v>
      </c>
      <c r="F661" s="822">
        <f>IF($E661=" ",0,'Pay &amp; Benefits'!$C$10)</f>
        <v>0</v>
      </c>
      <c r="G661" s="823"/>
      <c r="H661" s="369" t="str">
        <f>IF($E661=" "," ",'Pay &amp; Benefits'!$C$11)</f>
        <v xml:space="preserve"> </v>
      </c>
      <c r="I661" s="370" t="str">
        <f t="shared" si="69"/>
        <v xml:space="preserve"> </v>
      </c>
      <c r="J661" s="371" t="str">
        <f>IF(B661=0," ",VLOOKUP(B661,WageBeneTable5[#All],3,FALSE))</f>
        <v xml:space="preserve"> </v>
      </c>
      <c r="K661" s="368" t="str">
        <f t="shared" si="70"/>
        <v xml:space="preserve"> </v>
      </c>
      <c r="L661" s="368">
        <f t="shared" si="71"/>
        <v>0</v>
      </c>
      <c r="M661" s="372">
        <f t="shared" si="72"/>
        <v>0</v>
      </c>
      <c r="N661" s="373">
        <f t="shared" si="73"/>
        <v>0</v>
      </c>
    </row>
    <row r="662" spans="1:14" x14ac:dyDescent="0.35">
      <c r="A662" s="100">
        <v>3</v>
      </c>
      <c r="B662" s="437"/>
      <c r="C662" s="367"/>
      <c r="D662" s="359" t="str">
        <f>IF(B662=0," ",'kt info'!$G$49)</f>
        <v xml:space="preserve"> </v>
      </c>
      <c r="E662" s="368" t="str">
        <f>IF(B662=0," ",VLOOKUP(B662,WageBeneTable5[#All],2,FALSE))</f>
        <v xml:space="preserve"> </v>
      </c>
      <c r="F662" s="822">
        <f>IF($E662=" ",0,'Pay &amp; Benefits'!$C$10)</f>
        <v>0</v>
      </c>
      <c r="G662" s="823"/>
      <c r="H662" s="369" t="str">
        <f>IF($E662=" "," ",'Pay &amp; Benefits'!$C$11)</f>
        <v xml:space="preserve"> </v>
      </c>
      <c r="I662" s="370" t="str">
        <f t="shared" si="69"/>
        <v xml:space="preserve"> </v>
      </c>
      <c r="J662" s="371" t="str">
        <f>IF(B662=0," ",VLOOKUP(B662,WageBeneTable5[#All],3,FALSE))</f>
        <v xml:space="preserve"> </v>
      </c>
      <c r="K662" s="368" t="str">
        <f t="shared" si="70"/>
        <v xml:space="preserve"> </v>
      </c>
      <c r="L662" s="368">
        <f t="shared" si="71"/>
        <v>0</v>
      </c>
      <c r="M662" s="372">
        <f t="shared" si="72"/>
        <v>0</v>
      </c>
      <c r="N662" s="373">
        <f t="shared" si="73"/>
        <v>0</v>
      </c>
    </row>
    <row r="663" spans="1:14" x14ac:dyDescent="0.35">
      <c r="A663" s="100">
        <v>4</v>
      </c>
      <c r="B663" s="437"/>
      <c r="C663" s="367"/>
      <c r="D663" s="359" t="str">
        <f>IF(B663=0," ",'kt info'!$G$49)</f>
        <v xml:space="preserve"> </v>
      </c>
      <c r="E663" s="368" t="str">
        <f>IF(B663=0," ",VLOOKUP(B663,WageBeneTable5[#All],2,FALSE))</f>
        <v xml:space="preserve"> </v>
      </c>
      <c r="F663" s="822">
        <f>IF($E663=" ",0,'Pay &amp; Benefits'!$C$10)</f>
        <v>0</v>
      </c>
      <c r="G663" s="823"/>
      <c r="H663" s="369" t="str">
        <f>IF($E663=" "," ",'Pay &amp; Benefits'!$C$11)</f>
        <v xml:space="preserve"> </v>
      </c>
      <c r="I663" s="370" t="str">
        <f t="shared" si="69"/>
        <v xml:space="preserve"> </v>
      </c>
      <c r="J663" s="371" t="str">
        <f>IF(B663=0," ",VLOOKUP(B663,WageBeneTable5[#All],3,FALSE))</f>
        <v xml:space="preserve"> </v>
      </c>
      <c r="K663" s="368" t="str">
        <f t="shared" si="70"/>
        <v xml:space="preserve"> </v>
      </c>
      <c r="L663" s="368">
        <f t="shared" si="71"/>
        <v>0</v>
      </c>
      <c r="M663" s="372">
        <f t="shared" si="72"/>
        <v>0</v>
      </c>
      <c r="N663" s="373">
        <f t="shared" si="73"/>
        <v>0</v>
      </c>
    </row>
    <row r="664" spans="1:14" ht="15" thickBot="1" x14ac:dyDescent="0.4">
      <c r="A664" s="100">
        <v>5</v>
      </c>
      <c r="B664" s="439"/>
      <c r="C664" s="375"/>
      <c r="D664" s="376" t="str">
        <f>IF(B664=0," ",'kt info'!$G$49)</f>
        <v xml:space="preserve"> </v>
      </c>
      <c r="E664" s="377" t="str">
        <f>IF(B664=0," ",VLOOKUP(B664,WageBeneTable5[#All],2,FALSE))</f>
        <v xml:space="preserve"> </v>
      </c>
      <c r="F664" s="813">
        <f>IF($E664=" ",0,'Pay &amp; Benefits'!$C$10)</f>
        <v>0</v>
      </c>
      <c r="G664" s="814"/>
      <c r="H664" s="378" t="str">
        <f>IF($E664=" "," ",'Pay &amp; Benefits'!$C$11)</f>
        <v xml:space="preserve"> </v>
      </c>
      <c r="I664" s="379" t="str">
        <f t="shared" si="69"/>
        <v xml:space="preserve"> </v>
      </c>
      <c r="J664" s="380" t="str">
        <f>IF(B664=0," ",VLOOKUP(B664,WageBeneTable5[#All],3,FALSE))</f>
        <v xml:space="preserve"> </v>
      </c>
      <c r="K664" s="377" t="str">
        <f t="shared" si="70"/>
        <v xml:space="preserve"> </v>
      </c>
      <c r="L664" s="377">
        <f t="shared" si="71"/>
        <v>0</v>
      </c>
      <c r="M664" s="381">
        <f t="shared" si="72"/>
        <v>0</v>
      </c>
      <c r="N664" s="382">
        <f t="shared" si="73"/>
        <v>0</v>
      </c>
    </row>
    <row r="665" spans="1:14" x14ac:dyDescent="0.35">
      <c r="A665" s="100">
        <v>6</v>
      </c>
      <c r="B665" s="474"/>
      <c r="C665" s="383"/>
      <c r="D665" s="384" t="str">
        <f>IF(B665=0," ",'kt info'!$G$49)</f>
        <v xml:space="preserve"> </v>
      </c>
      <c r="E665" s="385" t="str">
        <f>IF(B665=0," ",VLOOKUP(B665,WageBeneTable5[#All],2,FALSE))</f>
        <v xml:space="preserve"> </v>
      </c>
      <c r="F665" s="820">
        <f>IF($E665=" ",0,'Pay &amp; Benefits'!$C$10)</f>
        <v>0</v>
      </c>
      <c r="G665" s="821"/>
      <c r="H665" s="386" t="str">
        <f>IF($E665=" "," ",'Pay &amp; Benefits'!$C$11)</f>
        <v xml:space="preserve"> </v>
      </c>
      <c r="I665" s="387" t="str">
        <f t="shared" si="69"/>
        <v xml:space="preserve"> </v>
      </c>
      <c r="J665" s="388" t="str">
        <f>IF(B665=0," ",VLOOKUP(B665,WageBeneTable5[#All],3,FALSE))</f>
        <v xml:space="preserve"> </v>
      </c>
      <c r="K665" s="385" t="str">
        <f t="shared" si="70"/>
        <v xml:space="preserve"> </v>
      </c>
      <c r="L665" s="385">
        <f t="shared" si="71"/>
        <v>0</v>
      </c>
      <c r="M665" s="389">
        <f t="shared" si="72"/>
        <v>0</v>
      </c>
      <c r="N665" s="390">
        <f t="shared" si="73"/>
        <v>0</v>
      </c>
    </row>
    <row r="666" spans="1:14" x14ac:dyDescent="0.35">
      <c r="A666" s="100">
        <v>7</v>
      </c>
      <c r="B666" s="437"/>
      <c r="C666" s="367"/>
      <c r="D666" s="384" t="str">
        <f>IF(B666=0," ",'kt info'!$G$49)</f>
        <v xml:space="preserve"> </v>
      </c>
      <c r="E666" s="385" t="str">
        <f>IF(B666=0," ",VLOOKUP(B666,WageBeneTable5[#All],2,FALSE))</f>
        <v xml:space="preserve"> </v>
      </c>
      <c r="F666" s="822">
        <f>IF($E666=" ",0,'Pay &amp; Benefits'!$C$10)</f>
        <v>0</v>
      </c>
      <c r="G666" s="823"/>
      <c r="H666" s="386" t="str">
        <f>IF($E666=" "," ",'Pay &amp; Benefits'!$C$11)</f>
        <v xml:space="preserve"> </v>
      </c>
      <c r="I666" s="387" t="str">
        <f t="shared" si="69"/>
        <v xml:space="preserve"> </v>
      </c>
      <c r="J666" s="388" t="str">
        <f>IF(B666=0," ",VLOOKUP(B666,WageBeneTable5[#All],3,FALSE))</f>
        <v xml:space="preserve"> </v>
      </c>
      <c r="K666" s="385" t="str">
        <f t="shared" si="70"/>
        <v xml:space="preserve"> </v>
      </c>
      <c r="L666" s="385">
        <f t="shared" si="71"/>
        <v>0</v>
      </c>
      <c r="M666" s="389">
        <f t="shared" si="72"/>
        <v>0</v>
      </c>
      <c r="N666" s="390">
        <f t="shared" si="73"/>
        <v>0</v>
      </c>
    </row>
    <row r="667" spans="1:14" x14ac:dyDescent="0.35">
      <c r="A667" s="100">
        <v>8</v>
      </c>
      <c r="B667" s="437"/>
      <c r="C667" s="367"/>
      <c r="D667" s="384" t="str">
        <f>IF(B667=0," ",'kt info'!$G$49)</f>
        <v xml:space="preserve"> </v>
      </c>
      <c r="E667" s="385" t="str">
        <f>IF(B667=0," ",VLOOKUP(B667,WageBeneTable5[#All],2,FALSE))</f>
        <v xml:space="preserve"> </v>
      </c>
      <c r="F667" s="822">
        <f>IF($E667=" ",0,'Pay &amp; Benefits'!$C$10)</f>
        <v>0</v>
      </c>
      <c r="G667" s="823"/>
      <c r="H667" s="386" t="str">
        <f>IF($E667=" "," ",'Pay &amp; Benefits'!$C$11)</f>
        <v xml:space="preserve"> </v>
      </c>
      <c r="I667" s="387" t="str">
        <f t="shared" si="69"/>
        <v xml:space="preserve"> </v>
      </c>
      <c r="J667" s="388" t="str">
        <f>IF(B667=0," ",VLOOKUP(B667,WageBeneTable5[#All],3,FALSE))</f>
        <v xml:space="preserve"> </v>
      </c>
      <c r="K667" s="385" t="str">
        <f t="shared" si="70"/>
        <v xml:space="preserve"> </v>
      </c>
      <c r="L667" s="385">
        <f t="shared" si="71"/>
        <v>0</v>
      </c>
      <c r="M667" s="389">
        <f t="shared" si="72"/>
        <v>0</v>
      </c>
      <c r="N667" s="390">
        <f t="shared" si="73"/>
        <v>0</v>
      </c>
    </row>
    <row r="668" spans="1:14" x14ac:dyDescent="0.35">
      <c r="A668" s="100">
        <v>9</v>
      </c>
      <c r="B668" s="437"/>
      <c r="C668" s="367"/>
      <c r="D668" s="384" t="str">
        <f>IF(B668=0," ",'kt info'!$G$49)</f>
        <v xml:space="preserve"> </v>
      </c>
      <c r="E668" s="385" t="str">
        <f>IF(B668=0," ",VLOOKUP(B668,WageBeneTable5[#All],2,FALSE))</f>
        <v xml:space="preserve"> </v>
      </c>
      <c r="F668" s="822">
        <f>IF($E668=" ",0,'Pay &amp; Benefits'!$C$10)</f>
        <v>0</v>
      </c>
      <c r="G668" s="823"/>
      <c r="H668" s="386" t="str">
        <f>IF($E668=" "," ",'Pay &amp; Benefits'!$C$11)</f>
        <v xml:space="preserve"> </v>
      </c>
      <c r="I668" s="387" t="str">
        <f t="shared" si="69"/>
        <v xml:space="preserve"> </v>
      </c>
      <c r="J668" s="388" t="str">
        <f>IF(B668=0," ",VLOOKUP(B668,WageBeneTable5[#All],3,FALSE))</f>
        <v xml:space="preserve"> </v>
      </c>
      <c r="K668" s="385" t="str">
        <f t="shared" si="70"/>
        <v xml:space="preserve"> </v>
      </c>
      <c r="L668" s="385">
        <f t="shared" si="71"/>
        <v>0</v>
      </c>
      <c r="M668" s="389">
        <f t="shared" si="72"/>
        <v>0</v>
      </c>
      <c r="N668" s="390">
        <f t="shared" si="73"/>
        <v>0</v>
      </c>
    </row>
    <row r="669" spans="1:14" ht="15" thickBot="1" x14ac:dyDescent="0.4">
      <c r="A669" s="100">
        <v>10</v>
      </c>
      <c r="B669" s="439"/>
      <c r="C669" s="375"/>
      <c r="D669" s="376" t="str">
        <f>IF(B669=0," ",'kt info'!$G$49)</f>
        <v xml:space="preserve"> </v>
      </c>
      <c r="E669" s="377" t="str">
        <f>IF(B669=0," ",VLOOKUP(B669,WageBeneTable5[#All],2,FALSE))</f>
        <v xml:space="preserve"> </v>
      </c>
      <c r="F669" s="813">
        <f>IF($E669=" ",0,'Pay &amp; Benefits'!$C$10)</f>
        <v>0</v>
      </c>
      <c r="G669" s="814"/>
      <c r="H669" s="378" t="str">
        <f>IF($E669=" "," ",'Pay &amp; Benefits'!$C$11)</f>
        <v xml:space="preserve"> </v>
      </c>
      <c r="I669" s="379" t="str">
        <f t="shared" si="69"/>
        <v xml:space="preserve"> </v>
      </c>
      <c r="J669" s="380" t="str">
        <f>IF(B669=0," ",VLOOKUP(B669,WageBeneTable5[#All],3,FALSE))</f>
        <v xml:space="preserve"> </v>
      </c>
      <c r="K669" s="377" t="str">
        <f t="shared" si="70"/>
        <v xml:space="preserve"> </v>
      </c>
      <c r="L669" s="377">
        <f t="shared" si="71"/>
        <v>0</v>
      </c>
      <c r="M669" s="381">
        <f t="shared" si="72"/>
        <v>0</v>
      </c>
      <c r="N669" s="382">
        <f t="shared" si="73"/>
        <v>0</v>
      </c>
    </row>
    <row r="670" spans="1:14" x14ac:dyDescent="0.35">
      <c r="K670" s="391"/>
      <c r="L670" s="392"/>
      <c r="M670" s="393"/>
    </row>
    <row r="671" spans="1:14" ht="15" thickBot="1" x14ac:dyDescent="0.4">
      <c r="B671" s="394" t="s">
        <v>203</v>
      </c>
      <c r="E671" s="395"/>
      <c r="H671" s="815" t="s">
        <v>199</v>
      </c>
      <c r="I671" s="816"/>
      <c r="M671" s="475"/>
      <c r="N671" s="100"/>
    </row>
    <row r="672" spans="1:14" x14ac:dyDescent="0.35">
      <c r="B672" s="32" t="s">
        <v>123</v>
      </c>
      <c r="C672" s="398" t="s">
        <v>239</v>
      </c>
      <c r="D672" s="399" t="s">
        <v>9</v>
      </c>
      <c r="E672" s="400" t="s">
        <v>83</v>
      </c>
      <c r="H672" s="303" t="s">
        <v>15</v>
      </c>
      <c r="I672" s="4" t="s">
        <v>85</v>
      </c>
      <c r="J672" s="4" t="s">
        <v>16</v>
      </c>
      <c r="K672" s="4" t="s">
        <v>241</v>
      </c>
      <c r="L672" s="4" t="s">
        <v>83</v>
      </c>
      <c r="M672" s="476"/>
      <c r="N672" s="477"/>
    </row>
    <row r="673" spans="1:14" ht="15" thickBot="1" x14ac:dyDescent="0.4">
      <c r="B673" s="33" t="s">
        <v>124</v>
      </c>
      <c r="C673" s="401" t="s">
        <v>84</v>
      </c>
      <c r="D673" s="402" t="s">
        <v>10</v>
      </c>
      <c r="E673" s="403" t="s">
        <v>84</v>
      </c>
      <c r="H673" s="304" t="s">
        <v>13</v>
      </c>
      <c r="I673" s="5" t="s">
        <v>86</v>
      </c>
      <c r="J673" s="5" t="s">
        <v>17</v>
      </c>
      <c r="K673" s="5" t="s">
        <v>12</v>
      </c>
      <c r="L673" s="5" t="s">
        <v>84</v>
      </c>
      <c r="M673" s="478"/>
      <c r="N673" s="479"/>
    </row>
    <row r="674" spans="1:14" x14ac:dyDescent="0.35">
      <c r="A674" s="100">
        <v>1</v>
      </c>
      <c r="B674" s="474"/>
      <c r="C674" s="406"/>
      <c r="D674" s="407">
        <f>IF(B674=0,0,VLOOKUP(B674,Supplies!$B$13:$C$97,2,FALSE))</f>
        <v>0</v>
      </c>
      <c r="E674" s="360">
        <f>IF(D674=" "," ",D674*C674)</f>
        <v>0</v>
      </c>
      <c r="G674" s="100">
        <v>1</v>
      </c>
      <c r="H674" s="408"/>
      <c r="I674" s="409"/>
      <c r="J674" s="410"/>
      <c r="K674" s="331" t="str">
        <f>IF(H674=0," ",IF(VLOOKUP(H674,'Equipment List'!$B$12:$F$96,5,FALSE)=0,0,IF(VLOOKUP(H674,'Equipment List'!$B$12:$F$96,5,FALSE)="Grant","Grant",IF(VLOOKUP(H674,'Equipment List'!$B$12:$F$96,5,FALSE)="Depreciated","Depreciated",VLOOKUP(H674,'Equipment List'!$B$12:$F$96,5,FALSE)*I674*J674))))</f>
        <v xml:space="preserve"> </v>
      </c>
      <c r="L674" s="365" t="str">
        <f>IF(K674=" "," ",IF(K674="Grant",0,IF(K674="Depreciated",0,IF('kt info'!$G$49=0,"No Service Frequency",K674/'kt info'!$G$49))))</f>
        <v xml:space="preserve"> </v>
      </c>
      <c r="M674" s="480"/>
      <c r="N674" s="404"/>
    </row>
    <row r="675" spans="1:14" x14ac:dyDescent="0.35">
      <c r="A675" s="100">
        <v>2</v>
      </c>
      <c r="B675" s="437"/>
      <c r="C675" s="414"/>
      <c r="D675" s="415">
        <f>IF(B675=0,0,VLOOKUP(B675,Supplies!$B$13:$C$97,2,FALSE))</f>
        <v>0</v>
      </c>
      <c r="E675" s="385">
        <f t="shared" ref="E675:E689" si="74">IF(D675=" "," ",D675*C675)</f>
        <v>0</v>
      </c>
      <c r="G675" s="100">
        <v>2</v>
      </c>
      <c r="H675" s="416"/>
      <c r="I675" s="417"/>
      <c r="J675" s="418"/>
      <c r="K675" s="421" t="str">
        <f>IF(H675=0," ",IF(VLOOKUP(H675,'Equipment List'!$B$12:$F$96,5,FALSE)=0,0,IF(VLOOKUP(H675,'Equipment List'!$B$12:$F$96,5,FALSE)="Grant","Grant",IF(VLOOKUP(H675,'Equipment List'!$B$12:$F$96,5,FALSE)="Depreciated","Depreciated",VLOOKUP(H675,'Equipment List'!$B$12:$F$96,5,FALSE)*I675*J675))))</f>
        <v xml:space="preserve"> </v>
      </c>
      <c r="L675" s="390" t="str">
        <f>IF(K675=" "," ",IF(K675="Grant",0,IF(K675="Depreciated",0,IF('kt info'!$G$49=0,"No Service Frequency",K675/'kt info'!$G$49))))</f>
        <v xml:space="preserve"> </v>
      </c>
    </row>
    <row r="676" spans="1:14" x14ac:dyDescent="0.35">
      <c r="A676" s="100">
        <v>3</v>
      </c>
      <c r="B676" s="437"/>
      <c r="C676" s="414"/>
      <c r="D676" s="415">
        <f>IF(B676=0,0,VLOOKUP(B676,Supplies!$B$13:$C$97,2,FALSE))</f>
        <v>0</v>
      </c>
      <c r="E676" s="385">
        <f t="shared" si="74"/>
        <v>0</v>
      </c>
      <c r="G676" s="100">
        <v>3</v>
      </c>
      <c r="H676" s="416"/>
      <c r="I676" s="417"/>
      <c r="J676" s="418"/>
      <c r="K676" s="421" t="str">
        <f>IF(H676=0," ",IF(VLOOKUP(H676,'Equipment List'!$B$12:$F$96,5,FALSE)=0,0,IF(VLOOKUP(H676,'Equipment List'!$B$12:$F$96,5,FALSE)="Grant","Grant",IF(VLOOKUP(H676,'Equipment List'!$B$12:$F$96,5,FALSE)="Depreciated","Depreciated",VLOOKUP(H676,'Equipment List'!$B$12:$F$96,5,FALSE)*I676*J676))))</f>
        <v xml:space="preserve"> </v>
      </c>
      <c r="L676" s="390" t="str">
        <f>IF(K676=" "," ",IF(K676="Grant",0,IF(K676="Depreciated",0,IF('kt info'!$G$49=0,"No Service Frequency",K676/'kt info'!$G$49))))</f>
        <v xml:space="preserve"> </v>
      </c>
    </row>
    <row r="677" spans="1:14" x14ac:dyDescent="0.35">
      <c r="A677" s="100">
        <v>4</v>
      </c>
      <c r="B677" s="437"/>
      <c r="C677" s="414"/>
      <c r="D677" s="415">
        <f>IF(B677=0,0,VLOOKUP(B677,Supplies!$B$13:$C$97,2,FALSE))</f>
        <v>0</v>
      </c>
      <c r="E677" s="385">
        <f t="shared" si="74"/>
        <v>0</v>
      </c>
      <c r="G677" s="100">
        <v>4</v>
      </c>
      <c r="H677" s="416"/>
      <c r="I677" s="417"/>
      <c r="J677" s="418"/>
      <c r="K677" s="421" t="str">
        <f>IF(H677=0," ",IF(VLOOKUP(H677,'Equipment List'!$B$12:$F$96,5,FALSE)=0,0,IF(VLOOKUP(H677,'Equipment List'!$B$12:$F$96,5,FALSE)="Grant","Grant",IF(VLOOKUP(H677,'Equipment List'!$B$12:$F$96,5,FALSE)="Depreciated","Depreciated",VLOOKUP(H677,'Equipment List'!$B$12:$F$96,5,FALSE)*I677*J677))))</f>
        <v xml:space="preserve"> </v>
      </c>
      <c r="L677" s="390" t="str">
        <f>IF(K677=" "," ",IF(K677="Grant",0,IF(K677="Depreciated",0,IF('kt info'!$G$49=0,"No Service Frequency",K677/'kt info'!$G$49))))</f>
        <v xml:space="preserve"> </v>
      </c>
    </row>
    <row r="678" spans="1:14" ht="15" thickBot="1" x14ac:dyDescent="0.4">
      <c r="A678" s="100">
        <v>5</v>
      </c>
      <c r="B678" s="439"/>
      <c r="C678" s="423"/>
      <c r="D678" s="424">
        <f>IF(B678=0,0,VLOOKUP(B678,Supplies!$B$13:$C$97,2,FALSE))</f>
        <v>0</v>
      </c>
      <c r="E678" s="377">
        <f t="shared" si="74"/>
        <v>0</v>
      </c>
      <c r="G678" s="100">
        <v>5</v>
      </c>
      <c r="H678" s="425"/>
      <c r="I678" s="426"/>
      <c r="J678" s="427"/>
      <c r="K678" s="428" t="str">
        <f>IF(H678=0," ",IF(VLOOKUP(H678,'Equipment List'!$B$12:$F$96,5,FALSE)=0,0,IF(VLOOKUP(H678,'Equipment List'!$B$12:$F$96,5,FALSE)="Grant","Grant",IF(VLOOKUP(H678,'Equipment List'!$B$12:$F$96,5,FALSE)="Depreciated","Depreciated",VLOOKUP(H678,'Equipment List'!$B$12:$F$96,5,FALSE)*I678*J678))))</f>
        <v xml:space="preserve"> </v>
      </c>
      <c r="L678" s="382" t="str">
        <f>IF(K678=" "," ",IF(K678="Grant",0,IF(K678="Depreciated",0,IF('kt info'!$G$49=0,"No Service Frequency",K678/'kt info'!$G$49))))</f>
        <v xml:space="preserve"> </v>
      </c>
    </row>
    <row r="679" spans="1:14" x14ac:dyDescent="0.35">
      <c r="A679" s="100">
        <v>6</v>
      </c>
      <c r="B679" s="433"/>
      <c r="C679" s="431"/>
      <c r="D679" s="432">
        <f>IF(B679=0,0,VLOOKUP(B679,Supplies!$B$13:$C$97,2,FALSE))</f>
        <v>0</v>
      </c>
      <c r="E679" s="385">
        <f t="shared" si="74"/>
        <v>0</v>
      </c>
      <c r="G679" s="100">
        <v>6</v>
      </c>
      <c r="H679" s="433"/>
      <c r="I679" s="434"/>
      <c r="J679" s="435"/>
      <c r="K679" s="436" t="str">
        <f>IF(H679=0," ",IF(VLOOKUP(H679,'Equipment List'!$B$12:$F$96,5,FALSE)=0,0,IF(VLOOKUP(H679,'Equipment List'!$B$12:$F$96,5,FALSE)="Grant","Grant",IF(VLOOKUP(H679,'Equipment List'!$B$12:$F$96,5,FALSE)="Depreciated","Depreciated",VLOOKUP(H679,'Equipment List'!$B$12:$F$96,5,FALSE)*I679*J679))))</f>
        <v xml:space="preserve"> </v>
      </c>
      <c r="L679" s="390" t="str">
        <f>IF(K679=" "," ",IF(K679="Grant",0,IF(K679="Depreciated",0,IF('kt info'!$G$49=0,"No Service Frequency",K679/'kt info'!$G$49))))</f>
        <v xml:space="preserve"> </v>
      </c>
    </row>
    <row r="680" spans="1:14" x14ac:dyDescent="0.35">
      <c r="A680" s="100">
        <v>7</v>
      </c>
      <c r="B680" s="437"/>
      <c r="C680" s="414"/>
      <c r="D680" s="415">
        <f>IF(B680=0,0,VLOOKUP(B680,Supplies!$B$13:$C$97,2,FALSE))</f>
        <v>0</v>
      </c>
      <c r="E680" s="385">
        <f t="shared" si="74"/>
        <v>0</v>
      </c>
      <c r="G680" s="100">
        <v>7</v>
      </c>
      <c r="H680" s="437"/>
      <c r="I680" s="417"/>
      <c r="J680" s="418"/>
      <c r="K680" s="438" t="str">
        <f>IF(H680=0," ",IF(VLOOKUP(H680,'Equipment List'!$B$12:$F$96,5,FALSE)=0,0,IF(VLOOKUP(H680,'Equipment List'!$B$12:$F$96,5,FALSE)="Grant","Grant",IF(VLOOKUP(H680,'Equipment List'!$B$12:$F$96,5,FALSE)="Depreciated","Depreciated",VLOOKUP(H680,'Equipment List'!$B$12:$F$96,5,FALSE)*I680*J680))))</f>
        <v xml:space="preserve"> </v>
      </c>
      <c r="L680" s="390" t="str">
        <f>IF(K680=" "," ",IF(K680="Grant",0,IF(K680="Depreciated",0,IF('kt info'!$G$49=0,"No Service Frequency",K680/'kt info'!$G$49))))</f>
        <v xml:space="preserve"> </v>
      </c>
    </row>
    <row r="681" spans="1:14" x14ac:dyDescent="0.35">
      <c r="A681" s="100">
        <v>8</v>
      </c>
      <c r="B681" s="437"/>
      <c r="C681" s="414"/>
      <c r="D681" s="415">
        <f>IF(B681=0,0,VLOOKUP(B681,Supplies!$B$13:$C$97,2,FALSE))</f>
        <v>0</v>
      </c>
      <c r="E681" s="385">
        <f t="shared" si="74"/>
        <v>0</v>
      </c>
      <c r="G681" s="100">
        <v>8</v>
      </c>
      <c r="H681" s="437"/>
      <c r="I681" s="417"/>
      <c r="J681" s="418"/>
      <c r="K681" s="438" t="str">
        <f>IF(H681=0," ",IF(VLOOKUP(H681,'Equipment List'!$B$12:$F$96,5,FALSE)=0,0,IF(VLOOKUP(H681,'Equipment List'!$B$12:$F$96,5,FALSE)="Grant","Grant",IF(VLOOKUP(H681,'Equipment List'!$B$12:$F$96,5,FALSE)="Depreciated","Depreciated",VLOOKUP(H681,'Equipment List'!$B$12:$F$96,5,FALSE)*I681*J681))))</f>
        <v xml:space="preserve"> </v>
      </c>
      <c r="L681" s="390" t="str">
        <f>IF(K681=" "," ",IF(K681="Grant",0,IF(K681="Depreciated",0,IF('kt info'!$G$49=0,"No Service Frequency",K681/'kt info'!$G$49))))</f>
        <v xml:space="preserve"> </v>
      </c>
    </row>
    <row r="682" spans="1:14" x14ac:dyDescent="0.35">
      <c r="A682" s="100">
        <v>9</v>
      </c>
      <c r="B682" s="437"/>
      <c r="C682" s="414"/>
      <c r="D682" s="415">
        <f>IF(B682=0,0,VLOOKUP(B682,Supplies!$B$13:$C$97,2,FALSE))</f>
        <v>0</v>
      </c>
      <c r="E682" s="385">
        <f t="shared" si="74"/>
        <v>0</v>
      </c>
      <c r="G682" s="100">
        <v>9</v>
      </c>
      <c r="H682" s="437"/>
      <c r="I682" s="417"/>
      <c r="J682" s="418"/>
      <c r="K682" s="438" t="str">
        <f>IF(H682=0," ",IF(VLOOKUP(H682,'Equipment List'!$B$12:$F$96,5,FALSE)=0,0,IF(VLOOKUP(H682,'Equipment List'!$B$12:$F$96,5,FALSE)="Grant","Grant",IF(VLOOKUP(H682,'Equipment List'!$B$12:$F$96,5,FALSE)="Depreciated","Depreciated",VLOOKUP(H682,'Equipment List'!$B$12:$F$96,5,FALSE)*I682*J682))))</f>
        <v xml:space="preserve"> </v>
      </c>
      <c r="L682" s="390" t="str">
        <f>IF(K682=" "," ",IF(K682="Grant",0,IF(K682="Depreciated",0,IF('kt info'!$G$49=0,"No Service Frequency",K682/'kt info'!$G$49))))</f>
        <v xml:space="preserve"> </v>
      </c>
    </row>
    <row r="683" spans="1:14" ht="15" thickBot="1" x14ac:dyDescent="0.4">
      <c r="A683" s="100">
        <v>10</v>
      </c>
      <c r="B683" s="439"/>
      <c r="C683" s="423"/>
      <c r="D683" s="424">
        <f>IF(B683=0,0,VLOOKUP(B683,Supplies!$B$13:$C$97,2,FALSE))</f>
        <v>0</v>
      </c>
      <c r="E683" s="377">
        <f t="shared" si="74"/>
        <v>0</v>
      </c>
      <c r="G683" s="100">
        <v>10</v>
      </c>
      <c r="H683" s="439"/>
      <c r="I683" s="426"/>
      <c r="J683" s="427"/>
      <c r="K683" s="440" t="str">
        <f>IF(H683=0," ",IF(VLOOKUP(H683,'Equipment List'!$B$12:$F$96,5,FALSE)=0,0,IF(VLOOKUP(H683,'Equipment List'!$B$12:$F$96,5,FALSE)="Grant","Grant",IF(VLOOKUP(H683,'Equipment List'!$B$12:$F$96,5,FALSE)="Depreciated","Depreciated",VLOOKUP(H683,'Equipment List'!$B$12:$F$96,5,FALSE)*I683*J683))))</f>
        <v xml:space="preserve"> </v>
      </c>
      <c r="L683" s="382" t="str">
        <f>IF(K683=" "," ",IF(K683="Grant",0,IF(K683="Depreciated",0,IF('kt info'!$G$49=0,"No Service Frequency",K683/'kt info'!$G$49))))</f>
        <v xml:space="preserve"> </v>
      </c>
    </row>
    <row r="684" spans="1:14" x14ac:dyDescent="0.35">
      <c r="A684" s="100">
        <v>11</v>
      </c>
      <c r="B684" s="433"/>
      <c r="C684" s="431"/>
      <c r="D684" s="432">
        <f>IF(B684=0,0,VLOOKUP(B684,Supplies!$B$13:$C$97,2,FALSE))</f>
        <v>0</v>
      </c>
      <c r="E684" s="385">
        <f t="shared" si="74"/>
        <v>0</v>
      </c>
    </row>
    <row r="685" spans="1:14" ht="15" thickBot="1" x14ac:dyDescent="0.4">
      <c r="A685" s="100">
        <v>12</v>
      </c>
      <c r="B685" s="437"/>
      <c r="C685" s="414"/>
      <c r="D685" s="415">
        <f>IF(B685=0,0,VLOOKUP(B685,Supplies!$B$13:$C$97,2,FALSE))</f>
        <v>0</v>
      </c>
      <c r="E685" s="385">
        <f t="shared" si="74"/>
        <v>0</v>
      </c>
      <c r="H685" s="817" t="s">
        <v>200</v>
      </c>
      <c r="I685" s="816"/>
      <c r="J685" s="354"/>
      <c r="K685" s="354"/>
      <c r="L685" s="354"/>
      <c r="M685" s="354"/>
    </row>
    <row r="686" spans="1:14" x14ac:dyDescent="0.35">
      <c r="A686" s="100">
        <v>13</v>
      </c>
      <c r="B686" s="437"/>
      <c r="C686" s="414"/>
      <c r="D686" s="415">
        <f>IF(B686=0,0,VLOOKUP(B686,Supplies!$B$13:$C$97,2,FALSE))</f>
        <v>0</v>
      </c>
      <c r="E686" s="385">
        <f t="shared" si="74"/>
        <v>0</v>
      </c>
      <c r="H686" s="441" t="s">
        <v>159</v>
      </c>
      <c r="I686" s="4" t="s">
        <v>92</v>
      </c>
      <c r="J686" s="4" t="s">
        <v>300</v>
      </c>
      <c r="K686" s="350" t="s">
        <v>93</v>
      </c>
      <c r="L686" s="4" t="s">
        <v>12</v>
      </c>
      <c r="M686" s="4" t="s">
        <v>12</v>
      </c>
      <c r="N686" s="481"/>
    </row>
    <row r="687" spans="1:14" ht="15" thickBot="1" x14ac:dyDescent="0.4">
      <c r="A687" s="100">
        <v>14</v>
      </c>
      <c r="B687" s="437"/>
      <c r="C687" s="414"/>
      <c r="D687" s="415">
        <f>IF(B687=0,0,VLOOKUP(B687,Supplies!$B$13:$C$97,2,FALSE))</f>
        <v>0</v>
      </c>
      <c r="E687" s="385">
        <f t="shared" si="74"/>
        <v>0</v>
      </c>
      <c r="H687" s="305" t="s">
        <v>13</v>
      </c>
      <c r="I687" s="5" t="s">
        <v>301</v>
      </c>
      <c r="J687" s="5" t="s">
        <v>169</v>
      </c>
      <c r="K687" s="354" t="s">
        <v>94</v>
      </c>
      <c r="L687" s="5" t="s">
        <v>302</v>
      </c>
      <c r="M687" s="5" t="s">
        <v>240</v>
      </c>
      <c r="N687" s="481"/>
    </row>
    <row r="688" spans="1:14" ht="15" thickBot="1" x14ac:dyDescent="0.4">
      <c r="A688" s="100">
        <v>15</v>
      </c>
      <c r="B688" s="439"/>
      <c r="C688" s="442"/>
      <c r="D688" s="443">
        <f>IF(B688=0,0,VLOOKUP(B688,Supplies!$B$13:$C$97,2,FALSE))</f>
        <v>0</v>
      </c>
      <c r="E688" s="377">
        <f t="shared" si="74"/>
        <v>0</v>
      </c>
      <c r="G688" s="393"/>
      <c r="H688" s="258"/>
      <c r="I688" s="444"/>
      <c r="J688" s="445"/>
      <c r="K688" s="446">
        <f>IF(H688=0,0,VLOOKUP(H688,Transportation!$B$6:$L$16,11,FALSE))</f>
        <v>0</v>
      </c>
      <c r="L688" s="447">
        <f>IF(I688=0,0,I688*K688)</f>
        <v>0</v>
      </c>
      <c r="M688" s="448">
        <f>IF(I688=0,0,I688*K688*J688)</f>
        <v>0</v>
      </c>
      <c r="N688" s="487"/>
    </row>
    <row r="689" spans="1:14" ht="15" thickBot="1" x14ac:dyDescent="0.4">
      <c r="A689" s="100">
        <v>16</v>
      </c>
      <c r="B689" s="433"/>
      <c r="C689" s="449"/>
      <c r="D689" s="450">
        <f>IF(B689=0,0,VLOOKUP(B689,Supplies!$B$13:$C$97,2,FALSE))</f>
        <v>0</v>
      </c>
      <c r="E689" s="385">
        <f t="shared" si="74"/>
        <v>0</v>
      </c>
      <c r="H689" s="259"/>
      <c r="I689" s="451"/>
      <c r="J689" s="452"/>
      <c r="K689" s="453">
        <f>IF(H689=0,0,VLOOKUP(H689,Transportation!$B$6:$L$16,11,FALSE))</f>
        <v>0</v>
      </c>
      <c r="L689" s="454">
        <f>IF(I689=0,0,I689*K689)</f>
        <v>0</v>
      </c>
      <c r="M689" s="455">
        <f>IF(I689=0,0,I689*K689*J689)</f>
        <v>0</v>
      </c>
      <c r="N689" s="487"/>
    </row>
    <row r="690" spans="1:14" x14ac:dyDescent="0.35">
      <c r="A690" s="100">
        <v>17</v>
      </c>
      <c r="B690" s="437"/>
      <c r="C690" s="456"/>
      <c r="D690" s="457">
        <f>IF(B690=0,0,VLOOKUP(B690,Supplies!$B$13:$C$97,2,FALSE))</f>
        <v>0</v>
      </c>
      <c r="E690" s="385">
        <f>IF(D690=" "," ",D690*C690)</f>
        <v>0</v>
      </c>
      <c r="H690" s="260"/>
      <c r="I690" s="458"/>
      <c r="J690" s="459"/>
      <c r="K690" s="460"/>
      <c r="L690" s="460"/>
      <c r="M690" s="460"/>
      <c r="N690" s="483"/>
    </row>
    <row r="691" spans="1:14" ht="15" thickBot="1" x14ac:dyDescent="0.4">
      <c r="A691" s="100">
        <v>18</v>
      </c>
      <c r="B691" s="437"/>
      <c r="C691" s="456"/>
      <c r="D691" s="457">
        <f>IF(B691=0,0,VLOOKUP(B691,Supplies!$B$13:$C$97,2,FALSE))</f>
        <v>0</v>
      </c>
      <c r="E691" s="385">
        <f>IF(D691=" "," ",D691*C691)</f>
        <v>0</v>
      </c>
      <c r="H691" s="461" t="s">
        <v>201</v>
      </c>
      <c r="I691" s="462"/>
      <c r="J691" s="463"/>
      <c r="K691" s="464"/>
      <c r="L691" s="464"/>
      <c r="M691" s="464"/>
      <c r="N691" s="483"/>
    </row>
    <row r="692" spans="1:14" x14ac:dyDescent="0.35">
      <c r="A692" s="100">
        <v>19</v>
      </c>
      <c r="B692" s="437"/>
      <c r="C692" s="456"/>
      <c r="D692" s="457">
        <f>IF(B692=0,0,VLOOKUP(B692,Supplies!$B$13:$C$97,2,FALSE))</f>
        <v>0</v>
      </c>
      <c r="E692" s="385">
        <f>IF(D692=" "," ",D692*C692)</f>
        <v>0</v>
      </c>
      <c r="H692" s="465" t="s">
        <v>202</v>
      </c>
      <c r="I692" s="466" t="s">
        <v>204</v>
      </c>
      <c r="J692" s="463"/>
      <c r="K692" s="464"/>
      <c r="L692" s="464"/>
      <c r="M692" s="464"/>
      <c r="N692" s="483"/>
    </row>
    <row r="693" spans="1:14" ht="15" thickBot="1" x14ac:dyDescent="0.4">
      <c r="A693" s="100">
        <v>20</v>
      </c>
      <c r="B693" s="439"/>
      <c r="C693" s="442"/>
      <c r="D693" s="443">
        <f>IF(B693=0,0,VLOOKUP(B693,Supplies!$B$13:$C$97,2,FALSE))</f>
        <v>0</v>
      </c>
      <c r="E693" s="377">
        <f>IF(D693=" "," ",D693*C693)</f>
        <v>0</v>
      </c>
      <c r="H693" s="467"/>
      <c r="I693" s="484" t="str">
        <f>IF(H693=0," ",VLOOKUP(H693,Subcontractors!$B$15:$E$25,4))</f>
        <v xml:space="preserve"> </v>
      </c>
      <c r="J693" s="463"/>
      <c r="K693" s="464"/>
      <c r="L693" s="464"/>
      <c r="M693" s="464"/>
    </row>
    <row r="694" spans="1:14" ht="15" thickBot="1" x14ac:dyDescent="0.4">
      <c r="A694" s="100"/>
      <c r="B694" s="335"/>
      <c r="C694" s="485"/>
      <c r="D694" s="397"/>
      <c r="E694" s="397"/>
      <c r="H694" s="469"/>
      <c r="I694" s="486" t="str">
        <f>IF(H694=0," ",VLOOKUP(H694,Subcontractors!$B$15:$E$25,4))</f>
        <v xml:space="preserve"> </v>
      </c>
    </row>
    <row r="695" spans="1:14" x14ac:dyDescent="0.35">
      <c r="A695" s="100"/>
      <c r="B695" s="335"/>
      <c r="C695" s="485"/>
      <c r="D695" s="397"/>
      <c r="E695" s="397"/>
      <c r="H695" s="473"/>
      <c r="I695" s="404"/>
    </row>
    <row r="696" spans="1:14" ht="18.5" x14ac:dyDescent="0.35">
      <c r="A696" s="818" t="s">
        <v>191</v>
      </c>
      <c r="B696" s="828"/>
      <c r="C696" s="828"/>
      <c r="D696" s="828"/>
      <c r="E696" s="828"/>
      <c r="F696" s="828"/>
      <c r="G696" s="150" t="str">
        <f>'kt info'!B49</f>
        <v>Enter Periodical Service 5</v>
      </c>
      <c r="H696" s="306"/>
      <c r="I696" s="275"/>
      <c r="J696" s="275"/>
      <c r="K696" s="275"/>
      <c r="L696" s="275"/>
      <c r="M696" s="150"/>
      <c r="N696" s="150"/>
    </row>
    <row r="697" spans="1:14" ht="18.5" x14ac:dyDescent="0.35">
      <c r="A697" s="818" t="s">
        <v>193</v>
      </c>
      <c r="B697" s="828"/>
      <c r="C697" s="828"/>
      <c r="D697" s="828"/>
      <c r="E697" s="828"/>
      <c r="F697" s="828"/>
      <c r="G697" s="150" t="str">
        <f>'kt info'!B51</f>
        <v>Enter Periodical Service 6</v>
      </c>
      <c r="H697" s="301"/>
      <c r="I697" s="150"/>
      <c r="J697" s="150"/>
      <c r="K697" s="150"/>
      <c r="L697" s="150"/>
      <c r="M697" s="150"/>
      <c r="N697" s="150"/>
    </row>
    <row r="699" spans="1:14" x14ac:dyDescent="0.35">
      <c r="B699" s="222" t="s">
        <v>109</v>
      </c>
      <c r="C699" s="741">
        <f>'kt info'!$C$3</f>
        <v>0</v>
      </c>
      <c r="D699" s="824"/>
      <c r="E699" s="824"/>
      <c r="F699" s="825"/>
      <c r="H699" s="333"/>
      <c r="J699" s="811" t="s">
        <v>170</v>
      </c>
      <c r="K699" s="708"/>
      <c r="L699" s="708"/>
      <c r="M699" s="708"/>
    </row>
    <row r="700" spans="1:14" x14ac:dyDescent="0.35">
      <c r="C700" s="300"/>
      <c r="D700" s="100"/>
      <c r="E700" s="100"/>
      <c r="F700" s="100"/>
      <c r="I700" s="329"/>
      <c r="J700" s="329" t="str">
        <f>$B$10</f>
        <v>All Carpets</v>
      </c>
      <c r="L700" s="336" t="str">
        <f>$B$415</f>
        <v>Enter Periodical Service 1</v>
      </c>
    </row>
    <row r="701" spans="1:14" x14ac:dyDescent="0.35">
      <c r="B701" s="222" t="s">
        <v>110</v>
      </c>
      <c r="C701" s="741">
        <f>'kt info'!$C$5</f>
        <v>0</v>
      </c>
      <c r="D701" s="824"/>
      <c r="E701" s="824"/>
      <c r="F701" s="825"/>
      <c r="J701" s="329" t="str">
        <f>$B$67</f>
        <v>High Traffic Carpet</v>
      </c>
      <c r="L701" s="336" t="str">
        <f>$B$473</f>
        <v>Enter Periodical Service 2</v>
      </c>
    </row>
    <row r="702" spans="1:14" x14ac:dyDescent="0.35">
      <c r="C702" s="300"/>
      <c r="D702" s="100"/>
      <c r="E702" s="100"/>
      <c r="F702" s="100"/>
      <c r="J702" s="329" t="str">
        <f>$B$125</f>
        <v>Hard Floor Strip and Wax</v>
      </c>
      <c r="L702" s="336" t="str">
        <f>$B$531</f>
        <v>Enter Periodical Service 3</v>
      </c>
    </row>
    <row r="703" spans="1:14" x14ac:dyDescent="0.35">
      <c r="B703" s="222" t="s">
        <v>135</v>
      </c>
      <c r="C703" s="741">
        <f>'kt info'!$C$7</f>
        <v>0</v>
      </c>
      <c r="D703" s="824"/>
      <c r="E703" s="824"/>
      <c r="F703" s="825"/>
      <c r="J703" s="329" t="str">
        <f>$B$183</f>
        <v>Hard Floor Scrub and Seal</v>
      </c>
      <c r="L703" s="336" t="str">
        <f>$B$589</f>
        <v>Enter Periodical Service 4</v>
      </c>
    </row>
    <row r="704" spans="1:14" x14ac:dyDescent="0.35">
      <c r="J704" s="336" t="str">
        <f>$B$241</f>
        <v>Window Washing</v>
      </c>
      <c r="L704" s="336" t="str">
        <f>$B$647</f>
        <v>Enter Periodical Service 5</v>
      </c>
    </row>
    <row r="705" spans="1:14" ht="18.5" x14ac:dyDescent="0.35">
      <c r="A705" s="337"/>
      <c r="B705" s="490" t="str">
        <f>'kt info'!B51</f>
        <v>Enter Periodical Service 6</v>
      </c>
      <c r="C705" s="339"/>
      <c r="D705" s="337"/>
      <c r="E705" s="337"/>
      <c r="F705" s="337"/>
      <c r="G705" s="337"/>
      <c r="H705" s="302" t="s">
        <v>77</v>
      </c>
      <c r="I705" s="236" t="s">
        <v>238</v>
      </c>
      <c r="J705" s="336" t="str">
        <f>$B$299</f>
        <v>Clean Chairs</v>
      </c>
      <c r="L705" s="336" t="str">
        <f>$B$705</f>
        <v>Enter Periodical Service 6</v>
      </c>
      <c r="M705" s="337"/>
      <c r="N705" s="337"/>
    </row>
    <row r="706" spans="1:14" x14ac:dyDescent="0.35">
      <c r="G706" s="178" t="s">
        <v>79</v>
      </c>
      <c r="H706" s="341">
        <f>IF(SUM(M718:M727)&gt;0,SUM(M718:M727)/'kt info'!$G$51,0)</f>
        <v>0</v>
      </c>
      <c r="I706" s="342">
        <f>H706*'kt info'!$G$51</f>
        <v>0</v>
      </c>
      <c r="J706" s="336" t="str">
        <f>$B$357</f>
        <v>High Dusting</v>
      </c>
      <c r="L706" s="336" t="str">
        <f>$B$763</f>
        <v>Enter Periodical Service 7</v>
      </c>
    </row>
    <row r="707" spans="1:14" x14ac:dyDescent="0.35">
      <c r="B707" s="343" t="s">
        <v>78</v>
      </c>
      <c r="G707" s="178" t="s">
        <v>189</v>
      </c>
      <c r="H707" s="344">
        <f>IF(SUM(K718:K727)&gt;0,SUM(K718:K727),0)</f>
        <v>0</v>
      </c>
      <c r="I707" s="345">
        <f>H707*'kt info'!$G$51</f>
        <v>0</v>
      </c>
      <c r="J707" s="336"/>
      <c r="L707" s="336" t="str">
        <f>$B$821</f>
        <v>Enter Periodical Service 8</v>
      </c>
    </row>
    <row r="708" spans="1:14" x14ac:dyDescent="0.35">
      <c r="B708" s="177" t="s">
        <v>96</v>
      </c>
      <c r="C708" s="346">
        <f>'kt info'!E159</f>
        <v>0</v>
      </c>
      <c r="G708" s="178" t="s">
        <v>80</v>
      </c>
      <c r="H708" s="344">
        <f>IF(SUM(E732:E751)&gt;0,SUM(E732:E751),0)</f>
        <v>0</v>
      </c>
      <c r="I708" s="345">
        <f>H708*'kt info'!$G$51</f>
        <v>0</v>
      </c>
      <c r="J708" s="336"/>
      <c r="L708" s="336" t="str">
        <f>$B$879</f>
        <v>Enter Periodical Service 9</v>
      </c>
    </row>
    <row r="709" spans="1:14" x14ac:dyDescent="0.35">
      <c r="G709" s="178" t="s">
        <v>81</v>
      </c>
      <c r="H709" s="344">
        <f>IF(SUM(L732:L741)&gt;0,SUM(L732:L741),0)</f>
        <v>0</v>
      </c>
      <c r="I709" s="345">
        <f>H709*'kt info'!$G$51</f>
        <v>0</v>
      </c>
      <c r="J709" s="336"/>
      <c r="L709" s="336" t="str">
        <f>$B$937</f>
        <v>Enter Periodical Service 10</v>
      </c>
    </row>
    <row r="710" spans="1:14" x14ac:dyDescent="0.35">
      <c r="B710" s="177" t="s">
        <v>98</v>
      </c>
      <c r="C710" s="347">
        <f>ROUND(IF(SUM(H707:H713)&gt;0,SUM(H707:H713),0),0)</f>
        <v>0</v>
      </c>
      <c r="G710" s="178" t="s">
        <v>89</v>
      </c>
      <c r="H710" s="344">
        <f>IF(SUM(J745:J749)&gt;0,SUM(L745:L749),0)</f>
        <v>0</v>
      </c>
      <c r="I710" s="345">
        <f>H710*'kt info'!$G$51</f>
        <v>0</v>
      </c>
      <c r="J710" s="329"/>
      <c r="K710" s="336"/>
    </row>
    <row r="711" spans="1:14" x14ac:dyDescent="0.35">
      <c r="G711" s="178" t="s">
        <v>201</v>
      </c>
      <c r="H711" s="344">
        <f>IF(SUM(I751:I752)=0,0,SUM(I751:I752))</f>
        <v>0</v>
      </c>
      <c r="I711" s="345">
        <f>H711*'kt info'!$G$51</f>
        <v>0</v>
      </c>
      <c r="K711" s="336"/>
    </row>
    <row r="712" spans="1:14" x14ac:dyDescent="0.35">
      <c r="B712" s="177" t="s">
        <v>97</v>
      </c>
      <c r="C712" s="347">
        <f>IF(C708&gt;0,C710/C708,0)</f>
        <v>0</v>
      </c>
      <c r="G712" s="178" t="s">
        <v>87</v>
      </c>
      <c r="H712" s="344">
        <f>IF('Overhead &amp; Margin'!$D$10&gt;0,((H707+H708+H709+H710+H711)*'Overhead &amp; Margin'!$D$10/(1-('Overhead &amp; Margin'!$D$10+'Overhead &amp; Margin'!$G$10))),0)</f>
        <v>0</v>
      </c>
      <c r="I712" s="345">
        <f>H712*'kt info'!$G$51</f>
        <v>0</v>
      </c>
      <c r="K712" s="336"/>
    </row>
    <row r="713" spans="1:14" x14ac:dyDescent="0.35">
      <c r="G713" s="178" t="s">
        <v>88</v>
      </c>
      <c r="H713" s="344">
        <f>IF('Overhead &amp; Margin'!$G$10=0,0,'Overhead &amp; Margin'!$G$10*(H707+H708+H709+H710+H711)/(1-('Overhead &amp; Margin'!$D$10+'Overhead &amp; Margin'!$G$10)))</f>
        <v>0</v>
      </c>
      <c r="I713" s="345">
        <f>H713*'kt info'!$G$51</f>
        <v>0</v>
      </c>
    </row>
    <row r="714" spans="1:14" x14ac:dyDescent="0.35">
      <c r="M714" s="605" t="str">
        <f>'kt info'!$B$12</f>
        <v>Form date: 10/24/25</v>
      </c>
    </row>
    <row r="715" spans="1:14" ht="15" thickBot="1" x14ac:dyDescent="0.4">
      <c r="B715" s="348" t="s">
        <v>104</v>
      </c>
    </row>
    <row r="716" spans="1:14" x14ac:dyDescent="0.35">
      <c r="B716" s="84" t="s">
        <v>18</v>
      </c>
      <c r="C716" s="349" t="s">
        <v>19</v>
      </c>
      <c r="D716" s="350" t="s">
        <v>25</v>
      </c>
      <c r="E716" s="350" t="s">
        <v>20</v>
      </c>
      <c r="F716" s="826" t="s">
        <v>22</v>
      </c>
      <c r="G716" s="826"/>
      <c r="H716" s="351" t="s">
        <v>23</v>
      </c>
      <c r="I716" s="350" t="s">
        <v>21</v>
      </c>
      <c r="J716" s="350" t="s">
        <v>24</v>
      </c>
      <c r="K716" s="350" t="s">
        <v>77</v>
      </c>
      <c r="L716" s="352" t="s">
        <v>26</v>
      </c>
      <c r="M716" s="4" t="s">
        <v>27</v>
      </c>
      <c r="N716" s="4" t="s">
        <v>0</v>
      </c>
    </row>
    <row r="717" spans="1:14" ht="15" thickBot="1" x14ac:dyDescent="0.4">
      <c r="B717" s="22" t="s">
        <v>306</v>
      </c>
      <c r="C717" s="353" t="s">
        <v>28</v>
      </c>
      <c r="D717" s="354" t="s">
        <v>33</v>
      </c>
      <c r="E717" s="354" t="s">
        <v>29</v>
      </c>
      <c r="F717" s="827" t="s">
        <v>30</v>
      </c>
      <c r="G717" s="827"/>
      <c r="H717" s="355" t="s">
        <v>31</v>
      </c>
      <c r="I717" s="354"/>
      <c r="J717" s="354" t="s">
        <v>38</v>
      </c>
      <c r="K717" s="354" t="s">
        <v>189</v>
      </c>
      <c r="L717" s="356" t="s">
        <v>0</v>
      </c>
      <c r="M717" s="5" t="s">
        <v>0</v>
      </c>
      <c r="N717" s="5" t="s">
        <v>77</v>
      </c>
    </row>
    <row r="718" spans="1:14" x14ac:dyDescent="0.35">
      <c r="A718" s="100">
        <v>1</v>
      </c>
      <c r="B718" s="474"/>
      <c r="C718" s="358"/>
      <c r="D718" s="359" t="str">
        <f>IF(B718=0," ",'kt info'!$G$51)</f>
        <v xml:space="preserve"> </v>
      </c>
      <c r="E718" s="360" t="str">
        <f>IF(B718=0," ",VLOOKUP(B718,WageBeneTable5[#All],2,FALSE))</f>
        <v xml:space="preserve"> </v>
      </c>
      <c r="F718" s="820">
        <f>IF($E718=" ",0,'Pay &amp; Benefits'!$C$10)</f>
        <v>0</v>
      </c>
      <c r="G718" s="821"/>
      <c r="H718" s="361" t="str">
        <f>IF($E718=" "," ",'Pay &amp; Benefits'!$C$11)</f>
        <v xml:space="preserve"> </v>
      </c>
      <c r="I718" s="362" t="str">
        <f t="shared" ref="I718:I727" si="75">IF(E718=" "," ",0.0765)</f>
        <v xml:space="preserve"> </v>
      </c>
      <c r="J718" s="363" t="str">
        <f>IF(B718=0," ",VLOOKUP(B718,WageBeneTable5[#All],3,FALSE))</f>
        <v xml:space="preserve"> </v>
      </c>
      <c r="K718" s="360" t="str">
        <f t="shared" ref="K718:K727" si="76">IF(B718=0," ",C718*E718*(1+I718+F718+H718+J718))</f>
        <v xml:space="preserve"> </v>
      </c>
      <c r="L718" s="360">
        <f t="shared" ref="L718:L727" si="77">IF(K718=" ",0,K718*D718)</f>
        <v>0</v>
      </c>
      <c r="M718" s="364">
        <f t="shared" ref="M718:M727" si="78">IF(B718=0,0,C718*D718)</f>
        <v>0</v>
      </c>
      <c r="N718" s="365">
        <f t="shared" ref="N718:N727" si="79">IF(L718=0,0,IF(D718=0,0,L718/D718))</f>
        <v>0</v>
      </c>
    </row>
    <row r="719" spans="1:14" x14ac:dyDescent="0.35">
      <c r="A719" s="100">
        <v>2</v>
      </c>
      <c r="B719" s="437"/>
      <c r="C719" s="367"/>
      <c r="D719" s="359" t="str">
        <f>IF(B719=0," ",'kt info'!$G$51)</f>
        <v xml:space="preserve"> </v>
      </c>
      <c r="E719" s="368" t="str">
        <f>IF(B719=0," ",VLOOKUP(B719,WageBeneTable5[#All],2,FALSE))</f>
        <v xml:space="preserve"> </v>
      </c>
      <c r="F719" s="822">
        <f>IF($E719=" ",0,'Pay &amp; Benefits'!$C$10)</f>
        <v>0</v>
      </c>
      <c r="G719" s="823"/>
      <c r="H719" s="369" t="str">
        <f>IF($E719=" "," ",'Pay &amp; Benefits'!$C$11)</f>
        <v xml:space="preserve"> </v>
      </c>
      <c r="I719" s="370" t="str">
        <f t="shared" si="75"/>
        <v xml:space="preserve"> </v>
      </c>
      <c r="J719" s="371" t="str">
        <f>IF(B719=0," ",VLOOKUP(B719,WageBeneTable5[#All],3,FALSE))</f>
        <v xml:space="preserve"> </v>
      </c>
      <c r="K719" s="368" t="str">
        <f t="shared" si="76"/>
        <v xml:space="preserve"> </v>
      </c>
      <c r="L719" s="368">
        <f t="shared" si="77"/>
        <v>0</v>
      </c>
      <c r="M719" s="372">
        <f t="shared" si="78"/>
        <v>0</v>
      </c>
      <c r="N719" s="373">
        <f t="shared" si="79"/>
        <v>0</v>
      </c>
    </row>
    <row r="720" spans="1:14" x14ac:dyDescent="0.35">
      <c r="A720" s="100">
        <v>3</v>
      </c>
      <c r="B720" s="437"/>
      <c r="C720" s="367"/>
      <c r="D720" s="359" t="str">
        <f>IF(B720=0," ",'kt info'!$G$51)</f>
        <v xml:space="preserve"> </v>
      </c>
      <c r="E720" s="368" t="str">
        <f>IF(B720=0," ",VLOOKUP(B720,WageBeneTable5[#All],2,FALSE))</f>
        <v xml:space="preserve"> </v>
      </c>
      <c r="F720" s="822">
        <f>IF($E720=" ",0,'Pay &amp; Benefits'!$C$10)</f>
        <v>0</v>
      </c>
      <c r="G720" s="823"/>
      <c r="H720" s="369" t="str">
        <f>IF($E720=" "," ",'Pay &amp; Benefits'!$C$11)</f>
        <v xml:space="preserve"> </v>
      </c>
      <c r="I720" s="370" t="str">
        <f t="shared" si="75"/>
        <v xml:space="preserve"> </v>
      </c>
      <c r="J720" s="371" t="str">
        <f>IF(B720=0," ",VLOOKUP(B720,WageBeneTable5[#All],3,FALSE))</f>
        <v xml:space="preserve"> </v>
      </c>
      <c r="K720" s="368" t="str">
        <f t="shared" si="76"/>
        <v xml:space="preserve"> </v>
      </c>
      <c r="L720" s="368">
        <f t="shared" si="77"/>
        <v>0</v>
      </c>
      <c r="M720" s="372">
        <f t="shared" si="78"/>
        <v>0</v>
      </c>
      <c r="N720" s="373">
        <f t="shared" si="79"/>
        <v>0</v>
      </c>
    </row>
    <row r="721" spans="1:14" x14ac:dyDescent="0.35">
      <c r="A721" s="100">
        <v>4</v>
      </c>
      <c r="B721" s="437"/>
      <c r="C721" s="367"/>
      <c r="D721" s="359" t="str">
        <f>IF(B721=0," ",'kt info'!$G$51)</f>
        <v xml:space="preserve"> </v>
      </c>
      <c r="E721" s="368" t="str">
        <f>IF(B721=0," ",VLOOKUP(B721,WageBeneTable5[#All],2,FALSE))</f>
        <v xml:space="preserve"> </v>
      </c>
      <c r="F721" s="822">
        <f>IF($E721=" ",0,'Pay &amp; Benefits'!$C$10)</f>
        <v>0</v>
      </c>
      <c r="G721" s="823"/>
      <c r="H721" s="369" t="str">
        <f>IF($E721=" "," ",'Pay &amp; Benefits'!$C$11)</f>
        <v xml:space="preserve"> </v>
      </c>
      <c r="I721" s="370" t="str">
        <f t="shared" si="75"/>
        <v xml:space="preserve"> </v>
      </c>
      <c r="J721" s="371" t="str">
        <f>IF(B721=0," ",VLOOKUP(B721,WageBeneTable5[#All],3,FALSE))</f>
        <v xml:space="preserve"> </v>
      </c>
      <c r="K721" s="368" t="str">
        <f t="shared" si="76"/>
        <v xml:space="preserve"> </v>
      </c>
      <c r="L721" s="368">
        <f t="shared" si="77"/>
        <v>0</v>
      </c>
      <c r="M721" s="372">
        <f t="shared" si="78"/>
        <v>0</v>
      </c>
      <c r="N721" s="373">
        <f t="shared" si="79"/>
        <v>0</v>
      </c>
    </row>
    <row r="722" spans="1:14" ht="15" thickBot="1" x14ac:dyDescent="0.4">
      <c r="A722" s="100">
        <v>5</v>
      </c>
      <c r="B722" s="439"/>
      <c r="C722" s="375"/>
      <c r="D722" s="376" t="str">
        <f>IF(B722=0," ",'kt info'!$G$51)</f>
        <v xml:space="preserve"> </v>
      </c>
      <c r="E722" s="377" t="str">
        <f>IF(B722=0," ",VLOOKUP(B722,WageBeneTable5[#All],2,FALSE))</f>
        <v xml:space="preserve"> </v>
      </c>
      <c r="F722" s="813">
        <f>IF($E722=" ",0,'Pay &amp; Benefits'!$C$10)</f>
        <v>0</v>
      </c>
      <c r="G722" s="814"/>
      <c r="H722" s="378" t="str">
        <f>IF($E722=" "," ",'Pay &amp; Benefits'!$C$11)</f>
        <v xml:space="preserve"> </v>
      </c>
      <c r="I722" s="379" t="str">
        <f t="shared" si="75"/>
        <v xml:space="preserve"> </v>
      </c>
      <c r="J722" s="380" t="str">
        <f>IF(B722=0," ",VLOOKUP(B722,WageBeneTable5[#All],3,FALSE))</f>
        <v xml:space="preserve"> </v>
      </c>
      <c r="K722" s="377" t="str">
        <f t="shared" si="76"/>
        <v xml:space="preserve"> </v>
      </c>
      <c r="L722" s="377">
        <f t="shared" si="77"/>
        <v>0</v>
      </c>
      <c r="M722" s="381">
        <f t="shared" si="78"/>
        <v>0</v>
      </c>
      <c r="N722" s="382">
        <f t="shared" si="79"/>
        <v>0</v>
      </c>
    </row>
    <row r="723" spans="1:14" x14ac:dyDescent="0.35">
      <c r="A723" s="100">
        <v>6</v>
      </c>
      <c r="B723" s="474"/>
      <c r="C723" s="383"/>
      <c r="D723" s="384" t="str">
        <f>IF(B723=0," ",'kt info'!$G$51)</f>
        <v xml:space="preserve"> </v>
      </c>
      <c r="E723" s="385" t="str">
        <f>IF(B723=0," ",VLOOKUP(B723,WageBeneTable5[#All],2,FALSE))</f>
        <v xml:space="preserve"> </v>
      </c>
      <c r="F723" s="820">
        <f>IF($E723=" ",0,'Pay &amp; Benefits'!$C$10)</f>
        <v>0</v>
      </c>
      <c r="G723" s="821"/>
      <c r="H723" s="386" t="str">
        <f>IF($E723=" "," ",'Pay &amp; Benefits'!$C$11)</f>
        <v xml:space="preserve"> </v>
      </c>
      <c r="I723" s="387" t="str">
        <f t="shared" si="75"/>
        <v xml:space="preserve"> </v>
      </c>
      <c r="J723" s="388" t="str">
        <f>IF(B723=0," ",VLOOKUP(B723,WageBeneTable5[#All],3,FALSE))</f>
        <v xml:space="preserve"> </v>
      </c>
      <c r="K723" s="385" t="str">
        <f t="shared" si="76"/>
        <v xml:space="preserve"> </v>
      </c>
      <c r="L723" s="385">
        <f t="shared" si="77"/>
        <v>0</v>
      </c>
      <c r="M723" s="389">
        <f t="shared" si="78"/>
        <v>0</v>
      </c>
      <c r="N723" s="390">
        <f t="shared" si="79"/>
        <v>0</v>
      </c>
    </row>
    <row r="724" spans="1:14" x14ac:dyDescent="0.35">
      <c r="A724" s="100">
        <v>7</v>
      </c>
      <c r="B724" s="437"/>
      <c r="C724" s="367"/>
      <c r="D724" s="384" t="str">
        <f>IF(B724=0," ",'kt info'!$G$51)</f>
        <v xml:space="preserve"> </v>
      </c>
      <c r="E724" s="385" t="str">
        <f>IF(B724=0," ",VLOOKUP(B724,WageBeneTable5[#All],2,FALSE))</f>
        <v xml:space="preserve"> </v>
      </c>
      <c r="F724" s="822">
        <f>IF($E724=" ",0,'Pay &amp; Benefits'!$C$10)</f>
        <v>0</v>
      </c>
      <c r="G724" s="823"/>
      <c r="H724" s="386" t="str">
        <f>IF($E724=" "," ",'Pay &amp; Benefits'!$C$11)</f>
        <v xml:space="preserve"> </v>
      </c>
      <c r="I724" s="387" t="str">
        <f t="shared" si="75"/>
        <v xml:space="preserve"> </v>
      </c>
      <c r="J724" s="388" t="str">
        <f>IF(B724=0," ",VLOOKUP(B724,WageBeneTable5[#All],3,FALSE))</f>
        <v xml:space="preserve"> </v>
      </c>
      <c r="K724" s="385" t="str">
        <f t="shared" si="76"/>
        <v xml:space="preserve"> </v>
      </c>
      <c r="L724" s="385">
        <f t="shared" si="77"/>
        <v>0</v>
      </c>
      <c r="M724" s="389">
        <f t="shared" si="78"/>
        <v>0</v>
      </c>
      <c r="N724" s="390">
        <f t="shared" si="79"/>
        <v>0</v>
      </c>
    </row>
    <row r="725" spans="1:14" x14ac:dyDescent="0.35">
      <c r="A725" s="100">
        <v>8</v>
      </c>
      <c r="B725" s="437"/>
      <c r="C725" s="367"/>
      <c r="D725" s="384" t="str">
        <f>IF(B725=0," ",'kt info'!$G$51)</f>
        <v xml:space="preserve"> </v>
      </c>
      <c r="E725" s="385" t="str">
        <f>IF(B725=0," ",VLOOKUP(B725,WageBeneTable5[#All],2,FALSE))</f>
        <v xml:space="preserve"> </v>
      </c>
      <c r="F725" s="822">
        <f>IF($E725=" ",0,'Pay &amp; Benefits'!$C$10)</f>
        <v>0</v>
      </c>
      <c r="G725" s="823"/>
      <c r="H725" s="386" t="str">
        <f>IF($E725=" "," ",'Pay &amp; Benefits'!$C$11)</f>
        <v xml:space="preserve"> </v>
      </c>
      <c r="I725" s="387" t="str">
        <f t="shared" si="75"/>
        <v xml:space="preserve"> </v>
      </c>
      <c r="J725" s="388" t="str">
        <f>IF(B725=0," ",VLOOKUP(B725,WageBeneTable5[#All],3,FALSE))</f>
        <v xml:space="preserve"> </v>
      </c>
      <c r="K725" s="385" t="str">
        <f t="shared" si="76"/>
        <v xml:space="preserve"> </v>
      </c>
      <c r="L725" s="385">
        <f t="shared" si="77"/>
        <v>0</v>
      </c>
      <c r="M725" s="389">
        <f t="shared" si="78"/>
        <v>0</v>
      </c>
      <c r="N725" s="390">
        <f t="shared" si="79"/>
        <v>0</v>
      </c>
    </row>
    <row r="726" spans="1:14" x14ac:dyDescent="0.35">
      <c r="A726" s="100">
        <v>9</v>
      </c>
      <c r="B726" s="437"/>
      <c r="C726" s="367"/>
      <c r="D726" s="384" t="str">
        <f>IF(B726=0," ",'kt info'!$G$51)</f>
        <v xml:space="preserve"> </v>
      </c>
      <c r="E726" s="385" t="str">
        <f>IF(B726=0," ",VLOOKUP(B726,WageBeneTable5[#All],2,FALSE))</f>
        <v xml:space="preserve"> </v>
      </c>
      <c r="F726" s="822">
        <f>IF($E726=" ",0,'Pay &amp; Benefits'!$C$10)</f>
        <v>0</v>
      </c>
      <c r="G726" s="823"/>
      <c r="H726" s="386" t="str">
        <f>IF($E726=" "," ",'Pay &amp; Benefits'!$C$11)</f>
        <v xml:space="preserve"> </v>
      </c>
      <c r="I726" s="387" t="str">
        <f t="shared" si="75"/>
        <v xml:space="preserve"> </v>
      </c>
      <c r="J726" s="388" t="str">
        <f>IF(B726=0," ",VLOOKUP(B726,WageBeneTable5[#All],3,FALSE))</f>
        <v xml:space="preserve"> </v>
      </c>
      <c r="K726" s="385" t="str">
        <f t="shared" si="76"/>
        <v xml:space="preserve"> </v>
      </c>
      <c r="L726" s="385">
        <f t="shared" si="77"/>
        <v>0</v>
      </c>
      <c r="M726" s="389">
        <f t="shared" si="78"/>
        <v>0</v>
      </c>
      <c r="N726" s="390">
        <f t="shared" si="79"/>
        <v>0</v>
      </c>
    </row>
    <row r="727" spans="1:14" ht="15" thickBot="1" x14ac:dyDescent="0.4">
      <c r="A727" s="100">
        <v>10</v>
      </c>
      <c r="B727" s="439"/>
      <c r="C727" s="375"/>
      <c r="D727" s="376" t="str">
        <f>IF(B727=0," ",'kt info'!$G$51)</f>
        <v xml:space="preserve"> </v>
      </c>
      <c r="E727" s="377" t="str">
        <f>IF(B727=0," ",VLOOKUP(B727,WageBeneTable5[#All],2,FALSE))</f>
        <v xml:space="preserve"> </v>
      </c>
      <c r="F727" s="813">
        <f>IF($E727=" ",0,'Pay &amp; Benefits'!$C$10)</f>
        <v>0</v>
      </c>
      <c r="G727" s="814"/>
      <c r="H727" s="378" t="str">
        <f>IF($E727=" "," ",'Pay &amp; Benefits'!$C$11)</f>
        <v xml:space="preserve"> </v>
      </c>
      <c r="I727" s="379" t="str">
        <f t="shared" si="75"/>
        <v xml:space="preserve"> </v>
      </c>
      <c r="J727" s="380" t="str">
        <f>IF(B727=0," ",VLOOKUP(B727,WageBeneTable5[#All],3,FALSE))</f>
        <v xml:space="preserve"> </v>
      </c>
      <c r="K727" s="377" t="str">
        <f t="shared" si="76"/>
        <v xml:space="preserve"> </v>
      </c>
      <c r="L727" s="377">
        <f t="shared" si="77"/>
        <v>0</v>
      </c>
      <c r="M727" s="381">
        <f t="shared" si="78"/>
        <v>0</v>
      </c>
      <c r="N727" s="382">
        <f t="shared" si="79"/>
        <v>0</v>
      </c>
    </row>
    <row r="728" spans="1:14" x14ac:dyDescent="0.35">
      <c r="K728" s="391"/>
      <c r="L728" s="392"/>
      <c r="M728" s="393"/>
    </row>
    <row r="729" spans="1:14" ht="15" thickBot="1" x14ac:dyDescent="0.4">
      <c r="B729" s="394" t="s">
        <v>203</v>
      </c>
      <c r="E729" s="395"/>
      <c r="H729" s="815" t="s">
        <v>199</v>
      </c>
      <c r="I729" s="816"/>
      <c r="M729" s="475"/>
      <c r="N729" s="100"/>
    </row>
    <row r="730" spans="1:14" x14ac:dyDescent="0.35">
      <c r="B730" s="32" t="s">
        <v>123</v>
      </c>
      <c r="C730" s="398" t="s">
        <v>239</v>
      </c>
      <c r="D730" s="399" t="s">
        <v>9</v>
      </c>
      <c r="E730" s="400" t="s">
        <v>83</v>
      </c>
      <c r="H730" s="303" t="s">
        <v>15</v>
      </c>
      <c r="I730" s="4" t="s">
        <v>85</v>
      </c>
      <c r="J730" s="4" t="s">
        <v>16</v>
      </c>
      <c r="K730" s="4" t="s">
        <v>241</v>
      </c>
      <c r="L730" s="4" t="s">
        <v>83</v>
      </c>
      <c r="M730" s="476"/>
      <c r="N730" s="477"/>
    </row>
    <row r="731" spans="1:14" ht="15" thickBot="1" x14ac:dyDescent="0.4">
      <c r="B731" s="33" t="s">
        <v>124</v>
      </c>
      <c r="C731" s="401" t="s">
        <v>84</v>
      </c>
      <c r="D731" s="402" t="s">
        <v>10</v>
      </c>
      <c r="E731" s="403" t="s">
        <v>84</v>
      </c>
      <c r="H731" s="304" t="s">
        <v>13</v>
      </c>
      <c r="I731" s="5" t="s">
        <v>86</v>
      </c>
      <c r="J731" s="5" t="s">
        <v>17</v>
      </c>
      <c r="K731" s="5" t="s">
        <v>12</v>
      </c>
      <c r="L731" s="5" t="s">
        <v>84</v>
      </c>
      <c r="M731" s="478"/>
      <c r="N731" s="479"/>
    </row>
    <row r="732" spans="1:14" x14ac:dyDescent="0.35">
      <c r="A732" s="100">
        <v>1</v>
      </c>
      <c r="B732" s="474"/>
      <c r="C732" s="406"/>
      <c r="D732" s="407">
        <f>IF(B732=0,0,VLOOKUP(B732,Supplies!$B$13:$C$97,2,FALSE))</f>
        <v>0</v>
      </c>
      <c r="E732" s="360">
        <f>IF(D732=" "," ",D732*C732)</f>
        <v>0</v>
      </c>
      <c r="G732" s="100">
        <v>1</v>
      </c>
      <c r="H732" s="408"/>
      <c r="I732" s="409"/>
      <c r="J732" s="410"/>
      <c r="K732" s="331" t="str">
        <f>IF(H732=0," ",IF(VLOOKUP(H732,'Equipment List'!$B$12:$F$96,5,FALSE)=0,0,IF(VLOOKUP(H732,'Equipment List'!$B$12:$F$96,5,FALSE)="Grant","Grant",IF(VLOOKUP(H732,'Equipment List'!$B$12:$F$96,5,FALSE)="Depreciated","Depreciated",VLOOKUP(H732,'Equipment List'!$B$12:$F$96,5,FALSE)*I732*J732))))</f>
        <v xml:space="preserve"> </v>
      </c>
      <c r="L732" s="365" t="str">
        <f>IF(K732=" "," ",IF(K732="Grant",0,IF(K732="Depreciated",0,IF('kt info'!$G$49=0,"No Service Frequency",K732/'kt info'!$G$49))))</f>
        <v xml:space="preserve"> </v>
      </c>
      <c r="M732" s="480"/>
      <c r="N732" s="404"/>
    </row>
    <row r="733" spans="1:14" x14ac:dyDescent="0.35">
      <c r="A733" s="100">
        <v>2</v>
      </c>
      <c r="B733" s="437"/>
      <c r="C733" s="414"/>
      <c r="D733" s="415">
        <f>IF(B733=0,0,VLOOKUP(B733,Supplies!$B$13:$C$97,2,FALSE))</f>
        <v>0</v>
      </c>
      <c r="E733" s="385">
        <f t="shared" ref="E733:E747" si="80">IF(D733=" "," ",D733*C733)</f>
        <v>0</v>
      </c>
      <c r="G733" s="100">
        <v>2</v>
      </c>
      <c r="H733" s="416"/>
      <c r="I733" s="417"/>
      <c r="J733" s="418"/>
      <c r="K733" s="421" t="str">
        <f>IF(H733=0," ",IF(VLOOKUP(H733,'Equipment List'!$B$12:$F$96,5,FALSE)=0,0,IF(VLOOKUP(H733,'Equipment List'!$B$12:$F$96,5,FALSE)="Grant","Grant",IF(VLOOKUP(H733,'Equipment List'!$B$12:$F$96,5,FALSE)="Depreciated","Depreciated",VLOOKUP(H733,'Equipment List'!$B$12:$F$96,5,FALSE)*I733*J733))))</f>
        <v xml:space="preserve"> </v>
      </c>
      <c r="L733" s="390" t="str">
        <f>IF(K733=" "," ",IF(K733="Grant",0,IF(K733="Depreciated",0,IF('kt info'!$G$49=0,"No Service Frequency",K733/'kt info'!$G$49))))</f>
        <v xml:space="preserve"> </v>
      </c>
    </row>
    <row r="734" spans="1:14" x14ac:dyDescent="0.35">
      <c r="A734" s="100">
        <v>3</v>
      </c>
      <c r="B734" s="437"/>
      <c r="C734" s="414"/>
      <c r="D734" s="415">
        <f>IF(B734=0,0,VLOOKUP(B734,Supplies!$B$13:$C$97,2,FALSE))</f>
        <v>0</v>
      </c>
      <c r="E734" s="385">
        <f t="shared" si="80"/>
        <v>0</v>
      </c>
      <c r="G734" s="100">
        <v>3</v>
      </c>
      <c r="H734" s="416"/>
      <c r="I734" s="417"/>
      <c r="J734" s="418"/>
      <c r="K734" s="421" t="str">
        <f>IF(H734=0," ",IF(VLOOKUP(H734,'Equipment List'!$B$12:$F$96,5,FALSE)=0,0,IF(VLOOKUP(H734,'Equipment List'!$B$12:$F$96,5,FALSE)="Grant","Grant",IF(VLOOKUP(H734,'Equipment List'!$B$12:$F$96,5,FALSE)="Depreciated","Depreciated",VLOOKUP(H734,'Equipment List'!$B$12:$F$96,5,FALSE)*I734*J734))))</f>
        <v xml:space="preserve"> </v>
      </c>
      <c r="L734" s="390" t="str">
        <f>IF(K734=" "," ",IF(K734="Grant",0,IF(K734="Depreciated",0,IF('kt info'!$G$49=0,"No Service Frequency",K734/'kt info'!$G$49))))</f>
        <v xml:space="preserve"> </v>
      </c>
    </row>
    <row r="735" spans="1:14" x14ac:dyDescent="0.35">
      <c r="A735" s="100">
        <v>4</v>
      </c>
      <c r="B735" s="437"/>
      <c r="C735" s="414"/>
      <c r="D735" s="415">
        <f>IF(B735=0,0,VLOOKUP(B735,Supplies!$B$13:$C$97,2,FALSE))</f>
        <v>0</v>
      </c>
      <c r="E735" s="385">
        <f t="shared" si="80"/>
        <v>0</v>
      </c>
      <c r="G735" s="100">
        <v>4</v>
      </c>
      <c r="H735" s="416"/>
      <c r="I735" s="417"/>
      <c r="J735" s="418"/>
      <c r="K735" s="421" t="str">
        <f>IF(H735=0," ",IF(VLOOKUP(H735,'Equipment List'!$B$12:$F$96,5,FALSE)=0,0,IF(VLOOKUP(H735,'Equipment List'!$B$12:$F$96,5,FALSE)="Grant","Grant",IF(VLOOKUP(H735,'Equipment List'!$B$12:$F$96,5,FALSE)="Depreciated","Depreciated",VLOOKUP(H735,'Equipment List'!$B$12:$F$96,5,FALSE)*I735*J735))))</f>
        <v xml:space="preserve"> </v>
      </c>
      <c r="L735" s="390" t="str">
        <f>IF(K735=" "," ",IF(K735="Grant",0,IF(K735="Depreciated",0,IF('kt info'!$G$49=0,"No Service Frequency",K735/'kt info'!$G$49))))</f>
        <v xml:space="preserve"> </v>
      </c>
    </row>
    <row r="736" spans="1:14" ht="15" thickBot="1" x14ac:dyDescent="0.4">
      <c r="A736" s="100">
        <v>5</v>
      </c>
      <c r="B736" s="439"/>
      <c r="C736" s="423"/>
      <c r="D736" s="424">
        <f>IF(B736=0,0,VLOOKUP(B736,Supplies!$B$13:$C$97,2,FALSE))</f>
        <v>0</v>
      </c>
      <c r="E736" s="377">
        <f t="shared" si="80"/>
        <v>0</v>
      </c>
      <c r="G736" s="100">
        <v>5</v>
      </c>
      <c r="H736" s="425"/>
      <c r="I736" s="426"/>
      <c r="J736" s="427"/>
      <c r="K736" s="428" t="str">
        <f>IF(H736=0," ",IF(VLOOKUP(H736,'Equipment List'!$B$12:$F$96,5,FALSE)=0,0,IF(VLOOKUP(H736,'Equipment List'!$B$12:$F$96,5,FALSE)="Grant","Grant",IF(VLOOKUP(H736,'Equipment List'!$B$12:$F$96,5,FALSE)="Depreciated","Depreciated",VLOOKUP(H736,'Equipment List'!$B$12:$F$96,5,FALSE)*I736*J736))))</f>
        <v xml:space="preserve"> </v>
      </c>
      <c r="L736" s="382" t="str">
        <f>IF(K736=" "," ",IF(K736="Grant",0,IF(K736="Depreciated",0,IF('kt info'!$G$49=0,"No Service Frequency",K736/'kt info'!$G$49))))</f>
        <v xml:space="preserve"> </v>
      </c>
    </row>
    <row r="737" spans="1:14" x14ac:dyDescent="0.35">
      <c r="A737" s="100">
        <v>6</v>
      </c>
      <c r="B737" s="433"/>
      <c r="C737" s="431"/>
      <c r="D737" s="432">
        <f>IF(B737=0,0,VLOOKUP(B737,Supplies!$B$13:$C$97,2,FALSE))</f>
        <v>0</v>
      </c>
      <c r="E737" s="385">
        <f t="shared" si="80"/>
        <v>0</v>
      </c>
      <c r="G737" s="100">
        <v>6</v>
      </c>
      <c r="H737" s="433"/>
      <c r="I737" s="434"/>
      <c r="J737" s="435"/>
      <c r="K737" s="436" t="str">
        <f>IF(H737=0," ",IF(VLOOKUP(H737,'Equipment List'!$B$12:$F$96,5,FALSE)=0,0,IF(VLOOKUP(H737,'Equipment List'!$B$12:$F$96,5,FALSE)="Grant","Grant",IF(VLOOKUP(H737,'Equipment List'!$B$12:$F$96,5,FALSE)="Depreciated","Depreciated",VLOOKUP(H737,'Equipment List'!$B$12:$F$96,5,FALSE)*I737*J737))))</f>
        <v xml:space="preserve"> </v>
      </c>
      <c r="L737" s="390" t="str">
        <f>IF(K737=" "," ",IF(K737="Grant",0,IF(K737="Depreciated",0,IF('kt info'!$G$49=0,"No Service Frequency",K737/'kt info'!$G$49))))</f>
        <v xml:space="preserve"> </v>
      </c>
    </row>
    <row r="738" spans="1:14" x14ac:dyDescent="0.35">
      <c r="A738" s="100">
        <v>7</v>
      </c>
      <c r="B738" s="437"/>
      <c r="C738" s="414"/>
      <c r="D738" s="415">
        <f>IF(B738=0,0,VLOOKUP(B738,Supplies!$B$13:$C$97,2,FALSE))</f>
        <v>0</v>
      </c>
      <c r="E738" s="385">
        <f t="shared" si="80"/>
        <v>0</v>
      </c>
      <c r="G738" s="100">
        <v>7</v>
      </c>
      <c r="H738" s="437"/>
      <c r="I738" s="417"/>
      <c r="J738" s="418"/>
      <c r="K738" s="438" t="str">
        <f>IF(H738=0," ",IF(VLOOKUP(H738,'Equipment List'!$B$12:$F$96,5,FALSE)=0,0,IF(VLOOKUP(H738,'Equipment List'!$B$12:$F$96,5,FALSE)="Grant","Grant",IF(VLOOKUP(H738,'Equipment List'!$B$12:$F$96,5,FALSE)="Depreciated","Depreciated",VLOOKUP(H738,'Equipment List'!$B$12:$F$96,5,FALSE)*I738*J738))))</f>
        <v xml:space="preserve"> </v>
      </c>
      <c r="L738" s="390" t="str">
        <f>IF(K738=" "," ",IF(K738="Grant",0,IF(K738="Depreciated",0,IF('kt info'!$G$49=0,"No Service Frequency",K738/'kt info'!$G$49))))</f>
        <v xml:space="preserve"> </v>
      </c>
    </row>
    <row r="739" spans="1:14" x14ac:dyDescent="0.35">
      <c r="A739" s="100">
        <v>8</v>
      </c>
      <c r="B739" s="437"/>
      <c r="C739" s="414"/>
      <c r="D739" s="415">
        <f>IF(B739=0,0,VLOOKUP(B739,Supplies!$B$13:$C$97,2,FALSE))</f>
        <v>0</v>
      </c>
      <c r="E739" s="385">
        <f t="shared" si="80"/>
        <v>0</v>
      </c>
      <c r="G739" s="100">
        <v>8</v>
      </c>
      <c r="H739" s="437"/>
      <c r="I739" s="417"/>
      <c r="J739" s="418"/>
      <c r="K739" s="438" t="str">
        <f>IF(H739=0," ",IF(VLOOKUP(H739,'Equipment List'!$B$12:$F$96,5,FALSE)=0,0,IF(VLOOKUP(H739,'Equipment List'!$B$12:$F$96,5,FALSE)="Grant","Grant",IF(VLOOKUP(H739,'Equipment List'!$B$12:$F$96,5,FALSE)="Depreciated","Depreciated",VLOOKUP(H739,'Equipment List'!$B$12:$F$96,5,FALSE)*I739*J739))))</f>
        <v xml:space="preserve"> </v>
      </c>
      <c r="L739" s="390" t="str">
        <f>IF(K739=" "," ",IF(K739="Grant",0,IF(K739="Depreciated",0,IF('kt info'!$G$49=0,"No Service Frequency",K739/'kt info'!$G$49))))</f>
        <v xml:space="preserve"> </v>
      </c>
    </row>
    <row r="740" spans="1:14" x14ac:dyDescent="0.35">
      <c r="A740" s="100">
        <v>9</v>
      </c>
      <c r="B740" s="437"/>
      <c r="C740" s="414"/>
      <c r="D740" s="415">
        <f>IF(B740=0,0,VLOOKUP(B740,Supplies!$B$13:$C$97,2,FALSE))</f>
        <v>0</v>
      </c>
      <c r="E740" s="385">
        <f t="shared" si="80"/>
        <v>0</v>
      </c>
      <c r="G740" s="100">
        <v>9</v>
      </c>
      <c r="H740" s="437"/>
      <c r="I740" s="417"/>
      <c r="J740" s="418"/>
      <c r="K740" s="438" t="str">
        <f>IF(H740=0," ",IF(VLOOKUP(H740,'Equipment List'!$B$12:$F$96,5,FALSE)=0,0,IF(VLOOKUP(H740,'Equipment List'!$B$12:$F$96,5,FALSE)="Grant","Grant",IF(VLOOKUP(H740,'Equipment List'!$B$12:$F$96,5,FALSE)="Depreciated","Depreciated",VLOOKUP(H740,'Equipment List'!$B$12:$F$96,5,FALSE)*I740*J740))))</f>
        <v xml:space="preserve"> </v>
      </c>
      <c r="L740" s="390" t="str">
        <f>IF(K740=" "," ",IF(K740="Grant",0,IF(K740="Depreciated",0,IF('kt info'!$G$49=0,"No Service Frequency",K740/'kt info'!$G$49))))</f>
        <v xml:space="preserve"> </v>
      </c>
    </row>
    <row r="741" spans="1:14" ht="15" thickBot="1" x14ac:dyDescent="0.4">
      <c r="A741" s="100">
        <v>10</v>
      </c>
      <c r="B741" s="439"/>
      <c r="C741" s="423"/>
      <c r="D741" s="424">
        <f>IF(B741=0,0,VLOOKUP(B741,Supplies!$B$13:$C$97,2,FALSE))</f>
        <v>0</v>
      </c>
      <c r="E741" s="377">
        <f t="shared" si="80"/>
        <v>0</v>
      </c>
      <c r="G741" s="100">
        <v>10</v>
      </c>
      <c r="H741" s="439"/>
      <c r="I741" s="426"/>
      <c r="J741" s="427"/>
      <c r="K741" s="440" t="str">
        <f>IF(H741=0," ",IF(VLOOKUP(H741,'Equipment List'!$B$12:$F$96,5,FALSE)=0,0,IF(VLOOKUP(H741,'Equipment List'!$B$12:$F$96,5,FALSE)="Grant","Grant",IF(VLOOKUP(H741,'Equipment List'!$B$12:$F$96,5,FALSE)="Depreciated","Depreciated",VLOOKUP(H741,'Equipment List'!$B$12:$F$96,5,FALSE)*I741*J741))))</f>
        <v xml:space="preserve"> </v>
      </c>
      <c r="L741" s="382" t="str">
        <f>IF(K741=" "," ",IF(K741="Grant",0,IF(K741="Depreciated",0,IF('kt info'!$G$49=0,"No Service Frequency",K741/'kt info'!$G$49))))</f>
        <v xml:space="preserve"> </v>
      </c>
    </row>
    <row r="742" spans="1:14" x14ac:dyDescent="0.35">
      <c r="A742" s="100">
        <v>11</v>
      </c>
      <c r="B742" s="433"/>
      <c r="C742" s="431"/>
      <c r="D742" s="432">
        <f>IF(B742=0,0,VLOOKUP(B742,Supplies!$B$13:$C$97,2,FALSE))</f>
        <v>0</v>
      </c>
      <c r="E742" s="385">
        <f t="shared" si="80"/>
        <v>0</v>
      </c>
    </row>
    <row r="743" spans="1:14" ht="15" thickBot="1" x14ac:dyDescent="0.4">
      <c r="A743" s="100">
        <v>12</v>
      </c>
      <c r="B743" s="437"/>
      <c r="C743" s="414"/>
      <c r="D743" s="415">
        <f>IF(B743=0,0,VLOOKUP(B743,Supplies!$B$13:$C$97,2,FALSE))</f>
        <v>0</v>
      </c>
      <c r="E743" s="385">
        <f t="shared" si="80"/>
        <v>0</v>
      </c>
      <c r="H743" s="817" t="s">
        <v>200</v>
      </c>
      <c r="I743" s="816"/>
      <c r="J743" s="354"/>
      <c r="K743" s="354"/>
      <c r="L743" s="354"/>
      <c r="M743" s="354"/>
    </row>
    <row r="744" spans="1:14" x14ac:dyDescent="0.35">
      <c r="A744" s="100">
        <v>13</v>
      </c>
      <c r="B744" s="437"/>
      <c r="C744" s="414"/>
      <c r="D744" s="415">
        <f>IF(B744=0,0,VLOOKUP(B744,Supplies!$B$13:$C$97,2,FALSE))</f>
        <v>0</v>
      </c>
      <c r="E744" s="385">
        <f t="shared" si="80"/>
        <v>0</v>
      </c>
      <c r="H744" s="441" t="s">
        <v>159</v>
      </c>
      <c r="I744" s="4" t="s">
        <v>92</v>
      </c>
      <c r="J744" s="4" t="s">
        <v>300</v>
      </c>
      <c r="K744" s="350" t="s">
        <v>93</v>
      </c>
      <c r="L744" s="4" t="s">
        <v>12</v>
      </c>
      <c r="M744" s="4" t="s">
        <v>12</v>
      </c>
      <c r="N744" s="481"/>
    </row>
    <row r="745" spans="1:14" ht="15" thickBot="1" x14ac:dyDescent="0.4">
      <c r="A745" s="100">
        <v>14</v>
      </c>
      <c r="B745" s="437"/>
      <c r="C745" s="414"/>
      <c r="D745" s="415">
        <f>IF(B745=0,0,VLOOKUP(B745,Supplies!$B$13:$C$97,2,FALSE))</f>
        <v>0</v>
      </c>
      <c r="E745" s="385">
        <f t="shared" si="80"/>
        <v>0</v>
      </c>
      <c r="H745" s="305" t="s">
        <v>13</v>
      </c>
      <c r="I745" s="5" t="s">
        <v>301</v>
      </c>
      <c r="J745" s="5" t="s">
        <v>169</v>
      </c>
      <c r="K745" s="354" t="s">
        <v>94</v>
      </c>
      <c r="L745" s="5" t="s">
        <v>302</v>
      </c>
      <c r="M745" s="5" t="s">
        <v>240</v>
      </c>
      <c r="N745" s="481"/>
    </row>
    <row r="746" spans="1:14" ht="15" thickBot="1" x14ac:dyDescent="0.4">
      <c r="A746" s="100">
        <v>15</v>
      </c>
      <c r="B746" s="439"/>
      <c r="C746" s="442"/>
      <c r="D746" s="443">
        <f>IF(B746=0,0,VLOOKUP(B746,Supplies!$B$13:$C$97,2,FALSE))</f>
        <v>0</v>
      </c>
      <c r="E746" s="377">
        <f t="shared" si="80"/>
        <v>0</v>
      </c>
      <c r="G746" s="393"/>
      <c r="H746" s="258"/>
      <c r="I746" s="444"/>
      <c r="J746" s="445"/>
      <c r="K746" s="446">
        <f>IF(H746=0,0,VLOOKUP(H746,Transportation!$B$6:$L$16,11,FALSE))</f>
        <v>0</v>
      </c>
      <c r="L746" s="447">
        <f>IF(I746=0,0,I746*K746)</f>
        <v>0</v>
      </c>
      <c r="M746" s="448">
        <f>IF(I746=0,0,I746*K746*J746)</f>
        <v>0</v>
      </c>
      <c r="N746" s="487"/>
    </row>
    <row r="747" spans="1:14" ht="15" thickBot="1" x14ac:dyDescent="0.4">
      <c r="A747" s="100">
        <v>16</v>
      </c>
      <c r="B747" s="433"/>
      <c r="C747" s="449"/>
      <c r="D747" s="450">
        <f>IF(B747=0,0,VLOOKUP(B747,Supplies!$B$13:$C$97,2,FALSE))</f>
        <v>0</v>
      </c>
      <c r="E747" s="385">
        <f t="shared" si="80"/>
        <v>0</v>
      </c>
      <c r="H747" s="259"/>
      <c r="I747" s="451"/>
      <c r="J747" s="452"/>
      <c r="K747" s="453">
        <f>IF(H747=0,0,VLOOKUP(H747,Transportation!$B$6:$L$16,11,FALSE))</f>
        <v>0</v>
      </c>
      <c r="L747" s="454">
        <f>IF(I747=0,0,I747*K747)</f>
        <v>0</v>
      </c>
      <c r="M747" s="455">
        <f>IF(I747=0,0,I747*K747*J747)</f>
        <v>0</v>
      </c>
      <c r="N747" s="487"/>
    </row>
    <row r="748" spans="1:14" x14ac:dyDescent="0.35">
      <c r="A748" s="100">
        <v>17</v>
      </c>
      <c r="B748" s="437"/>
      <c r="C748" s="456"/>
      <c r="D748" s="457">
        <f>IF(B748=0,0,VLOOKUP(B748,Supplies!$B$13:$C$97,2,FALSE))</f>
        <v>0</v>
      </c>
      <c r="E748" s="385">
        <f>IF(D748=" "," ",D748*C748)</f>
        <v>0</v>
      </c>
      <c r="H748" s="260"/>
      <c r="I748" s="458"/>
      <c r="J748" s="459"/>
      <c r="K748" s="460"/>
      <c r="L748" s="460"/>
      <c r="M748" s="460"/>
      <c r="N748" s="483"/>
    </row>
    <row r="749" spans="1:14" ht="15" thickBot="1" x14ac:dyDescent="0.4">
      <c r="A749" s="100">
        <v>18</v>
      </c>
      <c r="B749" s="437"/>
      <c r="C749" s="456"/>
      <c r="D749" s="457">
        <f>IF(B749=0,0,VLOOKUP(B749,Supplies!$B$13:$C$97,2,FALSE))</f>
        <v>0</v>
      </c>
      <c r="E749" s="385">
        <f>IF(D749=" "," ",D749*C749)</f>
        <v>0</v>
      </c>
      <c r="H749" s="461" t="s">
        <v>201</v>
      </c>
      <c r="I749" s="462"/>
      <c r="J749" s="463"/>
      <c r="K749" s="464"/>
      <c r="L749" s="464"/>
      <c r="M749" s="464"/>
      <c r="N749" s="483"/>
    </row>
    <row r="750" spans="1:14" x14ac:dyDescent="0.35">
      <c r="A750" s="100">
        <v>19</v>
      </c>
      <c r="B750" s="437"/>
      <c r="C750" s="456"/>
      <c r="D750" s="457">
        <f>IF(B750=0,0,VLOOKUP(B750,Supplies!$B$13:$C$97,2,FALSE))</f>
        <v>0</v>
      </c>
      <c r="E750" s="385">
        <f>IF(D750=" "," ",D750*C750)</f>
        <v>0</v>
      </c>
      <c r="H750" s="465" t="s">
        <v>202</v>
      </c>
      <c r="I750" s="466" t="s">
        <v>204</v>
      </c>
      <c r="J750" s="463"/>
      <c r="K750" s="464"/>
      <c r="L750" s="464"/>
      <c r="M750" s="464"/>
      <c r="N750" s="483"/>
    </row>
    <row r="751" spans="1:14" ht="15" thickBot="1" x14ac:dyDescent="0.4">
      <c r="A751" s="100">
        <v>20</v>
      </c>
      <c r="B751" s="439"/>
      <c r="C751" s="442"/>
      <c r="D751" s="443">
        <f>IF(B751=0,0,VLOOKUP(B751,Supplies!$B$13:$C$97,2,FALSE))</f>
        <v>0</v>
      </c>
      <c r="E751" s="377">
        <f>IF(D751=" "," ",D751*C751)</f>
        <v>0</v>
      </c>
      <c r="H751" s="467"/>
      <c r="I751" s="484" t="str">
        <f>IF(H751=0," ",VLOOKUP(H751,Subcontractors!$B$15:$E$25,4))</f>
        <v xml:space="preserve"> </v>
      </c>
      <c r="J751" s="463"/>
      <c r="K751" s="464"/>
      <c r="L751" s="464"/>
      <c r="M751" s="464"/>
    </row>
    <row r="752" spans="1:14" ht="15" thickBot="1" x14ac:dyDescent="0.4">
      <c r="A752" s="100"/>
      <c r="B752" s="335"/>
      <c r="C752" s="485"/>
      <c r="D752" s="397"/>
      <c r="E752" s="397"/>
      <c r="H752" s="469"/>
      <c r="I752" s="486" t="str">
        <f>IF(H752=0," ",VLOOKUP(H752,Subcontractors!$B$15:$E$25,4))</f>
        <v xml:space="preserve"> </v>
      </c>
    </row>
    <row r="753" spans="1:14" x14ac:dyDescent="0.35">
      <c r="A753" s="100"/>
      <c r="B753" s="335"/>
      <c r="C753" s="485"/>
      <c r="D753" s="397"/>
      <c r="E753" s="397"/>
      <c r="H753" s="473"/>
      <c r="I753" s="404"/>
    </row>
    <row r="754" spans="1:14" ht="21" x14ac:dyDescent="0.35">
      <c r="A754" s="818" t="s">
        <v>191</v>
      </c>
      <c r="B754" s="819"/>
      <c r="C754" s="819"/>
      <c r="D754" s="819"/>
      <c r="E754" s="819"/>
      <c r="F754" s="819"/>
      <c r="G754" s="150" t="str">
        <f>'kt info'!B51</f>
        <v>Enter Periodical Service 6</v>
      </c>
      <c r="H754" s="307"/>
      <c r="I754" s="261"/>
      <c r="J754" s="149"/>
      <c r="K754" s="149"/>
      <c r="L754" s="149"/>
      <c r="M754" s="149"/>
      <c r="N754" s="149"/>
    </row>
    <row r="755" spans="1:14" ht="18.5" x14ac:dyDescent="0.35">
      <c r="A755" s="818" t="s">
        <v>193</v>
      </c>
      <c r="B755" s="818"/>
      <c r="C755" s="818"/>
      <c r="D755" s="818"/>
      <c r="E755" s="818"/>
      <c r="F755" s="818"/>
      <c r="G755" s="150" t="str">
        <f>'kt info'!B53</f>
        <v>Enter Periodical Service 7</v>
      </c>
      <c r="H755" s="301"/>
      <c r="I755" s="150"/>
      <c r="J755" s="150"/>
      <c r="K755" s="150"/>
      <c r="L755" s="150"/>
      <c r="M755" s="150"/>
      <c r="N755" s="150"/>
    </row>
    <row r="757" spans="1:14" x14ac:dyDescent="0.35">
      <c r="B757" s="222" t="s">
        <v>109</v>
      </c>
      <c r="C757" s="741">
        <f>'kt info'!$C$3</f>
        <v>0</v>
      </c>
      <c r="D757" s="824"/>
      <c r="E757" s="824"/>
      <c r="F757" s="825"/>
      <c r="H757" s="333"/>
      <c r="J757" s="811" t="s">
        <v>170</v>
      </c>
      <c r="K757" s="708"/>
      <c r="L757" s="708"/>
      <c r="M757" s="708"/>
    </row>
    <row r="758" spans="1:14" x14ac:dyDescent="0.35">
      <c r="C758" s="300"/>
      <c r="D758" s="100"/>
      <c r="E758" s="100"/>
      <c r="F758" s="100"/>
      <c r="I758" s="329"/>
      <c r="J758" s="329" t="str">
        <f>$B$10</f>
        <v>All Carpets</v>
      </c>
      <c r="L758" s="336" t="str">
        <f>$B$415</f>
        <v>Enter Periodical Service 1</v>
      </c>
    </row>
    <row r="759" spans="1:14" x14ac:dyDescent="0.35">
      <c r="B759" s="222" t="s">
        <v>110</v>
      </c>
      <c r="C759" s="741">
        <f>'kt info'!$C$5</f>
        <v>0</v>
      </c>
      <c r="D759" s="824"/>
      <c r="E759" s="824"/>
      <c r="F759" s="825"/>
      <c r="J759" s="329" t="str">
        <f>$B$67</f>
        <v>High Traffic Carpet</v>
      </c>
      <c r="L759" s="336" t="str">
        <f>$B$473</f>
        <v>Enter Periodical Service 2</v>
      </c>
    </row>
    <row r="760" spans="1:14" x14ac:dyDescent="0.35">
      <c r="C760" s="300"/>
      <c r="D760" s="100"/>
      <c r="E760" s="100"/>
      <c r="F760" s="100"/>
      <c r="J760" s="329" t="str">
        <f>$B$125</f>
        <v>Hard Floor Strip and Wax</v>
      </c>
      <c r="L760" s="336" t="str">
        <f>$B$531</f>
        <v>Enter Periodical Service 3</v>
      </c>
    </row>
    <row r="761" spans="1:14" x14ac:dyDescent="0.35">
      <c r="B761" s="222" t="s">
        <v>135</v>
      </c>
      <c r="C761" s="741">
        <f>'kt info'!$C$7</f>
        <v>0</v>
      </c>
      <c r="D761" s="824"/>
      <c r="E761" s="824"/>
      <c r="F761" s="825"/>
      <c r="J761" s="329" t="str">
        <f>$B$183</f>
        <v>Hard Floor Scrub and Seal</v>
      </c>
      <c r="L761" s="336" t="str">
        <f>$B$589</f>
        <v>Enter Periodical Service 4</v>
      </c>
    </row>
    <row r="762" spans="1:14" x14ac:dyDescent="0.35">
      <c r="J762" s="336" t="str">
        <f>$B$241</f>
        <v>Window Washing</v>
      </c>
      <c r="L762" s="336" t="str">
        <f>$B$647</f>
        <v>Enter Periodical Service 5</v>
      </c>
    </row>
    <row r="763" spans="1:14" ht="18.5" x14ac:dyDescent="0.35">
      <c r="A763" s="337"/>
      <c r="B763" s="490" t="str">
        <f>'kt info'!B53</f>
        <v>Enter Periodical Service 7</v>
      </c>
      <c r="C763" s="339"/>
      <c r="D763" s="337"/>
      <c r="E763" s="337"/>
      <c r="F763" s="337"/>
      <c r="G763" s="337"/>
      <c r="H763" s="302" t="s">
        <v>77</v>
      </c>
      <c r="I763" s="236" t="s">
        <v>238</v>
      </c>
      <c r="J763" s="336" t="str">
        <f>$B$299</f>
        <v>Clean Chairs</v>
      </c>
      <c r="L763" s="336" t="str">
        <f>$B$705</f>
        <v>Enter Periodical Service 6</v>
      </c>
      <c r="M763" s="337"/>
      <c r="N763" s="337"/>
    </row>
    <row r="764" spans="1:14" x14ac:dyDescent="0.35">
      <c r="G764" s="178" t="s">
        <v>79</v>
      </c>
      <c r="H764" s="341">
        <f>IF(SUM(M776:M785)&gt;0,SUM(M776:M785)/'kt info'!$G$53,0)</f>
        <v>0</v>
      </c>
      <c r="I764" s="342">
        <f>H764*'kt info'!$G$53</f>
        <v>0</v>
      </c>
      <c r="J764" s="336" t="str">
        <f>$B$357</f>
        <v>High Dusting</v>
      </c>
      <c r="L764" s="336" t="str">
        <f>$B$763</f>
        <v>Enter Periodical Service 7</v>
      </c>
    </row>
    <row r="765" spans="1:14" x14ac:dyDescent="0.35">
      <c r="B765" s="343" t="s">
        <v>78</v>
      </c>
      <c r="G765" s="178" t="s">
        <v>189</v>
      </c>
      <c r="H765" s="344">
        <f>IF(SUM(K776:K785)&gt;0,SUM(K776:K785),0)</f>
        <v>0</v>
      </c>
      <c r="I765" s="345">
        <f>H765*'kt info'!$G$53</f>
        <v>0</v>
      </c>
      <c r="J765" s="336"/>
      <c r="L765" s="336" t="str">
        <f>$B$821</f>
        <v>Enter Periodical Service 8</v>
      </c>
    </row>
    <row r="766" spans="1:14" x14ac:dyDescent="0.35">
      <c r="B766" s="177" t="s">
        <v>96</v>
      </c>
      <c r="C766" s="346">
        <f>'kt info'!E53</f>
        <v>0</v>
      </c>
      <c r="G766" s="178" t="s">
        <v>80</v>
      </c>
      <c r="H766" s="344">
        <f>IF(SUM(E790:E809)&gt;0,SUM(E790:E809),0)</f>
        <v>0</v>
      </c>
      <c r="I766" s="345">
        <f>H766*'kt info'!$G$53</f>
        <v>0</v>
      </c>
      <c r="J766" s="336"/>
      <c r="L766" s="336" t="str">
        <f>$B$879</f>
        <v>Enter Periodical Service 9</v>
      </c>
    </row>
    <row r="767" spans="1:14" x14ac:dyDescent="0.35">
      <c r="G767" s="178" t="s">
        <v>81</v>
      </c>
      <c r="H767" s="344">
        <f>IF(SUM(L790:L799)&gt;0,SUM(L790:L799),0)</f>
        <v>0</v>
      </c>
      <c r="I767" s="345">
        <f>H767*'kt info'!$G$53</f>
        <v>0</v>
      </c>
      <c r="J767" s="336"/>
      <c r="L767" s="336" t="str">
        <f>$B$937</f>
        <v>Enter Periodical Service 10</v>
      </c>
    </row>
    <row r="768" spans="1:14" x14ac:dyDescent="0.35">
      <c r="B768" s="177" t="s">
        <v>98</v>
      </c>
      <c r="C768" s="347">
        <f>ROUND(IF(SUM(H765:H771)&gt;0,SUM(H765:H771),0),0)</f>
        <v>0</v>
      </c>
      <c r="G768" s="178" t="s">
        <v>89</v>
      </c>
      <c r="H768" s="344">
        <f>IF(SUM(J803:J807)&gt;0,SUM(L803:L807),0)</f>
        <v>0</v>
      </c>
      <c r="I768" s="345">
        <f>H768*'kt info'!$G$53</f>
        <v>0</v>
      </c>
      <c r="J768" s="329"/>
      <c r="K768" s="336"/>
    </row>
    <row r="769" spans="1:14" x14ac:dyDescent="0.35">
      <c r="G769" s="178" t="s">
        <v>201</v>
      </c>
      <c r="H769" s="344">
        <f>IF(SUM(I809:I810)=0,0,SUM(I809:I810))</f>
        <v>0</v>
      </c>
      <c r="I769" s="345">
        <f>H769*'kt info'!$G$53</f>
        <v>0</v>
      </c>
      <c r="K769" s="336"/>
    </row>
    <row r="770" spans="1:14" x14ac:dyDescent="0.35">
      <c r="B770" s="177" t="s">
        <v>97</v>
      </c>
      <c r="C770" s="347">
        <f>IF(C766&gt;0,C768/C766,0)</f>
        <v>0</v>
      </c>
      <c r="G770" s="178" t="s">
        <v>87</v>
      </c>
      <c r="H770" s="344">
        <f>IF('Overhead &amp; Margin'!$D$10&gt;0,((H765+H766+H767+H768+H769)*'Overhead &amp; Margin'!$D$10/(1-('Overhead &amp; Margin'!$D$10+'Overhead &amp; Margin'!$G$10))),0)</f>
        <v>0</v>
      </c>
      <c r="I770" s="345">
        <f>H770*'kt info'!$G$53</f>
        <v>0</v>
      </c>
      <c r="K770" s="336"/>
    </row>
    <row r="771" spans="1:14" x14ac:dyDescent="0.35">
      <c r="G771" s="178" t="s">
        <v>88</v>
      </c>
      <c r="H771" s="344">
        <f>IF('Overhead &amp; Margin'!$G$10=0,0,'Overhead &amp; Margin'!$G$10*(H765+H766+H767+H768+H769)/(1-('Overhead &amp; Margin'!$D$10+'Overhead &amp; Margin'!$G$10)))</f>
        <v>0</v>
      </c>
      <c r="I771" s="345">
        <f>H771*'kt info'!$G$53</f>
        <v>0</v>
      </c>
    </row>
    <row r="772" spans="1:14" x14ac:dyDescent="0.35">
      <c r="M772" s="605" t="str">
        <f>'kt info'!$B$12</f>
        <v>Form date: 10/24/25</v>
      </c>
    </row>
    <row r="773" spans="1:14" ht="15" thickBot="1" x14ac:dyDescent="0.4">
      <c r="B773" s="348" t="s">
        <v>104</v>
      </c>
    </row>
    <row r="774" spans="1:14" x14ac:dyDescent="0.35">
      <c r="B774" s="84" t="s">
        <v>18</v>
      </c>
      <c r="C774" s="349" t="s">
        <v>19</v>
      </c>
      <c r="D774" s="350" t="s">
        <v>25</v>
      </c>
      <c r="E774" s="350" t="s">
        <v>20</v>
      </c>
      <c r="F774" s="826" t="s">
        <v>22</v>
      </c>
      <c r="G774" s="826"/>
      <c r="H774" s="351" t="s">
        <v>23</v>
      </c>
      <c r="I774" s="350" t="s">
        <v>21</v>
      </c>
      <c r="J774" s="350" t="s">
        <v>24</v>
      </c>
      <c r="K774" s="350" t="s">
        <v>77</v>
      </c>
      <c r="L774" s="352" t="s">
        <v>26</v>
      </c>
      <c r="M774" s="4" t="s">
        <v>27</v>
      </c>
      <c r="N774" s="4" t="s">
        <v>0</v>
      </c>
    </row>
    <row r="775" spans="1:14" ht="15" thickBot="1" x14ac:dyDescent="0.4">
      <c r="B775" s="22" t="s">
        <v>306</v>
      </c>
      <c r="C775" s="353" t="s">
        <v>28</v>
      </c>
      <c r="D775" s="354" t="s">
        <v>33</v>
      </c>
      <c r="E775" s="354" t="s">
        <v>29</v>
      </c>
      <c r="F775" s="827" t="s">
        <v>30</v>
      </c>
      <c r="G775" s="827"/>
      <c r="H775" s="355" t="s">
        <v>31</v>
      </c>
      <c r="I775" s="354"/>
      <c r="J775" s="354" t="s">
        <v>38</v>
      </c>
      <c r="K775" s="354" t="s">
        <v>189</v>
      </c>
      <c r="L775" s="356" t="s">
        <v>0</v>
      </c>
      <c r="M775" s="5" t="s">
        <v>0</v>
      </c>
      <c r="N775" s="5" t="s">
        <v>77</v>
      </c>
    </row>
    <row r="776" spans="1:14" x14ac:dyDescent="0.35">
      <c r="A776" s="100">
        <v>1</v>
      </c>
      <c r="B776" s="474"/>
      <c r="C776" s="358"/>
      <c r="D776" s="359" t="str">
        <f>IF(B776=0," ",'kt info'!$G$53)</f>
        <v xml:space="preserve"> </v>
      </c>
      <c r="E776" s="360" t="str">
        <f>IF(B776=0," ",VLOOKUP(B776,WageBeneTable5[#All],2,FALSE))</f>
        <v xml:space="preserve"> </v>
      </c>
      <c r="F776" s="820">
        <f>IF($E776=" ",0,'Pay &amp; Benefits'!$C$10)</f>
        <v>0</v>
      </c>
      <c r="G776" s="821"/>
      <c r="H776" s="361" t="str">
        <f>IF($E776=" "," ",'Pay &amp; Benefits'!$C$11)</f>
        <v xml:space="preserve"> </v>
      </c>
      <c r="I776" s="362" t="str">
        <f t="shared" ref="I776:I785" si="81">IF(E776=" "," ",0.0765)</f>
        <v xml:space="preserve"> </v>
      </c>
      <c r="J776" s="363" t="str">
        <f>IF(B776=0," ",VLOOKUP(B776,WageBeneTable5[#All],3,FALSE))</f>
        <v xml:space="preserve"> </v>
      </c>
      <c r="K776" s="360" t="str">
        <f t="shared" ref="K776:K785" si="82">IF(B776=0," ",C776*E776*(1+I776+F776+H776+J776))</f>
        <v xml:space="preserve"> </v>
      </c>
      <c r="L776" s="360">
        <f t="shared" ref="L776:L785" si="83">IF(K776=" ",0,K776*D776)</f>
        <v>0</v>
      </c>
      <c r="M776" s="364">
        <f t="shared" ref="M776:M785" si="84">IF(B776=0,0,C776*D776)</f>
        <v>0</v>
      </c>
      <c r="N776" s="365">
        <f t="shared" ref="N776:N785" si="85">IF(L776=0,0,IF(D776=0,0,L776/D776))</f>
        <v>0</v>
      </c>
    </row>
    <row r="777" spans="1:14" x14ac:dyDescent="0.35">
      <c r="A777" s="100">
        <v>2</v>
      </c>
      <c r="B777" s="437"/>
      <c r="C777" s="367"/>
      <c r="D777" s="359" t="str">
        <f>IF(B777=0," ",'kt info'!$G$53)</f>
        <v xml:space="preserve"> </v>
      </c>
      <c r="E777" s="368" t="str">
        <f>IF(B777=0," ",VLOOKUP(B777,WageBeneTable5[#All],2,FALSE))</f>
        <v xml:space="preserve"> </v>
      </c>
      <c r="F777" s="822">
        <f>IF($E777=" ",0,'Pay &amp; Benefits'!$C$10)</f>
        <v>0</v>
      </c>
      <c r="G777" s="823"/>
      <c r="H777" s="369" t="str">
        <f>IF($E777=" "," ",'Pay &amp; Benefits'!$C$11)</f>
        <v xml:space="preserve"> </v>
      </c>
      <c r="I777" s="370" t="str">
        <f t="shared" si="81"/>
        <v xml:space="preserve"> </v>
      </c>
      <c r="J777" s="371" t="str">
        <f>IF(B777=0," ",VLOOKUP(B777,WageBeneTable5[#All],3,FALSE))</f>
        <v xml:space="preserve"> </v>
      </c>
      <c r="K777" s="368" t="str">
        <f t="shared" si="82"/>
        <v xml:space="preserve"> </v>
      </c>
      <c r="L777" s="368">
        <f t="shared" si="83"/>
        <v>0</v>
      </c>
      <c r="M777" s="372">
        <f t="shared" si="84"/>
        <v>0</v>
      </c>
      <c r="N777" s="373">
        <f t="shared" si="85"/>
        <v>0</v>
      </c>
    </row>
    <row r="778" spans="1:14" x14ac:dyDescent="0.35">
      <c r="A778" s="100">
        <v>3</v>
      </c>
      <c r="B778" s="437"/>
      <c r="C778" s="367"/>
      <c r="D778" s="359" t="str">
        <f>IF(B778=0," ",'kt info'!$G$53)</f>
        <v xml:space="preserve"> </v>
      </c>
      <c r="E778" s="368" t="str">
        <f>IF(B778=0," ",VLOOKUP(B778,WageBeneTable5[#All],2,FALSE))</f>
        <v xml:space="preserve"> </v>
      </c>
      <c r="F778" s="822">
        <f>IF($E778=" ",0,'Pay &amp; Benefits'!$C$10)</f>
        <v>0</v>
      </c>
      <c r="G778" s="823"/>
      <c r="H778" s="369" t="str">
        <f>IF($E778=" "," ",'Pay &amp; Benefits'!$C$11)</f>
        <v xml:space="preserve"> </v>
      </c>
      <c r="I778" s="370" t="str">
        <f t="shared" si="81"/>
        <v xml:space="preserve"> </v>
      </c>
      <c r="J778" s="371" t="str">
        <f>IF(B778=0," ",VLOOKUP(B778,WageBeneTable5[#All],3,FALSE))</f>
        <v xml:space="preserve"> </v>
      </c>
      <c r="K778" s="368" t="str">
        <f t="shared" si="82"/>
        <v xml:space="preserve"> </v>
      </c>
      <c r="L778" s="368">
        <f t="shared" si="83"/>
        <v>0</v>
      </c>
      <c r="M778" s="372">
        <f t="shared" si="84"/>
        <v>0</v>
      </c>
      <c r="N778" s="373">
        <f t="shared" si="85"/>
        <v>0</v>
      </c>
    </row>
    <row r="779" spans="1:14" x14ac:dyDescent="0.35">
      <c r="A779" s="100">
        <v>4</v>
      </c>
      <c r="B779" s="437"/>
      <c r="C779" s="367"/>
      <c r="D779" s="359" t="str">
        <f>IF(B779=0," ",'kt info'!$G$53)</f>
        <v xml:space="preserve"> </v>
      </c>
      <c r="E779" s="368" t="str">
        <f>IF(B779=0," ",VLOOKUP(B779,WageBeneTable5[#All],2,FALSE))</f>
        <v xml:space="preserve"> </v>
      </c>
      <c r="F779" s="822">
        <f>IF($E779=" ",0,'Pay &amp; Benefits'!$C$10)</f>
        <v>0</v>
      </c>
      <c r="G779" s="823"/>
      <c r="H779" s="369" t="str">
        <f>IF($E779=" "," ",'Pay &amp; Benefits'!$C$11)</f>
        <v xml:space="preserve"> </v>
      </c>
      <c r="I779" s="370" t="str">
        <f t="shared" si="81"/>
        <v xml:space="preserve"> </v>
      </c>
      <c r="J779" s="371" t="str">
        <f>IF(B779=0," ",VLOOKUP(B779,WageBeneTable5[#All],3,FALSE))</f>
        <v xml:space="preserve"> </v>
      </c>
      <c r="K779" s="368" t="str">
        <f t="shared" si="82"/>
        <v xml:space="preserve"> </v>
      </c>
      <c r="L779" s="368">
        <f t="shared" si="83"/>
        <v>0</v>
      </c>
      <c r="M779" s="372">
        <f t="shared" si="84"/>
        <v>0</v>
      </c>
      <c r="N779" s="373">
        <f t="shared" si="85"/>
        <v>0</v>
      </c>
    </row>
    <row r="780" spans="1:14" ht="15" thickBot="1" x14ac:dyDescent="0.4">
      <c r="A780" s="100">
        <v>5</v>
      </c>
      <c r="B780" s="439"/>
      <c r="C780" s="375"/>
      <c r="D780" s="376" t="str">
        <f>IF(B780=0," ",'kt info'!$G$53)</f>
        <v xml:space="preserve"> </v>
      </c>
      <c r="E780" s="377" t="str">
        <f>IF(B780=0," ",VLOOKUP(B780,WageBeneTable5[#All],2,FALSE))</f>
        <v xml:space="preserve"> </v>
      </c>
      <c r="F780" s="813">
        <f>IF($E780=" ",0,'Pay &amp; Benefits'!$C$10)</f>
        <v>0</v>
      </c>
      <c r="G780" s="814"/>
      <c r="H780" s="378" t="str">
        <f>IF($E780=" "," ",'Pay &amp; Benefits'!$C$11)</f>
        <v xml:space="preserve"> </v>
      </c>
      <c r="I780" s="379" t="str">
        <f t="shared" si="81"/>
        <v xml:space="preserve"> </v>
      </c>
      <c r="J780" s="380" t="str">
        <f>IF(B780=0," ",VLOOKUP(B780,WageBeneTable5[#All],3,FALSE))</f>
        <v xml:space="preserve"> </v>
      </c>
      <c r="K780" s="377" t="str">
        <f t="shared" si="82"/>
        <v xml:space="preserve"> </v>
      </c>
      <c r="L780" s="377">
        <f t="shared" si="83"/>
        <v>0</v>
      </c>
      <c r="M780" s="381">
        <f t="shared" si="84"/>
        <v>0</v>
      </c>
      <c r="N780" s="382">
        <f t="shared" si="85"/>
        <v>0</v>
      </c>
    </row>
    <row r="781" spans="1:14" x14ac:dyDescent="0.35">
      <c r="A781" s="100">
        <v>6</v>
      </c>
      <c r="B781" s="474"/>
      <c r="C781" s="383"/>
      <c r="D781" s="384" t="str">
        <f>IF(B781=0," ",'kt info'!$G$53)</f>
        <v xml:space="preserve"> </v>
      </c>
      <c r="E781" s="385" t="str">
        <f>IF(B781=0," ",VLOOKUP(B781,WageBeneTable5[#All],2,FALSE))</f>
        <v xml:space="preserve"> </v>
      </c>
      <c r="F781" s="820">
        <f>IF($E781=" ",0,'Pay &amp; Benefits'!$C$10)</f>
        <v>0</v>
      </c>
      <c r="G781" s="821"/>
      <c r="H781" s="386" t="str">
        <f>IF($E781=" "," ",'Pay &amp; Benefits'!$C$11)</f>
        <v xml:space="preserve"> </v>
      </c>
      <c r="I781" s="387" t="str">
        <f t="shared" si="81"/>
        <v xml:space="preserve"> </v>
      </c>
      <c r="J781" s="388" t="str">
        <f>IF(B781=0," ",VLOOKUP(B781,WageBeneTable5[#All],3,FALSE))</f>
        <v xml:space="preserve"> </v>
      </c>
      <c r="K781" s="385" t="str">
        <f t="shared" si="82"/>
        <v xml:space="preserve"> </v>
      </c>
      <c r="L781" s="385">
        <f t="shared" si="83"/>
        <v>0</v>
      </c>
      <c r="M781" s="389">
        <f t="shared" si="84"/>
        <v>0</v>
      </c>
      <c r="N781" s="390">
        <f t="shared" si="85"/>
        <v>0</v>
      </c>
    </row>
    <row r="782" spans="1:14" x14ac:dyDescent="0.35">
      <c r="A782" s="100">
        <v>7</v>
      </c>
      <c r="B782" s="437"/>
      <c r="C782" s="367"/>
      <c r="D782" s="384" t="str">
        <f>IF(B782=0," ",'kt info'!$G$53)</f>
        <v xml:space="preserve"> </v>
      </c>
      <c r="E782" s="385" t="str">
        <f>IF(B782=0," ",VLOOKUP(B782,WageBeneTable5[#All],2,FALSE))</f>
        <v xml:space="preserve"> </v>
      </c>
      <c r="F782" s="822">
        <f>IF($E782=" ",0,'Pay &amp; Benefits'!$C$10)</f>
        <v>0</v>
      </c>
      <c r="G782" s="823"/>
      <c r="H782" s="386" t="str">
        <f>IF($E782=" "," ",'Pay &amp; Benefits'!$C$11)</f>
        <v xml:space="preserve"> </v>
      </c>
      <c r="I782" s="387" t="str">
        <f t="shared" si="81"/>
        <v xml:space="preserve"> </v>
      </c>
      <c r="J782" s="388" t="str">
        <f>IF(B782=0," ",VLOOKUP(B782,WageBeneTable5[#All],3,FALSE))</f>
        <v xml:space="preserve"> </v>
      </c>
      <c r="K782" s="385" t="str">
        <f t="shared" si="82"/>
        <v xml:space="preserve"> </v>
      </c>
      <c r="L782" s="385">
        <f t="shared" si="83"/>
        <v>0</v>
      </c>
      <c r="M782" s="389">
        <f t="shared" si="84"/>
        <v>0</v>
      </c>
      <c r="N782" s="390">
        <f t="shared" si="85"/>
        <v>0</v>
      </c>
    </row>
    <row r="783" spans="1:14" x14ac:dyDescent="0.35">
      <c r="A783" s="100">
        <v>8</v>
      </c>
      <c r="B783" s="437"/>
      <c r="C783" s="367"/>
      <c r="D783" s="384" t="str">
        <f>IF(B783=0," ",'kt info'!$G$53)</f>
        <v xml:space="preserve"> </v>
      </c>
      <c r="E783" s="385" t="str">
        <f>IF(B783=0," ",VLOOKUP(B783,WageBeneTable5[#All],2,FALSE))</f>
        <v xml:space="preserve"> </v>
      </c>
      <c r="F783" s="822">
        <f>IF($E783=" ",0,'Pay &amp; Benefits'!$C$10)</f>
        <v>0</v>
      </c>
      <c r="G783" s="823"/>
      <c r="H783" s="386" t="str">
        <f>IF($E783=" "," ",'Pay &amp; Benefits'!$C$11)</f>
        <v xml:space="preserve"> </v>
      </c>
      <c r="I783" s="387" t="str">
        <f t="shared" si="81"/>
        <v xml:space="preserve"> </v>
      </c>
      <c r="J783" s="388" t="str">
        <f>IF(B783=0," ",VLOOKUP(B783,WageBeneTable5[#All],3,FALSE))</f>
        <v xml:space="preserve"> </v>
      </c>
      <c r="K783" s="385" t="str">
        <f t="shared" si="82"/>
        <v xml:space="preserve"> </v>
      </c>
      <c r="L783" s="385">
        <f t="shared" si="83"/>
        <v>0</v>
      </c>
      <c r="M783" s="389">
        <f t="shared" si="84"/>
        <v>0</v>
      </c>
      <c r="N783" s="390">
        <f t="shared" si="85"/>
        <v>0</v>
      </c>
    </row>
    <row r="784" spans="1:14" x14ac:dyDescent="0.35">
      <c r="A784" s="100">
        <v>9</v>
      </c>
      <c r="B784" s="437"/>
      <c r="C784" s="367"/>
      <c r="D784" s="384" t="str">
        <f>IF(B784=0," ",'kt info'!$G$53)</f>
        <v xml:space="preserve"> </v>
      </c>
      <c r="E784" s="385" t="str">
        <f>IF(B784=0," ",VLOOKUP(B784,WageBeneTable5[#All],2,FALSE))</f>
        <v xml:space="preserve"> </v>
      </c>
      <c r="F784" s="822">
        <f>IF($E784=" ",0,'Pay &amp; Benefits'!$C$10)</f>
        <v>0</v>
      </c>
      <c r="G784" s="823"/>
      <c r="H784" s="386" t="str">
        <f>IF($E784=" "," ",'Pay &amp; Benefits'!$C$11)</f>
        <v xml:space="preserve"> </v>
      </c>
      <c r="I784" s="387" t="str">
        <f t="shared" si="81"/>
        <v xml:space="preserve"> </v>
      </c>
      <c r="J784" s="388" t="str">
        <f>IF(B784=0," ",VLOOKUP(B784,WageBeneTable5[#All],3,FALSE))</f>
        <v xml:space="preserve"> </v>
      </c>
      <c r="K784" s="385" t="str">
        <f t="shared" si="82"/>
        <v xml:space="preserve"> </v>
      </c>
      <c r="L784" s="385">
        <f t="shared" si="83"/>
        <v>0</v>
      </c>
      <c r="M784" s="389">
        <f t="shared" si="84"/>
        <v>0</v>
      </c>
      <c r="N784" s="390">
        <f t="shared" si="85"/>
        <v>0</v>
      </c>
    </row>
    <row r="785" spans="1:14" ht="15" thickBot="1" x14ac:dyDescent="0.4">
      <c r="A785" s="100">
        <v>10</v>
      </c>
      <c r="B785" s="439"/>
      <c r="C785" s="375"/>
      <c r="D785" s="376" t="str">
        <f>IF(B785=0," ",'kt info'!$G$53)</f>
        <v xml:space="preserve"> </v>
      </c>
      <c r="E785" s="377" t="str">
        <f>IF(B785=0," ",VLOOKUP(B785,WageBeneTable5[#All],2,FALSE))</f>
        <v xml:space="preserve"> </v>
      </c>
      <c r="F785" s="813">
        <f>IF($E785=" ",0,'Pay &amp; Benefits'!$C$10)</f>
        <v>0</v>
      </c>
      <c r="G785" s="814"/>
      <c r="H785" s="378" t="str">
        <f>IF($E785=" "," ",'Pay &amp; Benefits'!$C$11)</f>
        <v xml:space="preserve"> </v>
      </c>
      <c r="I785" s="379" t="str">
        <f t="shared" si="81"/>
        <v xml:space="preserve"> </v>
      </c>
      <c r="J785" s="380" t="str">
        <f>IF(B785=0," ",VLOOKUP(B785,WageBeneTable5[#All],3,FALSE))</f>
        <v xml:space="preserve"> </v>
      </c>
      <c r="K785" s="377" t="str">
        <f t="shared" si="82"/>
        <v xml:space="preserve"> </v>
      </c>
      <c r="L785" s="377">
        <f t="shared" si="83"/>
        <v>0</v>
      </c>
      <c r="M785" s="381">
        <f t="shared" si="84"/>
        <v>0</v>
      </c>
      <c r="N785" s="382">
        <f t="shared" si="85"/>
        <v>0</v>
      </c>
    </row>
    <row r="786" spans="1:14" x14ac:dyDescent="0.35">
      <c r="K786" s="391"/>
      <c r="L786" s="392"/>
      <c r="M786" s="393"/>
    </row>
    <row r="787" spans="1:14" ht="15" thickBot="1" x14ac:dyDescent="0.4">
      <c r="B787" s="394" t="s">
        <v>203</v>
      </c>
      <c r="E787" s="395"/>
      <c r="H787" s="815" t="s">
        <v>199</v>
      </c>
      <c r="I787" s="816"/>
      <c r="M787" s="475"/>
      <c r="N787" s="100"/>
    </row>
    <row r="788" spans="1:14" x14ac:dyDescent="0.35">
      <c r="B788" s="32" t="s">
        <v>123</v>
      </c>
      <c r="C788" s="398" t="s">
        <v>239</v>
      </c>
      <c r="D788" s="399" t="s">
        <v>9</v>
      </c>
      <c r="E788" s="400" t="s">
        <v>83</v>
      </c>
      <c r="H788" s="303" t="s">
        <v>15</v>
      </c>
      <c r="I788" s="4" t="s">
        <v>85</v>
      </c>
      <c r="J788" s="4" t="s">
        <v>16</v>
      </c>
      <c r="K788" s="4" t="s">
        <v>241</v>
      </c>
      <c r="L788" s="4" t="s">
        <v>83</v>
      </c>
      <c r="M788" s="476"/>
      <c r="N788" s="477"/>
    </row>
    <row r="789" spans="1:14" ht="15" thickBot="1" x14ac:dyDescent="0.4">
      <c r="B789" s="33" t="s">
        <v>124</v>
      </c>
      <c r="C789" s="401" t="s">
        <v>84</v>
      </c>
      <c r="D789" s="402" t="s">
        <v>10</v>
      </c>
      <c r="E789" s="403" t="s">
        <v>84</v>
      </c>
      <c r="H789" s="304" t="s">
        <v>13</v>
      </c>
      <c r="I789" s="5" t="s">
        <v>86</v>
      </c>
      <c r="J789" s="5" t="s">
        <v>17</v>
      </c>
      <c r="K789" s="5" t="s">
        <v>12</v>
      </c>
      <c r="L789" s="5" t="s">
        <v>84</v>
      </c>
      <c r="M789" s="478"/>
      <c r="N789" s="479"/>
    </row>
    <row r="790" spans="1:14" x14ac:dyDescent="0.35">
      <c r="A790" s="100">
        <v>1</v>
      </c>
      <c r="B790" s="474"/>
      <c r="C790" s="406"/>
      <c r="D790" s="407">
        <f>IF(B790=0,0,VLOOKUP(B790,Supplies!$B$13:$C$97,2,FALSE))</f>
        <v>0</v>
      </c>
      <c r="E790" s="360">
        <f>IF(D790=" "," ",D790*C790)</f>
        <v>0</v>
      </c>
      <c r="G790" s="100">
        <v>1</v>
      </c>
      <c r="H790" s="408"/>
      <c r="I790" s="409"/>
      <c r="J790" s="410"/>
      <c r="K790" s="331" t="str">
        <f>IF(H790=0," ",IF(VLOOKUP(H790,'Equipment List'!$B$12:$F$96,5,FALSE)=0,0,IF(VLOOKUP(H790,'Equipment List'!$B$12:$F$96,5,FALSE)="Grant","Grant",IF(VLOOKUP(H790,'Equipment List'!$B$12:$F$96,5,FALSE)="Depreciated","Depreciated",VLOOKUP(H790,'Equipment List'!$B$12:$F$96,5,FALSE)*I790*J790))))</f>
        <v xml:space="preserve"> </v>
      </c>
      <c r="L790" s="365" t="str">
        <f>IF(K790=" "," ",IF(K790="Grant",0,IF(K790="Depreciated",0,IF('kt info'!$G$53=0,"No Service Frequency",K790/'kt info'!$G$53))))</f>
        <v xml:space="preserve"> </v>
      </c>
      <c r="M790" s="480"/>
      <c r="N790" s="404"/>
    </row>
    <row r="791" spans="1:14" x14ac:dyDescent="0.35">
      <c r="A791" s="100">
        <v>2</v>
      </c>
      <c r="B791" s="437"/>
      <c r="C791" s="414"/>
      <c r="D791" s="415">
        <f>IF(B791=0,0,VLOOKUP(B791,Supplies!$B$13:$C$97,2,FALSE))</f>
        <v>0</v>
      </c>
      <c r="E791" s="385">
        <f t="shared" ref="E791:E805" si="86">IF(D791=" "," ",D791*C791)</f>
        <v>0</v>
      </c>
      <c r="G791" s="100">
        <v>2</v>
      </c>
      <c r="H791" s="416"/>
      <c r="I791" s="417"/>
      <c r="J791" s="418"/>
      <c r="K791" s="421" t="str">
        <f>IF(H791=0," ",IF(VLOOKUP(H791,'Equipment List'!$B$12:$F$96,5,FALSE)=0,0,IF(VLOOKUP(H791,'Equipment List'!$B$12:$F$96,5,FALSE)="Grant","Grant",IF(VLOOKUP(H791,'Equipment List'!$B$12:$F$96,5,FALSE)="Depreciated","Depreciated",VLOOKUP(H791,'Equipment List'!$B$12:$F$96,5,FALSE)*I791*J791))))</f>
        <v xml:space="preserve"> </v>
      </c>
      <c r="L791" s="390" t="str">
        <f>IF(K791=" "," ",IF(K791="Grant",0,IF(K791="Depreciated",0,IF('kt info'!$G$53=0,"No Service Frequency",K791/'kt info'!$G$53))))</f>
        <v xml:space="preserve"> </v>
      </c>
    </row>
    <row r="792" spans="1:14" x14ac:dyDescent="0.35">
      <c r="A792" s="100">
        <v>3</v>
      </c>
      <c r="B792" s="437"/>
      <c r="C792" s="414"/>
      <c r="D792" s="415">
        <f>IF(B792=0,0,VLOOKUP(B792,Supplies!$B$13:$C$97,2,FALSE))</f>
        <v>0</v>
      </c>
      <c r="E792" s="385">
        <f t="shared" si="86"/>
        <v>0</v>
      </c>
      <c r="G792" s="100">
        <v>3</v>
      </c>
      <c r="H792" s="416"/>
      <c r="I792" s="417"/>
      <c r="J792" s="418"/>
      <c r="K792" s="421" t="str">
        <f>IF(H792=0," ",IF(VLOOKUP(H792,'Equipment List'!$B$12:$F$96,5,FALSE)=0,0,IF(VLOOKUP(H792,'Equipment List'!$B$12:$F$96,5,FALSE)="Grant","Grant",IF(VLOOKUP(H792,'Equipment List'!$B$12:$F$96,5,FALSE)="Depreciated","Depreciated",VLOOKUP(H792,'Equipment List'!$B$12:$F$96,5,FALSE)*I792*J792))))</f>
        <v xml:space="preserve"> </v>
      </c>
      <c r="L792" s="390" t="str">
        <f>IF(K792=" "," ",IF(K792="Grant",0,IF(K792="Depreciated",0,IF('kt info'!$G$53=0,"No Service Frequency",K792/'kt info'!$G$53))))</f>
        <v xml:space="preserve"> </v>
      </c>
    </row>
    <row r="793" spans="1:14" x14ac:dyDescent="0.35">
      <c r="A793" s="100">
        <v>4</v>
      </c>
      <c r="B793" s="437"/>
      <c r="C793" s="414"/>
      <c r="D793" s="415">
        <f>IF(B793=0,0,VLOOKUP(B793,Supplies!$B$13:$C$97,2,FALSE))</f>
        <v>0</v>
      </c>
      <c r="E793" s="385">
        <f t="shared" si="86"/>
        <v>0</v>
      </c>
      <c r="G793" s="100">
        <v>4</v>
      </c>
      <c r="H793" s="416"/>
      <c r="I793" s="417"/>
      <c r="J793" s="418"/>
      <c r="K793" s="421" t="str">
        <f>IF(H793=0," ",IF(VLOOKUP(H793,'Equipment List'!$B$12:$F$96,5,FALSE)=0,0,IF(VLOOKUP(H793,'Equipment List'!$B$12:$F$96,5,FALSE)="Grant","Grant",IF(VLOOKUP(H793,'Equipment List'!$B$12:$F$96,5,FALSE)="Depreciated","Depreciated",VLOOKUP(H793,'Equipment List'!$B$12:$F$96,5,FALSE)*I793*J793))))</f>
        <v xml:space="preserve"> </v>
      </c>
      <c r="L793" s="390" t="str">
        <f>IF(K793=" "," ",IF(K793="Grant",0,IF(K793="Depreciated",0,IF('kt info'!$G$53=0,"No Service Frequency",K793/'kt info'!$G$53))))</f>
        <v xml:space="preserve"> </v>
      </c>
    </row>
    <row r="794" spans="1:14" ht="15" thickBot="1" x14ac:dyDescent="0.4">
      <c r="A794" s="100">
        <v>5</v>
      </c>
      <c r="B794" s="439"/>
      <c r="C794" s="423"/>
      <c r="D794" s="424">
        <f>IF(B794=0,0,VLOOKUP(B794,Supplies!$B$13:$C$97,2,FALSE))</f>
        <v>0</v>
      </c>
      <c r="E794" s="377">
        <f t="shared" si="86"/>
        <v>0</v>
      </c>
      <c r="G794" s="100">
        <v>5</v>
      </c>
      <c r="H794" s="425"/>
      <c r="I794" s="426"/>
      <c r="J794" s="427"/>
      <c r="K794" s="428" t="str">
        <f>IF(H794=0," ",IF(VLOOKUP(H794,'Equipment List'!$B$12:$F$96,5,FALSE)=0,0,IF(VLOOKUP(H794,'Equipment List'!$B$12:$F$96,5,FALSE)="Grant","Grant",IF(VLOOKUP(H794,'Equipment List'!$B$12:$F$96,5,FALSE)="Depreciated","Depreciated",VLOOKUP(H794,'Equipment List'!$B$12:$F$96,5,FALSE)*I794*J794))))</f>
        <v xml:space="preserve"> </v>
      </c>
      <c r="L794" s="382" t="str">
        <f>IF(K794=" "," ",IF(K794="Grant",0,IF(K794="Depreciated",0,IF('kt info'!$G$53=0,"No Service Frequency",K794/'kt info'!$G$53))))</f>
        <v xml:space="preserve"> </v>
      </c>
    </row>
    <row r="795" spans="1:14" x14ac:dyDescent="0.35">
      <c r="A795" s="100">
        <v>6</v>
      </c>
      <c r="B795" s="433"/>
      <c r="C795" s="431"/>
      <c r="D795" s="432">
        <f>IF(B795=0,0,VLOOKUP(B795,Supplies!$B$13:$C$97,2,FALSE))</f>
        <v>0</v>
      </c>
      <c r="E795" s="385">
        <f t="shared" si="86"/>
        <v>0</v>
      </c>
      <c r="G795" s="100">
        <v>6</v>
      </c>
      <c r="H795" s="433"/>
      <c r="I795" s="434"/>
      <c r="J795" s="435"/>
      <c r="K795" s="436" t="str">
        <f>IF(H795=0," ",IF(VLOOKUP(H795,'Equipment List'!$B$12:$F$96,5,FALSE)=0,0,IF(VLOOKUP(H795,'Equipment List'!$B$12:$F$96,5,FALSE)="Grant","Grant",IF(VLOOKUP(H795,'Equipment List'!$B$12:$F$96,5,FALSE)="Depreciated","Depreciated",VLOOKUP(H795,'Equipment List'!$B$12:$F$96,5,FALSE)*I795*J795))))</f>
        <v xml:space="preserve"> </v>
      </c>
      <c r="L795" s="390" t="str">
        <f>IF(K795=" "," ",IF(K795="Grant",0,IF(K795="Depreciated",0,IF('kt info'!$G$53=0,"No Service Frequency",K795/'kt info'!$G$53))))</f>
        <v xml:space="preserve"> </v>
      </c>
    </row>
    <row r="796" spans="1:14" x14ac:dyDescent="0.35">
      <c r="A796" s="100">
        <v>7</v>
      </c>
      <c r="B796" s="437"/>
      <c r="C796" s="414"/>
      <c r="D796" s="415">
        <f>IF(B796=0,0,VLOOKUP(B796,Supplies!$B$13:$C$97,2,FALSE))</f>
        <v>0</v>
      </c>
      <c r="E796" s="385">
        <f t="shared" si="86"/>
        <v>0</v>
      </c>
      <c r="G796" s="100">
        <v>7</v>
      </c>
      <c r="H796" s="437"/>
      <c r="I796" s="417"/>
      <c r="J796" s="418"/>
      <c r="K796" s="438" t="str">
        <f>IF(H796=0," ",IF(VLOOKUP(H796,'Equipment List'!$B$12:$F$96,5,FALSE)=0,0,IF(VLOOKUP(H796,'Equipment List'!$B$12:$F$96,5,FALSE)="Grant","Grant",IF(VLOOKUP(H796,'Equipment List'!$B$12:$F$96,5,FALSE)="Depreciated","Depreciated",VLOOKUP(H796,'Equipment List'!$B$12:$F$96,5,FALSE)*I796*J796))))</f>
        <v xml:space="preserve"> </v>
      </c>
      <c r="L796" s="390" t="str">
        <f>IF(K796=" "," ",IF(K796="Grant",0,IF(K796="Depreciated",0,IF('kt info'!$G$53=0,"No Service Frequency",K796/'kt info'!$G$53))))</f>
        <v xml:space="preserve"> </v>
      </c>
    </row>
    <row r="797" spans="1:14" x14ac:dyDescent="0.35">
      <c r="A797" s="100">
        <v>8</v>
      </c>
      <c r="B797" s="437"/>
      <c r="C797" s="414"/>
      <c r="D797" s="415">
        <f>IF(B797=0,0,VLOOKUP(B797,Supplies!$B$13:$C$97,2,FALSE))</f>
        <v>0</v>
      </c>
      <c r="E797" s="385">
        <f t="shared" si="86"/>
        <v>0</v>
      </c>
      <c r="G797" s="100">
        <v>8</v>
      </c>
      <c r="H797" s="437"/>
      <c r="I797" s="417"/>
      <c r="J797" s="418"/>
      <c r="K797" s="438" t="str">
        <f>IF(H797=0," ",IF(VLOOKUP(H797,'Equipment List'!$B$12:$F$96,5,FALSE)=0,0,IF(VLOOKUP(H797,'Equipment List'!$B$12:$F$96,5,FALSE)="Grant","Grant",IF(VLOOKUP(H797,'Equipment List'!$B$12:$F$96,5,FALSE)="Depreciated","Depreciated",VLOOKUP(H797,'Equipment List'!$B$12:$F$96,5,FALSE)*I797*J797))))</f>
        <v xml:space="preserve"> </v>
      </c>
      <c r="L797" s="390" t="str">
        <f>IF(K797=" "," ",IF(K797="Grant",0,IF(K797="Depreciated",0,IF('kt info'!$G$53=0,"No Service Frequency",K797/'kt info'!$G$53))))</f>
        <v xml:space="preserve"> </v>
      </c>
    </row>
    <row r="798" spans="1:14" x14ac:dyDescent="0.35">
      <c r="A798" s="100">
        <v>9</v>
      </c>
      <c r="B798" s="437"/>
      <c r="C798" s="414"/>
      <c r="D798" s="415">
        <f>IF(B798=0,0,VLOOKUP(B798,Supplies!$B$13:$C$97,2,FALSE))</f>
        <v>0</v>
      </c>
      <c r="E798" s="385">
        <f t="shared" si="86"/>
        <v>0</v>
      </c>
      <c r="G798" s="100">
        <v>9</v>
      </c>
      <c r="H798" s="437"/>
      <c r="I798" s="417"/>
      <c r="J798" s="418"/>
      <c r="K798" s="438" t="str">
        <f>IF(H798=0," ",IF(VLOOKUP(H798,'Equipment List'!$B$12:$F$96,5,FALSE)=0,0,IF(VLOOKUP(H798,'Equipment List'!$B$12:$F$96,5,FALSE)="Grant","Grant",IF(VLOOKUP(H798,'Equipment List'!$B$12:$F$96,5,FALSE)="Depreciated","Depreciated",VLOOKUP(H798,'Equipment List'!$B$12:$F$96,5,FALSE)*I798*J798))))</f>
        <v xml:space="preserve"> </v>
      </c>
      <c r="L798" s="390" t="str">
        <f>IF(K798=" "," ",IF(K798="Grant",0,IF(K798="Depreciated",0,IF('kt info'!$G$53=0,"No Service Frequency",K798/'kt info'!$G$53))))</f>
        <v xml:space="preserve"> </v>
      </c>
    </row>
    <row r="799" spans="1:14" ht="15" thickBot="1" x14ac:dyDescent="0.4">
      <c r="A799" s="100">
        <v>10</v>
      </c>
      <c r="B799" s="439"/>
      <c r="C799" s="423"/>
      <c r="D799" s="424">
        <f>IF(B799=0,0,VLOOKUP(B799,Supplies!$B$13:$C$97,2,FALSE))</f>
        <v>0</v>
      </c>
      <c r="E799" s="377">
        <f t="shared" si="86"/>
        <v>0</v>
      </c>
      <c r="G799" s="100">
        <v>10</v>
      </c>
      <c r="H799" s="439"/>
      <c r="I799" s="426"/>
      <c r="J799" s="427"/>
      <c r="K799" s="440" t="str">
        <f>IF(H799=0," ",IF(VLOOKUP(H799,'Equipment List'!$B$12:$F$96,5,FALSE)=0,0,IF(VLOOKUP(H799,'Equipment List'!$B$12:$F$96,5,FALSE)="Grant","Grant",IF(VLOOKUP(H799,'Equipment List'!$B$12:$F$96,5,FALSE)="Depreciated","Depreciated",VLOOKUP(H799,'Equipment List'!$B$12:$F$96,5,FALSE)*I799*J799))))</f>
        <v xml:space="preserve"> </v>
      </c>
      <c r="L799" s="382" t="str">
        <f>IF(K799=" "," ",IF(K799="Grant",0,IF(K799="Depreciated",0,IF('kt info'!$G$53=0,"No Service Frequency",K799/'kt info'!$G$53))))</f>
        <v xml:space="preserve"> </v>
      </c>
    </row>
    <row r="800" spans="1:14" x14ac:dyDescent="0.35">
      <c r="A800" s="100">
        <v>11</v>
      </c>
      <c r="B800" s="433"/>
      <c r="C800" s="431"/>
      <c r="D800" s="432">
        <f>IF(B800=0,0,VLOOKUP(B800,Supplies!$B$13:$C$97,2,FALSE))</f>
        <v>0</v>
      </c>
      <c r="E800" s="385">
        <f t="shared" si="86"/>
        <v>0</v>
      </c>
    </row>
    <row r="801" spans="1:14" ht="15" thickBot="1" x14ac:dyDescent="0.4">
      <c r="A801" s="100">
        <v>12</v>
      </c>
      <c r="B801" s="437"/>
      <c r="C801" s="414"/>
      <c r="D801" s="415">
        <f>IF(B801=0,0,VLOOKUP(B801,Supplies!$B$13:$C$97,2,FALSE))</f>
        <v>0</v>
      </c>
      <c r="E801" s="385">
        <f t="shared" si="86"/>
        <v>0</v>
      </c>
      <c r="H801" s="817" t="s">
        <v>200</v>
      </c>
      <c r="I801" s="816"/>
      <c r="J801" s="354"/>
      <c r="K801" s="354"/>
      <c r="L801" s="354"/>
      <c r="M801" s="354"/>
    </row>
    <row r="802" spans="1:14" x14ac:dyDescent="0.35">
      <c r="A802" s="100">
        <v>13</v>
      </c>
      <c r="B802" s="437"/>
      <c r="C802" s="414"/>
      <c r="D802" s="415">
        <f>IF(B802=0,0,VLOOKUP(B802,Supplies!$B$13:$C$97,2,FALSE))</f>
        <v>0</v>
      </c>
      <c r="E802" s="385">
        <f t="shared" si="86"/>
        <v>0</v>
      </c>
      <c r="H802" s="441" t="s">
        <v>159</v>
      </c>
      <c r="I802" s="4" t="s">
        <v>92</v>
      </c>
      <c r="J802" s="4" t="s">
        <v>300</v>
      </c>
      <c r="K802" s="350" t="s">
        <v>93</v>
      </c>
      <c r="L802" s="4" t="s">
        <v>12</v>
      </c>
      <c r="M802" s="4" t="s">
        <v>12</v>
      </c>
      <c r="N802" s="481"/>
    </row>
    <row r="803" spans="1:14" ht="15" thickBot="1" x14ac:dyDescent="0.4">
      <c r="A803" s="100">
        <v>14</v>
      </c>
      <c r="B803" s="437"/>
      <c r="C803" s="414"/>
      <c r="D803" s="415">
        <f>IF(B803=0,0,VLOOKUP(B803,Supplies!$B$13:$C$97,2,FALSE))</f>
        <v>0</v>
      </c>
      <c r="E803" s="385">
        <f t="shared" si="86"/>
        <v>0</v>
      </c>
      <c r="H803" s="305" t="s">
        <v>13</v>
      </c>
      <c r="I803" s="5" t="s">
        <v>301</v>
      </c>
      <c r="J803" s="5" t="s">
        <v>169</v>
      </c>
      <c r="K803" s="354" t="s">
        <v>94</v>
      </c>
      <c r="L803" s="5" t="s">
        <v>302</v>
      </c>
      <c r="M803" s="5" t="s">
        <v>240</v>
      </c>
      <c r="N803" s="481"/>
    </row>
    <row r="804" spans="1:14" ht="15" thickBot="1" x14ac:dyDescent="0.4">
      <c r="A804" s="100">
        <v>15</v>
      </c>
      <c r="B804" s="439"/>
      <c r="C804" s="442"/>
      <c r="D804" s="443">
        <f>IF(B804=0,0,VLOOKUP(B804,Supplies!$B$13:$C$97,2,FALSE))</f>
        <v>0</v>
      </c>
      <c r="E804" s="377">
        <f t="shared" si="86"/>
        <v>0</v>
      </c>
      <c r="G804" s="393"/>
      <c r="H804" s="258"/>
      <c r="I804" s="444"/>
      <c r="J804" s="445"/>
      <c r="K804" s="446">
        <f>IF(H804=0,0,VLOOKUP(H804,Transportation!$B$6:$L$16,11,FALSE))</f>
        <v>0</v>
      </c>
      <c r="L804" s="447">
        <f>IF(I804=0,0,I804*K804)</f>
        <v>0</v>
      </c>
      <c r="M804" s="448">
        <f>IF(I804=0,0,I804*K804*J804)</f>
        <v>0</v>
      </c>
      <c r="N804" s="487"/>
    </row>
    <row r="805" spans="1:14" ht="15" thickBot="1" x14ac:dyDescent="0.4">
      <c r="A805" s="100">
        <v>16</v>
      </c>
      <c r="B805" s="433"/>
      <c r="C805" s="449"/>
      <c r="D805" s="450">
        <f>IF(B805=0,0,VLOOKUP(B805,Supplies!$B$13:$C$97,2,FALSE))</f>
        <v>0</v>
      </c>
      <c r="E805" s="385">
        <f t="shared" si="86"/>
        <v>0</v>
      </c>
      <c r="H805" s="259"/>
      <c r="I805" s="451"/>
      <c r="J805" s="452"/>
      <c r="K805" s="453">
        <f>IF(H805=0,0,VLOOKUP(H805,Transportation!$B$6:$L$16,11,FALSE))</f>
        <v>0</v>
      </c>
      <c r="L805" s="454">
        <f>IF(I805=0,0,I805*K805)</f>
        <v>0</v>
      </c>
      <c r="M805" s="455">
        <f>IF(I805=0,0,I805*K805*J805)</f>
        <v>0</v>
      </c>
      <c r="N805" s="487"/>
    </row>
    <row r="806" spans="1:14" x14ac:dyDescent="0.35">
      <c r="A806" s="100">
        <v>17</v>
      </c>
      <c r="B806" s="437"/>
      <c r="C806" s="456"/>
      <c r="D806" s="457">
        <f>IF(B806=0,0,VLOOKUP(B806,Supplies!$B$13:$C$97,2,FALSE))</f>
        <v>0</v>
      </c>
      <c r="E806" s="385">
        <f>IF(D806=" "," ",D806*C806)</f>
        <v>0</v>
      </c>
      <c r="H806" s="260"/>
      <c r="I806" s="458"/>
      <c r="J806" s="459"/>
      <c r="K806" s="460"/>
      <c r="L806" s="460"/>
      <c r="M806" s="460"/>
      <c r="N806" s="483"/>
    </row>
    <row r="807" spans="1:14" ht="15" thickBot="1" x14ac:dyDescent="0.4">
      <c r="A807" s="100">
        <v>18</v>
      </c>
      <c r="B807" s="437"/>
      <c r="C807" s="456"/>
      <c r="D807" s="457">
        <f>IF(B807=0,0,VLOOKUP(B807,Supplies!$B$13:$C$97,2,FALSE))</f>
        <v>0</v>
      </c>
      <c r="E807" s="385">
        <f>IF(D807=" "," ",D807*C807)</f>
        <v>0</v>
      </c>
      <c r="H807" s="461" t="s">
        <v>201</v>
      </c>
      <c r="I807" s="462"/>
      <c r="J807" s="463"/>
      <c r="K807" s="464"/>
      <c r="L807" s="464"/>
      <c r="M807" s="464"/>
      <c r="N807" s="483"/>
    </row>
    <row r="808" spans="1:14" x14ac:dyDescent="0.35">
      <c r="A808" s="100">
        <v>19</v>
      </c>
      <c r="B808" s="437"/>
      <c r="C808" s="456"/>
      <c r="D808" s="457">
        <f>IF(B808=0,0,VLOOKUP(B808,Supplies!$B$13:$C$97,2,FALSE))</f>
        <v>0</v>
      </c>
      <c r="E808" s="385">
        <f>IF(D808=" "," ",D808*C808)</f>
        <v>0</v>
      </c>
      <c r="H808" s="465" t="s">
        <v>202</v>
      </c>
      <c r="I808" s="466" t="s">
        <v>204</v>
      </c>
      <c r="J808" s="463"/>
      <c r="K808" s="464"/>
      <c r="L808" s="464"/>
      <c r="M808" s="464"/>
      <c r="N808" s="483"/>
    </row>
    <row r="809" spans="1:14" ht="15" thickBot="1" x14ac:dyDescent="0.4">
      <c r="A809" s="100">
        <v>20</v>
      </c>
      <c r="B809" s="439"/>
      <c r="C809" s="442"/>
      <c r="D809" s="443">
        <f>IF(B809=0,0,VLOOKUP(B809,Supplies!$B$13:$C$97,2,FALSE))</f>
        <v>0</v>
      </c>
      <c r="E809" s="377">
        <f>IF(D809=" "," ",D809*C809)</f>
        <v>0</v>
      </c>
      <c r="H809" s="467"/>
      <c r="I809" s="484" t="str">
        <f>IF(H809=0," ",VLOOKUP(H809,Subcontractors!$B$15:$E$25,4))</f>
        <v xml:space="preserve"> </v>
      </c>
      <c r="J809" s="463"/>
      <c r="K809" s="464"/>
      <c r="L809" s="464"/>
      <c r="M809" s="464"/>
    </row>
    <row r="810" spans="1:14" ht="15" thickBot="1" x14ac:dyDescent="0.4">
      <c r="A810" s="100"/>
      <c r="B810" s="335"/>
      <c r="C810" s="485"/>
      <c r="D810" s="397"/>
      <c r="E810" s="397"/>
      <c r="H810" s="469"/>
      <c r="I810" s="486" t="str">
        <f>IF(H810=0," ",VLOOKUP(H810,Subcontractors!$B$15:$E$25,4))</f>
        <v xml:space="preserve"> </v>
      </c>
    </row>
    <row r="811" spans="1:14" x14ac:dyDescent="0.35">
      <c r="A811" s="100"/>
      <c r="B811" s="335"/>
      <c r="C811" s="485"/>
      <c r="D811" s="397"/>
      <c r="E811" s="397"/>
      <c r="H811" s="473"/>
      <c r="I811" s="404"/>
    </row>
    <row r="812" spans="1:14" ht="21" x14ac:dyDescent="0.35">
      <c r="A812" s="818" t="s">
        <v>191</v>
      </c>
      <c r="B812" s="819"/>
      <c r="C812" s="819"/>
      <c r="D812" s="819"/>
      <c r="E812" s="819"/>
      <c r="F812" s="819"/>
      <c r="G812" s="150" t="str">
        <f>'kt info'!B53</f>
        <v>Enter Periodical Service 7</v>
      </c>
      <c r="H812" s="307"/>
      <c r="I812" s="261"/>
      <c r="J812" s="149"/>
      <c r="K812" s="149"/>
      <c r="L812" s="149"/>
      <c r="M812" s="149"/>
      <c r="N812" s="149"/>
    </row>
    <row r="813" spans="1:14" ht="18.5" x14ac:dyDescent="0.35">
      <c r="A813" s="818" t="s">
        <v>193</v>
      </c>
      <c r="B813" s="818"/>
      <c r="C813" s="818"/>
      <c r="D813" s="818"/>
      <c r="E813" s="818"/>
      <c r="F813" s="818"/>
      <c r="G813" s="150" t="str">
        <f>'kt info'!B55</f>
        <v>Enter Periodical Service 8</v>
      </c>
      <c r="H813" s="301"/>
      <c r="I813" s="150"/>
      <c r="J813" s="150"/>
      <c r="K813" s="150"/>
      <c r="L813" s="150"/>
      <c r="M813" s="150"/>
      <c r="N813" s="150"/>
    </row>
    <row r="815" spans="1:14" x14ac:dyDescent="0.35">
      <c r="B815" s="222" t="s">
        <v>109</v>
      </c>
      <c r="C815" s="741">
        <f>'kt info'!$C$3</f>
        <v>0</v>
      </c>
      <c r="D815" s="824"/>
      <c r="E815" s="824"/>
      <c r="F815" s="825"/>
      <c r="H815" s="333"/>
      <c r="J815" s="811" t="s">
        <v>170</v>
      </c>
      <c r="K815" s="708"/>
      <c r="L815" s="708"/>
      <c r="M815" s="708"/>
    </row>
    <row r="816" spans="1:14" x14ac:dyDescent="0.35">
      <c r="C816" s="300"/>
      <c r="D816" s="100"/>
      <c r="E816" s="100"/>
      <c r="F816" s="100"/>
      <c r="I816" s="329"/>
      <c r="J816" s="329" t="str">
        <f>$B$10</f>
        <v>All Carpets</v>
      </c>
      <c r="L816" s="336" t="str">
        <f>$B$415</f>
        <v>Enter Periodical Service 1</v>
      </c>
    </row>
    <row r="817" spans="1:14" x14ac:dyDescent="0.35">
      <c r="B817" s="222" t="s">
        <v>110</v>
      </c>
      <c r="C817" s="741">
        <f>'kt info'!$C$5</f>
        <v>0</v>
      </c>
      <c r="D817" s="824"/>
      <c r="E817" s="824"/>
      <c r="F817" s="825"/>
      <c r="J817" s="329" t="str">
        <f>$B$67</f>
        <v>High Traffic Carpet</v>
      </c>
      <c r="L817" s="336" t="str">
        <f>$B$473</f>
        <v>Enter Periodical Service 2</v>
      </c>
    </row>
    <row r="818" spans="1:14" x14ac:dyDescent="0.35">
      <c r="C818" s="300"/>
      <c r="D818" s="100"/>
      <c r="E818" s="100"/>
      <c r="F818" s="100"/>
      <c r="J818" s="329" t="str">
        <f>$B$125</f>
        <v>Hard Floor Strip and Wax</v>
      </c>
      <c r="L818" s="336" t="str">
        <f>$B$531</f>
        <v>Enter Periodical Service 3</v>
      </c>
    </row>
    <row r="819" spans="1:14" x14ac:dyDescent="0.35">
      <c r="B819" s="222" t="s">
        <v>135</v>
      </c>
      <c r="C819" s="741">
        <f>'kt info'!$C$7</f>
        <v>0</v>
      </c>
      <c r="D819" s="824"/>
      <c r="E819" s="824"/>
      <c r="F819" s="825"/>
      <c r="J819" s="329" t="str">
        <f>$B$183</f>
        <v>Hard Floor Scrub and Seal</v>
      </c>
      <c r="L819" s="336" t="str">
        <f>$B$589</f>
        <v>Enter Periodical Service 4</v>
      </c>
    </row>
    <row r="820" spans="1:14" x14ac:dyDescent="0.35">
      <c r="J820" s="336" t="str">
        <f>$B$241</f>
        <v>Window Washing</v>
      </c>
      <c r="L820" s="336" t="str">
        <f>$B$647</f>
        <v>Enter Periodical Service 5</v>
      </c>
    </row>
    <row r="821" spans="1:14" ht="18.5" x14ac:dyDescent="0.35">
      <c r="A821" s="337"/>
      <c r="B821" s="490" t="str">
        <f>'kt info'!B55</f>
        <v>Enter Periodical Service 8</v>
      </c>
      <c r="C821" s="339"/>
      <c r="D821" s="337"/>
      <c r="E821" s="337"/>
      <c r="F821" s="337"/>
      <c r="G821" s="337"/>
      <c r="H821" s="302" t="s">
        <v>77</v>
      </c>
      <c r="I821" s="236" t="s">
        <v>238</v>
      </c>
      <c r="J821" s="336" t="str">
        <f>$B$299</f>
        <v>Clean Chairs</v>
      </c>
      <c r="L821" s="336" t="str">
        <f>$B$705</f>
        <v>Enter Periodical Service 6</v>
      </c>
      <c r="M821" s="337"/>
      <c r="N821" s="337"/>
    </row>
    <row r="822" spans="1:14" x14ac:dyDescent="0.35">
      <c r="G822" s="178" t="s">
        <v>79</v>
      </c>
      <c r="H822" s="341">
        <f>IF(SUM(M834:M843)&gt;0,SUM(M834:M843)/'kt info'!$G$55,0)</f>
        <v>0</v>
      </c>
      <c r="I822" s="342">
        <f>H822*'kt info'!$G$55</f>
        <v>0</v>
      </c>
      <c r="J822" s="336" t="str">
        <f>$B$357</f>
        <v>High Dusting</v>
      </c>
      <c r="L822" s="336" t="str">
        <f>$B$763</f>
        <v>Enter Periodical Service 7</v>
      </c>
    </row>
    <row r="823" spans="1:14" x14ac:dyDescent="0.35">
      <c r="B823" s="343" t="s">
        <v>78</v>
      </c>
      <c r="G823" s="178" t="s">
        <v>189</v>
      </c>
      <c r="H823" s="344">
        <f>IF(SUM(K834:K843)&gt;0,SUM(K834:K843),0)</f>
        <v>0</v>
      </c>
      <c r="I823" s="345">
        <f>H823*'kt info'!$G$55</f>
        <v>0</v>
      </c>
      <c r="J823" s="336"/>
      <c r="L823" s="336" t="str">
        <f>$B$821</f>
        <v>Enter Periodical Service 8</v>
      </c>
    </row>
    <row r="824" spans="1:14" x14ac:dyDescent="0.35">
      <c r="B824" s="177" t="s">
        <v>96</v>
      </c>
      <c r="C824" s="346">
        <f>'kt info'!E55</f>
        <v>0</v>
      </c>
      <c r="G824" s="178" t="s">
        <v>80</v>
      </c>
      <c r="H824" s="344">
        <f>IF(SUM(E848:E867)&gt;0,SUM(E848:E867),0)</f>
        <v>0</v>
      </c>
      <c r="I824" s="345">
        <f>H824*'kt info'!$G$55</f>
        <v>0</v>
      </c>
      <c r="J824" s="336"/>
      <c r="L824" s="336" t="str">
        <f>$B$879</f>
        <v>Enter Periodical Service 9</v>
      </c>
    </row>
    <row r="825" spans="1:14" x14ac:dyDescent="0.35">
      <c r="G825" s="178" t="s">
        <v>81</v>
      </c>
      <c r="H825" s="344">
        <f>IF(SUM(L848:L857)&gt;0,SUM(L848:L857),0)</f>
        <v>0</v>
      </c>
      <c r="I825" s="345">
        <f>H825*'kt info'!$G$55</f>
        <v>0</v>
      </c>
      <c r="J825" s="336"/>
      <c r="L825" s="336" t="str">
        <f>$B$937</f>
        <v>Enter Periodical Service 10</v>
      </c>
    </row>
    <row r="826" spans="1:14" x14ac:dyDescent="0.35">
      <c r="B826" s="177" t="s">
        <v>98</v>
      </c>
      <c r="C826" s="347">
        <f>ROUND(IF(SUM(H823:H829)&gt;0,SUM(H823:H829),0),0)</f>
        <v>0</v>
      </c>
      <c r="G826" s="178" t="s">
        <v>89</v>
      </c>
      <c r="H826" s="344">
        <f>IF(SUM(J861:J865)&gt;0,SUM(L861:L865),0)</f>
        <v>0</v>
      </c>
      <c r="I826" s="345">
        <f>H826*'kt info'!$G$55</f>
        <v>0</v>
      </c>
      <c r="J826" s="329"/>
      <c r="K826" s="336"/>
    </row>
    <row r="827" spans="1:14" x14ac:dyDescent="0.35">
      <c r="G827" s="178" t="s">
        <v>201</v>
      </c>
      <c r="H827" s="344">
        <f>IF(SUM(I867:I868)=0,0,SUM(I867:I868))</f>
        <v>0</v>
      </c>
      <c r="I827" s="345">
        <f>H827*'kt info'!$G$55</f>
        <v>0</v>
      </c>
      <c r="K827" s="336"/>
    </row>
    <row r="828" spans="1:14" x14ac:dyDescent="0.35">
      <c r="B828" s="177" t="s">
        <v>97</v>
      </c>
      <c r="C828" s="347">
        <f>IF(C824&gt;0,C826/C824,0)</f>
        <v>0</v>
      </c>
      <c r="G828" s="178" t="s">
        <v>87</v>
      </c>
      <c r="H828" s="344">
        <f>IF('Overhead &amp; Margin'!$D$10&gt;0,((H823+H824+H825+H826+H827)*'Overhead &amp; Margin'!$D$10/(1-('Overhead &amp; Margin'!$D$10+'Overhead &amp; Margin'!$G$10))),0)</f>
        <v>0</v>
      </c>
      <c r="I828" s="345">
        <f>H828*'kt info'!$G$55</f>
        <v>0</v>
      </c>
      <c r="K828" s="336"/>
    </row>
    <row r="829" spans="1:14" x14ac:dyDescent="0.35">
      <c r="G829" s="178" t="s">
        <v>88</v>
      </c>
      <c r="H829" s="344">
        <f>IF('Overhead &amp; Margin'!$G$10=0,0,'Overhead &amp; Margin'!$G$10*(H823+H824+H825+H826+H827)/(1-('Overhead &amp; Margin'!$D$10+'Overhead &amp; Margin'!$G$10)))</f>
        <v>0</v>
      </c>
      <c r="I829" s="345">
        <f>H829*'kt info'!$G$55</f>
        <v>0</v>
      </c>
    </row>
    <row r="830" spans="1:14" x14ac:dyDescent="0.35">
      <c r="M830" s="605" t="str">
        <f>'kt info'!$B$12</f>
        <v>Form date: 10/24/25</v>
      </c>
    </row>
    <row r="831" spans="1:14" ht="15" thickBot="1" x14ac:dyDescent="0.4">
      <c r="B831" s="348" t="s">
        <v>104</v>
      </c>
    </row>
    <row r="832" spans="1:14" x14ac:dyDescent="0.35">
      <c r="B832" s="84" t="s">
        <v>18</v>
      </c>
      <c r="C832" s="349" t="s">
        <v>19</v>
      </c>
      <c r="D832" s="350" t="s">
        <v>25</v>
      </c>
      <c r="E832" s="350" t="s">
        <v>20</v>
      </c>
      <c r="F832" s="826" t="s">
        <v>22</v>
      </c>
      <c r="G832" s="826"/>
      <c r="H832" s="351" t="s">
        <v>23</v>
      </c>
      <c r="I832" s="350" t="s">
        <v>21</v>
      </c>
      <c r="J832" s="350" t="s">
        <v>24</v>
      </c>
      <c r="K832" s="350" t="s">
        <v>77</v>
      </c>
      <c r="L832" s="352" t="s">
        <v>26</v>
      </c>
      <c r="M832" s="4" t="s">
        <v>27</v>
      </c>
      <c r="N832" s="4" t="s">
        <v>0</v>
      </c>
    </row>
    <row r="833" spans="1:14" ht="15" thickBot="1" x14ac:dyDescent="0.4">
      <c r="B833" s="22" t="s">
        <v>306</v>
      </c>
      <c r="C833" s="353" t="s">
        <v>28</v>
      </c>
      <c r="D833" s="354" t="s">
        <v>33</v>
      </c>
      <c r="E833" s="354" t="s">
        <v>29</v>
      </c>
      <c r="F833" s="827" t="s">
        <v>30</v>
      </c>
      <c r="G833" s="827"/>
      <c r="H833" s="355" t="s">
        <v>31</v>
      </c>
      <c r="I833" s="354"/>
      <c r="J833" s="354" t="s">
        <v>38</v>
      </c>
      <c r="K833" s="354" t="s">
        <v>189</v>
      </c>
      <c r="L833" s="356" t="s">
        <v>0</v>
      </c>
      <c r="M833" s="5" t="s">
        <v>0</v>
      </c>
      <c r="N833" s="5" t="s">
        <v>77</v>
      </c>
    </row>
    <row r="834" spans="1:14" x14ac:dyDescent="0.35">
      <c r="A834" s="100">
        <v>1</v>
      </c>
      <c r="B834" s="474"/>
      <c r="C834" s="358"/>
      <c r="D834" s="359" t="str">
        <f>IF(B834=0," ",'kt info'!$G$55)</f>
        <v xml:space="preserve"> </v>
      </c>
      <c r="E834" s="360" t="str">
        <f>IF(B834=0," ",VLOOKUP(B834,WageBeneTable5[#All],2,FALSE))</f>
        <v xml:space="preserve"> </v>
      </c>
      <c r="F834" s="820">
        <f>IF($E834=" ",0,'Pay &amp; Benefits'!$C$10)</f>
        <v>0</v>
      </c>
      <c r="G834" s="821"/>
      <c r="H834" s="361" t="str">
        <f>IF($E834=" "," ",'Pay &amp; Benefits'!$C$11)</f>
        <v xml:space="preserve"> </v>
      </c>
      <c r="I834" s="362" t="str">
        <f t="shared" ref="I834:I843" si="87">IF(E834=" "," ",0.0765)</f>
        <v xml:space="preserve"> </v>
      </c>
      <c r="J834" s="363" t="str">
        <f>IF(B834=0," ",VLOOKUP(B834,WageBeneTable5[#All],3,FALSE))</f>
        <v xml:space="preserve"> </v>
      </c>
      <c r="K834" s="360" t="str">
        <f t="shared" ref="K834:K843" si="88">IF(B834=0," ",C834*E834*(1+I834+F834+H834+J834))</f>
        <v xml:space="preserve"> </v>
      </c>
      <c r="L834" s="360">
        <f t="shared" ref="L834:L843" si="89">IF(K834=" ",0,K834*D834)</f>
        <v>0</v>
      </c>
      <c r="M834" s="364">
        <f t="shared" ref="M834:M843" si="90">IF(B834=0,0,C834*D834)</f>
        <v>0</v>
      </c>
      <c r="N834" s="365">
        <f t="shared" ref="N834:N843" si="91">IF(L834=0,0,IF(D834=0,0,L834/D834))</f>
        <v>0</v>
      </c>
    </row>
    <row r="835" spans="1:14" x14ac:dyDescent="0.35">
      <c r="A835" s="100">
        <v>2</v>
      </c>
      <c r="B835" s="437"/>
      <c r="C835" s="367"/>
      <c r="D835" s="359" t="str">
        <f>IF(B835=0," ",'kt info'!$G$55)</f>
        <v xml:space="preserve"> </v>
      </c>
      <c r="E835" s="368" t="str">
        <f>IF(B835=0," ",VLOOKUP(B835,WageBeneTable5[#All],2,FALSE))</f>
        <v xml:space="preserve"> </v>
      </c>
      <c r="F835" s="822">
        <f>IF($E835=" ",0,'Pay &amp; Benefits'!$C$10)</f>
        <v>0</v>
      </c>
      <c r="G835" s="823"/>
      <c r="H835" s="369" t="str">
        <f>IF($E835=" "," ",'Pay &amp; Benefits'!$C$11)</f>
        <v xml:space="preserve"> </v>
      </c>
      <c r="I835" s="370" t="str">
        <f t="shared" si="87"/>
        <v xml:space="preserve"> </v>
      </c>
      <c r="J835" s="371" t="str">
        <f>IF(B835=0," ",VLOOKUP(B835,WageBeneTable5[#All],3,FALSE))</f>
        <v xml:space="preserve"> </v>
      </c>
      <c r="K835" s="368" t="str">
        <f t="shared" si="88"/>
        <v xml:space="preserve"> </v>
      </c>
      <c r="L835" s="368">
        <f t="shared" si="89"/>
        <v>0</v>
      </c>
      <c r="M835" s="372">
        <f t="shared" si="90"/>
        <v>0</v>
      </c>
      <c r="N835" s="373">
        <f t="shared" si="91"/>
        <v>0</v>
      </c>
    </row>
    <row r="836" spans="1:14" x14ac:dyDescent="0.35">
      <c r="A836" s="100">
        <v>3</v>
      </c>
      <c r="B836" s="437"/>
      <c r="C836" s="367"/>
      <c r="D836" s="359" t="str">
        <f>IF(B836=0," ",'kt info'!$G$55)</f>
        <v xml:space="preserve"> </v>
      </c>
      <c r="E836" s="368" t="str">
        <f>IF(B836=0," ",VLOOKUP(B836,WageBeneTable5[#All],2,FALSE))</f>
        <v xml:space="preserve"> </v>
      </c>
      <c r="F836" s="822">
        <f>IF($E836=" ",0,'Pay &amp; Benefits'!$C$10)</f>
        <v>0</v>
      </c>
      <c r="G836" s="823"/>
      <c r="H836" s="369" t="str">
        <f>IF($E836=" "," ",'Pay &amp; Benefits'!$C$11)</f>
        <v xml:space="preserve"> </v>
      </c>
      <c r="I836" s="370" t="str">
        <f t="shared" si="87"/>
        <v xml:space="preserve"> </v>
      </c>
      <c r="J836" s="371" t="str">
        <f>IF(B836=0," ",VLOOKUP(B836,WageBeneTable5[#All],3,FALSE))</f>
        <v xml:space="preserve"> </v>
      </c>
      <c r="K836" s="368" t="str">
        <f t="shared" si="88"/>
        <v xml:space="preserve"> </v>
      </c>
      <c r="L836" s="368">
        <f t="shared" si="89"/>
        <v>0</v>
      </c>
      <c r="M836" s="372">
        <f t="shared" si="90"/>
        <v>0</v>
      </c>
      <c r="N836" s="373">
        <f t="shared" si="91"/>
        <v>0</v>
      </c>
    </row>
    <row r="837" spans="1:14" x14ac:dyDescent="0.35">
      <c r="A837" s="100">
        <v>4</v>
      </c>
      <c r="B837" s="437"/>
      <c r="C837" s="367"/>
      <c r="D837" s="359" t="str">
        <f>IF(B837=0," ",'kt info'!$G$55)</f>
        <v xml:space="preserve"> </v>
      </c>
      <c r="E837" s="368" t="str">
        <f>IF(B837=0," ",VLOOKUP(B837,WageBeneTable5[#All],2,FALSE))</f>
        <v xml:space="preserve"> </v>
      </c>
      <c r="F837" s="822">
        <f>IF($E837=" ",0,'Pay &amp; Benefits'!$C$10)</f>
        <v>0</v>
      </c>
      <c r="G837" s="823"/>
      <c r="H837" s="369" t="str">
        <f>IF($E837=" "," ",'Pay &amp; Benefits'!$C$11)</f>
        <v xml:space="preserve"> </v>
      </c>
      <c r="I837" s="370" t="str">
        <f t="shared" si="87"/>
        <v xml:space="preserve"> </v>
      </c>
      <c r="J837" s="371" t="str">
        <f>IF(B837=0," ",VLOOKUP(B837,WageBeneTable5[#All],3,FALSE))</f>
        <v xml:space="preserve"> </v>
      </c>
      <c r="K837" s="368" t="str">
        <f t="shared" si="88"/>
        <v xml:space="preserve"> </v>
      </c>
      <c r="L837" s="368">
        <f t="shared" si="89"/>
        <v>0</v>
      </c>
      <c r="M837" s="372">
        <f t="shared" si="90"/>
        <v>0</v>
      </c>
      <c r="N837" s="373">
        <f t="shared" si="91"/>
        <v>0</v>
      </c>
    </row>
    <row r="838" spans="1:14" ht="15" thickBot="1" x14ac:dyDescent="0.4">
      <c r="A838" s="100">
        <v>5</v>
      </c>
      <c r="B838" s="439"/>
      <c r="C838" s="375"/>
      <c r="D838" s="376" t="str">
        <f>IF(B838=0," ",'kt info'!$G$55)</f>
        <v xml:space="preserve"> </v>
      </c>
      <c r="E838" s="377" t="str">
        <f>IF(B838=0," ",VLOOKUP(B838,WageBeneTable5[#All],2,FALSE))</f>
        <v xml:space="preserve"> </v>
      </c>
      <c r="F838" s="813">
        <f>IF($E838=" ",0,'Pay &amp; Benefits'!$C$10)</f>
        <v>0</v>
      </c>
      <c r="G838" s="814"/>
      <c r="H838" s="378" t="str">
        <f>IF($E838=" "," ",'Pay &amp; Benefits'!$C$11)</f>
        <v xml:space="preserve"> </v>
      </c>
      <c r="I838" s="379" t="str">
        <f t="shared" si="87"/>
        <v xml:space="preserve"> </v>
      </c>
      <c r="J838" s="380" t="str">
        <f>IF(B838=0," ",VLOOKUP(B838,WageBeneTable5[#All],3,FALSE))</f>
        <v xml:space="preserve"> </v>
      </c>
      <c r="K838" s="377" t="str">
        <f t="shared" si="88"/>
        <v xml:space="preserve"> </v>
      </c>
      <c r="L838" s="377">
        <f t="shared" si="89"/>
        <v>0</v>
      </c>
      <c r="M838" s="381">
        <f t="shared" si="90"/>
        <v>0</v>
      </c>
      <c r="N838" s="382">
        <f t="shared" si="91"/>
        <v>0</v>
      </c>
    </row>
    <row r="839" spans="1:14" x14ac:dyDescent="0.35">
      <c r="A839" s="100">
        <v>6</v>
      </c>
      <c r="B839" s="474"/>
      <c r="C839" s="383"/>
      <c r="D839" s="384" t="str">
        <f>IF(B839=0," ",'kt info'!$G$55)</f>
        <v xml:space="preserve"> </v>
      </c>
      <c r="E839" s="385" t="str">
        <f>IF(B839=0," ",VLOOKUP(B839,WageBeneTable5[#All],2,FALSE))</f>
        <v xml:space="preserve"> </v>
      </c>
      <c r="F839" s="820">
        <f>IF($E839=" ",0,'Pay &amp; Benefits'!$C$10)</f>
        <v>0</v>
      </c>
      <c r="G839" s="821"/>
      <c r="H839" s="386" t="str">
        <f>IF($E839=" "," ",'Pay &amp; Benefits'!$C$11)</f>
        <v xml:space="preserve"> </v>
      </c>
      <c r="I839" s="387" t="str">
        <f t="shared" si="87"/>
        <v xml:space="preserve"> </v>
      </c>
      <c r="J839" s="388" t="str">
        <f>IF(B839=0," ",VLOOKUP(B839,WageBeneTable5[#All],3,FALSE))</f>
        <v xml:space="preserve"> </v>
      </c>
      <c r="K839" s="385" t="str">
        <f t="shared" si="88"/>
        <v xml:space="preserve"> </v>
      </c>
      <c r="L839" s="385">
        <f t="shared" si="89"/>
        <v>0</v>
      </c>
      <c r="M839" s="389">
        <f t="shared" si="90"/>
        <v>0</v>
      </c>
      <c r="N839" s="390">
        <f t="shared" si="91"/>
        <v>0</v>
      </c>
    </row>
    <row r="840" spans="1:14" x14ac:dyDescent="0.35">
      <c r="A840" s="100">
        <v>7</v>
      </c>
      <c r="B840" s="437"/>
      <c r="C840" s="367"/>
      <c r="D840" s="384" t="str">
        <f>IF(B840=0," ",'kt info'!$G$55)</f>
        <v xml:space="preserve"> </v>
      </c>
      <c r="E840" s="385" t="str">
        <f>IF(B840=0," ",VLOOKUP(B840,WageBeneTable5[#All],2,FALSE))</f>
        <v xml:space="preserve"> </v>
      </c>
      <c r="F840" s="822">
        <f>IF($E840=" ",0,'Pay &amp; Benefits'!$C$10)</f>
        <v>0</v>
      </c>
      <c r="G840" s="823"/>
      <c r="H840" s="386" t="str">
        <f>IF($E840=" "," ",'Pay &amp; Benefits'!$C$11)</f>
        <v xml:space="preserve"> </v>
      </c>
      <c r="I840" s="387" t="str">
        <f t="shared" si="87"/>
        <v xml:space="preserve"> </v>
      </c>
      <c r="J840" s="388" t="str">
        <f>IF(B840=0," ",VLOOKUP(B840,WageBeneTable5[#All],3,FALSE))</f>
        <v xml:space="preserve"> </v>
      </c>
      <c r="K840" s="385" t="str">
        <f t="shared" si="88"/>
        <v xml:space="preserve"> </v>
      </c>
      <c r="L840" s="385">
        <f t="shared" si="89"/>
        <v>0</v>
      </c>
      <c r="M840" s="389">
        <f t="shared" si="90"/>
        <v>0</v>
      </c>
      <c r="N840" s="390">
        <f t="shared" si="91"/>
        <v>0</v>
      </c>
    </row>
    <row r="841" spans="1:14" x14ac:dyDescent="0.35">
      <c r="A841" s="100">
        <v>8</v>
      </c>
      <c r="B841" s="437"/>
      <c r="C841" s="367"/>
      <c r="D841" s="384" t="str">
        <f>IF(B841=0," ",'kt info'!$G$55)</f>
        <v xml:space="preserve"> </v>
      </c>
      <c r="E841" s="385" t="str">
        <f>IF(B841=0," ",VLOOKUP(B841,WageBeneTable5[#All],2,FALSE))</f>
        <v xml:space="preserve"> </v>
      </c>
      <c r="F841" s="822">
        <f>IF($E841=" ",0,'Pay &amp; Benefits'!$C$10)</f>
        <v>0</v>
      </c>
      <c r="G841" s="823"/>
      <c r="H841" s="386" t="str">
        <f>IF($E841=" "," ",'Pay &amp; Benefits'!$C$11)</f>
        <v xml:space="preserve"> </v>
      </c>
      <c r="I841" s="387" t="str">
        <f t="shared" si="87"/>
        <v xml:space="preserve"> </v>
      </c>
      <c r="J841" s="388" t="str">
        <f>IF(B841=0," ",VLOOKUP(B841,WageBeneTable5[#All],3,FALSE))</f>
        <v xml:space="preserve"> </v>
      </c>
      <c r="K841" s="385" t="str">
        <f t="shared" si="88"/>
        <v xml:space="preserve"> </v>
      </c>
      <c r="L841" s="385">
        <f t="shared" si="89"/>
        <v>0</v>
      </c>
      <c r="M841" s="389">
        <f t="shared" si="90"/>
        <v>0</v>
      </c>
      <c r="N841" s="390">
        <f t="shared" si="91"/>
        <v>0</v>
      </c>
    </row>
    <row r="842" spans="1:14" x14ac:dyDescent="0.35">
      <c r="A842" s="100">
        <v>9</v>
      </c>
      <c r="B842" s="437"/>
      <c r="C842" s="367"/>
      <c r="D842" s="384" t="str">
        <f>IF(B842=0," ",'kt info'!$G$55)</f>
        <v xml:space="preserve"> </v>
      </c>
      <c r="E842" s="385" t="str">
        <f>IF(B842=0," ",VLOOKUP(B842,WageBeneTable5[#All],2,FALSE))</f>
        <v xml:space="preserve"> </v>
      </c>
      <c r="F842" s="822">
        <f>IF($E842=" ",0,'Pay &amp; Benefits'!$C$10)</f>
        <v>0</v>
      </c>
      <c r="G842" s="823"/>
      <c r="H842" s="386" t="str">
        <f>IF($E842=" "," ",'Pay &amp; Benefits'!$C$11)</f>
        <v xml:space="preserve"> </v>
      </c>
      <c r="I842" s="387" t="str">
        <f t="shared" si="87"/>
        <v xml:space="preserve"> </v>
      </c>
      <c r="J842" s="388" t="str">
        <f>IF(B842=0," ",VLOOKUP(B842,WageBeneTable5[#All],3,FALSE))</f>
        <v xml:space="preserve"> </v>
      </c>
      <c r="K842" s="385" t="str">
        <f t="shared" si="88"/>
        <v xml:space="preserve"> </v>
      </c>
      <c r="L842" s="385">
        <f t="shared" si="89"/>
        <v>0</v>
      </c>
      <c r="M842" s="389">
        <f t="shared" si="90"/>
        <v>0</v>
      </c>
      <c r="N842" s="390">
        <f t="shared" si="91"/>
        <v>0</v>
      </c>
    </row>
    <row r="843" spans="1:14" ht="15" thickBot="1" x14ac:dyDescent="0.4">
      <c r="A843" s="100">
        <v>10</v>
      </c>
      <c r="B843" s="439"/>
      <c r="C843" s="375"/>
      <c r="D843" s="376" t="str">
        <f>IF(B843=0," ",'kt info'!$G$55)</f>
        <v xml:space="preserve"> </v>
      </c>
      <c r="E843" s="377" t="str">
        <f>IF(B843=0," ",VLOOKUP(B843,WageBeneTable5[#All],2,FALSE))</f>
        <v xml:space="preserve"> </v>
      </c>
      <c r="F843" s="813">
        <f>IF($E843=" ",0,'Pay &amp; Benefits'!$C$10)</f>
        <v>0</v>
      </c>
      <c r="G843" s="814"/>
      <c r="H843" s="378" t="str">
        <f>IF($E843=" "," ",'Pay &amp; Benefits'!$C$11)</f>
        <v xml:space="preserve"> </v>
      </c>
      <c r="I843" s="379" t="str">
        <f t="shared" si="87"/>
        <v xml:space="preserve"> </v>
      </c>
      <c r="J843" s="380" t="str">
        <f>IF(B843=0," ",VLOOKUP(B843,WageBeneTable5[#All],3,FALSE))</f>
        <v xml:space="preserve"> </v>
      </c>
      <c r="K843" s="377" t="str">
        <f t="shared" si="88"/>
        <v xml:space="preserve"> </v>
      </c>
      <c r="L843" s="377">
        <f t="shared" si="89"/>
        <v>0</v>
      </c>
      <c r="M843" s="381">
        <f t="shared" si="90"/>
        <v>0</v>
      </c>
      <c r="N843" s="382">
        <f t="shared" si="91"/>
        <v>0</v>
      </c>
    </row>
    <row r="844" spans="1:14" x14ac:dyDescent="0.35">
      <c r="K844" s="391"/>
      <c r="L844" s="392"/>
      <c r="M844" s="393"/>
    </row>
    <row r="845" spans="1:14" ht="15" thickBot="1" x14ac:dyDescent="0.4">
      <c r="B845" s="394" t="s">
        <v>203</v>
      </c>
      <c r="E845" s="395"/>
      <c r="H845" s="815" t="s">
        <v>199</v>
      </c>
      <c r="I845" s="816"/>
      <c r="M845" s="475"/>
      <c r="N845" s="100"/>
    </row>
    <row r="846" spans="1:14" x14ac:dyDescent="0.35">
      <c r="B846" s="32" t="s">
        <v>123</v>
      </c>
      <c r="C846" s="398" t="s">
        <v>239</v>
      </c>
      <c r="D846" s="399" t="s">
        <v>9</v>
      </c>
      <c r="E846" s="400" t="s">
        <v>83</v>
      </c>
      <c r="H846" s="303" t="s">
        <v>15</v>
      </c>
      <c r="I846" s="4" t="s">
        <v>85</v>
      </c>
      <c r="J846" s="4" t="s">
        <v>16</v>
      </c>
      <c r="K846" s="4" t="s">
        <v>241</v>
      </c>
      <c r="L846" s="4" t="s">
        <v>83</v>
      </c>
      <c r="M846" s="476"/>
      <c r="N846" s="477"/>
    </row>
    <row r="847" spans="1:14" ht="15" thickBot="1" x14ac:dyDescent="0.4">
      <c r="B847" s="33" t="s">
        <v>124</v>
      </c>
      <c r="C847" s="401" t="s">
        <v>84</v>
      </c>
      <c r="D847" s="402" t="s">
        <v>10</v>
      </c>
      <c r="E847" s="403" t="s">
        <v>84</v>
      </c>
      <c r="H847" s="304" t="s">
        <v>13</v>
      </c>
      <c r="I847" s="5" t="s">
        <v>86</v>
      </c>
      <c r="J847" s="5" t="s">
        <v>17</v>
      </c>
      <c r="K847" s="5" t="s">
        <v>12</v>
      </c>
      <c r="L847" s="5" t="s">
        <v>84</v>
      </c>
      <c r="M847" s="478"/>
      <c r="N847" s="479"/>
    </row>
    <row r="848" spans="1:14" x14ac:dyDescent="0.35">
      <c r="A848" s="100">
        <v>1</v>
      </c>
      <c r="B848" s="474"/>
      <c r="C848" s="406"/>
      <c r="D848" s="407">
        <f>IF(B848=0,0,VLOOKUP(B848,Supplies!$B$13:$C$97,2,FALSE))</f>
        <v>0</v>
      </c>
      <c r="E848" s="360">
        <f>IF(D848=" "," ",D848*C848)</f>
        <v>0</v>
      </c>
      <c r="G848" s="100">
        <v>1</v>
      </c>
      <c r="H848" s="408"/>
      <c r="I848" s="409"/>
      <c r="J848" s="410"/>
      <c r="K848" s="331" t="str">
        <f>IF(H848=0," ",IF(VLOOKUP(H848,'Equipment List'!$B$12:$F$96,5,FALSE)=0,0,IF(VLOOKUP(H848,'Equipment List'!$B$12:$F$96,5,FALSE)="Grant","Grant",IF(VLOOKUP(H848,'Equipment List'!$B$12:$F$96,5,FALSE)="Depreciated","Depreciated",VLOOKUP(H848,'Equipment List'!$B$12:$F$96,5,FALSE)*I848*J848))))</f>
        <v xml:space="preserve"> </v>
      </c>
      <c r="L848" s="365" t="str">
        <f>IF(K848=" "," ",IF(K848="Grant",0,IF(K848="Depreciated",0,IF('kt info'!$G$55=0,"No Service Frequency",K848/'kt info'!$G$55))))</f>
        <v xml:space="preserve"> </v>
      </c>
      <c r="M848" s="480"/>
      <c r="N848" s="404"/>
    </row>
    <row r="849" spans="1:14" x14ac:dyDescent="0.35">
      <c r="A849" s="100">
        <v>2</v>
      </c>
      <c r="B849" s="437"/>
      <c r="C849" s="414"/>
      <c r="D849" s="415">
        <f>IF(B849=0,0,VLOOKUP(B849,Supplies!$B$13:$C$97,2,FALSE))</f>
        <v>0</v>
      </c>
      <c r="E849" s="385">
        <f t="shared" ref="E849:E863" si="92">IF(D849=" "," ",D849*C849)</f>
        <v>0</v>
      </c>
      <c r="G849" s="100">
        <v>2</v>
      </c>
      <c r="H849" s="416"/>
      <c r="I849" s="417"/>
      <c r="J849" s="418"/>
      <c r="K849" s="421" t="str">
        <f>IF(H849=0," ",IF(VLOOKUP(H849,'Equipment List'!$B$12:$F$96,5,FALSE)=0,0,IF(VLOOKUP(H849,'Equipment List'!$B$12:$F$96,5,FALSE)="Grant","Grant",IF(VLOOKUP(H849,'Equipment List'!$B$12:$F$96,5,FALSE)="Depreciated","Depreciated",VLOOKUP(H849,'Equipment List'!$B$12:$F$96,5,FALSE)*I849*J849))))</f>
        <v xml:space="preserve"> </v>
      </c>
      <c r="L849" s="390" t="str">
        <f>IF(K849=" "," ",IF(K849="Grant",0,IF(K849="Depreciated",0,IF('kt info'!$G$55=0,"No Service Frequency",K849/'kt info'!$G$55))))</f>
        <v xml:space="preserve"> </v>
      </c>
    </row>
    <row r="850" spans="1:14" x14ac:dyDescent="0.35">
      <c r="A850" s="100">
        <v>3</v>
      </c>
      <c r="B850" s="437"/>
      <c r="C850" s="414"/>
      <c r="D850" s="415">
        <f>IF(B850=0,0,VLOOKUP(B850,Supplies!$B$13:$C$97,2,FALSE))</f>
        <v>0</v>
      </c>
      <c r="E850" s="385">
        <f t="shared" si="92"/>
        <v>0</v>
      </c>
      <c r="G850" s="100">
        <v>3</v>
      </c>
      <c r="H850" s="416"/>
      <c r="I850" s="417"/>
      <c r="J850" s="418"/>
      <c r="K850" s="421" t="str">
        <f>IF(H850=0," ",IF(VLOOKUP(H850,'Equipment List'!$B$12:$F$96,5,FALSE)=0,0,IF(VLOOKUP(H850,'Equipment List'!$B$12:$F$96,5,FALSE)="Grant","Grant",IF(VLOOKUP(H850,'Equipment List'!$B$12:$F$96,5,FALSE)="Depreciated","Depreciated",VLOOKUP(H850,'Equipment List'!$B$12:$F$96,5,FALSE)*I850*J850))))</f>
        <v xml:space="preserve"> </v>
      </c>
      <c r="L850" s="390" t="str">
        <f>IF(K850=" "," ",IF(K850="Grant",0,IF(K850="Depreciated",0,IF('kt info'!$G$55=0,"No Service Frequency",K850/'kt info'!$G$55))))</f>
        <v xml:space="preserve"> </v>
      </c>
    </row>
    <row r="851" spans="1:14" x14ac:dyDescent="0.35">
      <c r="A851" s="100">
        <v>4</v>
      </c>
      <c r="B851" s="437"/>
      <c r="C851" s="414"/>
      <c r="D851" s="415">
        <f>IF(B851=0,0,VLOOKUP(B851,Supplies!$B$13:$C$97,2,FALSE))</f>
        <v>0</v>
      </c>
      <c r="E851" s="385">
        <f t="shared" si="92"/>
        <v>0</v>
      </c>
      <c r="G851" s="100">
        <v>4</v>
      </c>
      <c r="H851" s="416"/>
      <c r="I851" s="417"/>
      <c r="J851" s="418"/>
      <c r="K851" s="421" t="str">
        <f>IF(H851=0," ",IF(VLOOKUP(H851,'Equipment List'!$B$12:$F$96,5,FALSE)=0,0,IF(VLOOKUP(H851,'Equipment List'!$B$12:$F$96,5,FALSE)="Grant","Grant",IF(VLOOKUP(H851,'Equipment List'!$B$12:$F$96,5,FALSE)="Depreciated","Depreciated",VLOOKUP(H851,'Equipment List'!$B$12:$F$96,5,FALSE)*I851*J851))))</f>
        <v xml:space="preserve"> </v>
      </c>
      <c r="L851" s="390" t="str">
        <f>IF(K851=" "," ",IF(K851="Grant",0,IF(K851="Depreciated",0,IF('kt info'!$G$55=0,"No Service Frequency",K851/'kt info'!$G$55))))</f>
        <v xml:space="preserve"> </v>
      </c>
    </row>
    <row r="852" spans="1:14" ht="15" thickBot="1" x14ac:dyDescent="0.4">
      <c r="A852" s="100">
        <v>5</v>
      </c>
      <c r="B852" s="439"/>
      <c r="C852" s="423"/>
      <c r="D852" s="424">
        <f>IF(B852=0,0,VLOOKUP(B852,Supplies!$B$13:$C$97,2,FALSE))</f>
        <v>0</v>
      </c>
      <c r="E852" s="377">
        <f t="shared" si="92"/>
        <v>0</v>
      </c>
      <c r="G852" s="100">
        <v>5</v>
      </c>
      <c r="H852" s="425"/>
      <c r="I852" s="426"/>
      <c r="J852" s="427"/>
      <c r="K852" s="428" t="str">
        <f>IF(H852=0," ",IF(VLOOKUP(H852,'Equipment List'!$B$12:$F$96,5,FALSE)=0,0,IF(VLOOKUP(H852,'Equipment List'!$B$12:$F$96,5,FALSE)="Grant","Grant",IF(VLOOKUP(H852,'Equipment List'!$B$12:$F$96,5,FALSE)="Depreciated","Depreciated",VLOOKUP(H852,'Equipment List'!$B$12:$F$96,5,FALSE)*I852*J852))))</f>
        <v xml:space="preserve"> </v>
      </c>
      <c r="L852" s="382" t="str">
        <f>IF(K852=" "," ",IF(K852="Grant",0,IF(K852="Depreciated",0,IF('kt info'!$G$55=0,"No Service Frequency",K852/'kt info'!$G$55))))</f>
        <v xml:space="preserve"> </v>
      </c>
    </row>
    <row r="853" spans="1:14" x14ac:dyDescent="0.35">
      <c r="A853" s="100">
        <v>6</v>
      </c>
      <c r="B853" s="433"/>
      <c r="C853" s="431"/>
      <c r="D853" s="432">
        <f>IF(B853=0,0,VLOOKUP(B853,Supplies!$B$13:$C$97,2,FALSE))</f>
        <v>0</v>
      </c>
      <c r="E853" s="385">
        <f t="shared" si="92"/>
        <v>0</v>
      </c>
      <c r="G853" s="100">
        <v>6</v>
      </c>
      <c r="H853" s="433"/>
      <c r="I853" s="434"/>
      <c r="J853" s="435"/>
      <c r="K853" s="436" t="str">
        <f>IF(H853=0," ",IF(VLOOKUP(H853,'Equipment List'!$B$12:$F$96,5,FALSE)=0,0,IF(VLOOKUP(H853,'Equipment List'!$B$12:$F$96,5,FALSE)="Grant","Grant",IF(VLOOKUP(H853,'Equipment List'!$B$12:$F$96,5,FALSE)="Depreciated","Depreciated",VLOOKUP(H853,'Equipment List'!$B$12:$F$96,5,FALSE)*I853*J853))))</f>
        <v xml:space="preserve"> </v>
      </c>
      <c r="L853" s="390" t="str">
        <f>IF(K853=" "," ",IF(K853="Grant",0,IF(K853="Depreciated",0,IF('kt info'!$G$55=0,"No Service Frequency",K853/'kt info'!$G$55))))</f>
        <v xml:space="preserve"> </v>
      </c>
    </row>
    <row r="854" spans="1:14" x14ac:dyDescent="0.35">
      <c r="A854" s="100">
        <v>7</v>
      </c>
      <c r="B854" s="437"/>
      <c r="C854" s="414"/>
      <c r="D854" s="415">
        <f>IF(B854=0,0,VLOOKUP(B854,Supplies!$B$13:$C$97,2,FALSE))</f>
        <v>0</v>
      </c>
      <c r="E854" s="385">
        <f t="shared" si="92"/>
        <v>0</v>
      </c>
      <c r="G854" s="100">
        <v>7</v>
      </c>
      <c r="H854" s="437"/>
      <c r="I854" s="417"/>
      <c r="J854" s="418"/>
      <c r="K854" s="438" t="str">
        <f>IF(H854=0," ",IF(VLOOKUP(H854,'Equipment List'!$B$12:$F$96,5,FALSE)=0,0,IF(VLOOKUP(H854,'Equipment List'!$B$12:$F$96,5,FALSE)="Grant","Grant",IF(VLOOKUP(H854,'Equipment List'!$B$12:$F$96,5,FALSE)="Depreciated","Depreciated",VLOOKUP(H854,'Equipment List'!$B$12:$F$96,5,FALSE)*I854*J854))))</f>
        <v xml:space="preserve"> </v>
      </c>
      <c r="L854" s="390" t="str">
        <f>IF(K854=" "," ",IF(K854="Grant",0,IF(K854="Depreciated",0,IF('kt info'!$G$55=0,"No Service Frequency",K854/'kt info'!$G$55))))</f>
        <v xml:space="preserve"> </v>
      </c>
    </row>
    <row r="855" spans="1:14" x14ac:dyDescent="0.35">
      <c r="A855" s="100">
        <v>8</v>
      </c>
      <c r="B855" s="437"/>
      <c r="C855" s="414"/>
      <c r="D855" s="415">
        <f>IF(B855=0,0,VLOOKUP(B855,Supplies!$B$13:$C$97,2,FALSE))</f>
        <v>0</v>
      </c>
      <c r="E855" s="385">
        <f t="shared" si="92"/>
        <v>0</v>
      </c>
      <c r="G855" s="100">
        <v>8</v>
      </c>
      <c r="H855" s="437"/>
      <c r="I855" s="417"/>
      <c r="J855" s="418"/>
      <c r="K855" s="438" t="str">
        <f>IF(H855=0," ",IF(VLOOKUP(H855,'Equipment List'!$B$12:$F$96,5,FALSE)=0,0,IF(VLOOKUP(H855,'Equipment List'!$B$12:$F$96,5,FALSE)="Grant","Grant",IF(VLOOKUP(H855,'Equipment List'!$B$12:$F$96,5,FALSE)="Depreciated","Depreciated",VLOOKUP(H855,'Equipment List'!$B$12:$F$96,5,FALSE)*I855*J855))))</f>
        <v xml:space="preserve"> </v>
      </c>
      <c r="L855" s="390" t="str">
        <f>IF(K855=" "," ",IF(K855="Grant",0,IF(K855="Depreciated",0,IF('kt info'!$G$55=0,"No Service Frequency",K855/'kt info'!$G$55))))</f>
        <v xml:space="preserve"> </v>
      </c>
    </row>
    <row r="856" spans="1:14" x14ac:dyDescent="0.35">
      <c r="A856" s="100">
        <v>9</v>
      </c>
      <c r="B856" s="437"/>
      <c r="C856" s="414"/>
      <c r="D856" s="415">
        <f>IF(B856=0,0,VLOOKUP(B856,Supplies!$B$13:$C$97,2,FALSE))</f>
        <v>0</v>
      </c>
      <c r="E856" s="385">
        <f t="shared" si="92"/>
        <v>0</v>
      </c>
      <c r="G856" s="100">
        <v>9</v>
      </c>
      <c r="H856" s="437"/>
      <c r="I856" s="417"/>
      <c r="J856" s="418"/>
      <c r="K856" s="438" t="str">
        <f>IF(H856=0," ",IF(VLOOKUP(H856,'Equipment List'!$B$12:$F$96,5,FALSE)=0,0,IF(VLOOKUP(H856,'Equipment List'!$B$12:$F$96,5,FALSE)="Grant","Grant",IF(VLOOKUP(H856,'Equipment List'!$B$12:$F$96,5,FALSE)="Depreciated","Depreciated",VLOOKUP(H856,'Equipment List'!$B$12:$F$96,5,FALSE)*I856*J856))))</f>
        <v xml:space="preserve"> </v>
      </c>
      <c r="L856" s="390" t="str">
        <f>IF(K856=" "," ",IF(K856="Grant",0,IF(K856="Depreciated",0,IF('kt info'!$G$55=0,"No Service Frequency",K856/'kt info'!$G$55))))</f>
        <v xml:space="preserve"> </v>
      </c>
    </row>
    <row r="857" spans="1:14" ht="15" thickBot="1" x14ac:dyDescent="0.4">
      <c r="A857" s="100">
        <v>10</v>
      </c>
      <c r="B857" s="439"/>
      <c r="C857" s="423"/>
      <c r="D857" s="424">
        <f>IF(B857=0,0,VLOOKUP(B857,Supplies!$B$13:$C$97,2,FALSE))</f>
        <v>0</v>
      </c>
      <c r="E857" s="377">
        <f t="shared" si="92"/>
        <v>0</v>
      </c>
      <c r="G857" s="100">
        <v>10</v>
      </c>
      <c r="H857" s="439"/>
      <c r="I857" s="426"/>
      <c r="J857" s="427"/>
      <c r="K857" s="440" t="str">
        <f>IF(H857=0," ",IF(VLOOKUP(H857,'Equipment List'!$B$12:$F$96,5,FALSE)=0,0,IF(VLOOKUP(H857,'Equipment List'!$B$12:$F$96,5,FALSE)="Grant","Grant",IF(VLOOKUP(H857,'Equipment List'!$B$12:$F$96,5,FALSE)="Depreciated","Depreciated",VLOOKUP(H857,'Equipment List'!$B$12:$F$96,5,FALSE)*I857*J857))))</f>
        <v xml:space="preserve"> </v>
      </c>
      <c r="L857" s="382" t="str">
        <f>IF(K857=" "," ",IF(K857="Grant",0,IF(K857="Depreciated",0,IF('kt info'!$G$55=0,"No Service Frequency",K857/'kt info'!$G$55))))</f>
        <v xml:space="preserve"> </v>
      </c>
    </row>
    <row r="858" spans="1:14" x14ac:dyDescent="0.35">
      <c r="A858" s="100">
        <v>11</v>
      </c>
      <c r="B858" s="433"/>
      <c r="C858" s="431"/>
      <c r="D858" s="432">
        <f>IF(B858=0,0,VLOOKUP(B858,Supplies!$B$13:$C$97,2,FALSE))</f>
        <v>0</v>
      </c>
      <c r="E858" s="385">
        <f t="shared" si="92"/>
        <v>0</v>
      </c>
    </row>
    <row r="859" spans="1:14" ht="15" thickBot="1" x14ac:dyDescent="0.4">
      <c r="A859" s="100">
        <v>12</v>
      </c>
      <c r="B859" s="437"/>
      <c r="C859" s="414"/>
      <c r="D859" s="415">
        <f>IF(B859=0,0,VLOOKUP(B859,Supplies!$B$13:$C$97,2,FALSE))</f>
        <v>0</v>
      </c>
      <c r="E859" s="385">
        <f t="shared" si="92"/>
        <v>0</v>
      </c>
      <c r="H859" s="817" t="s">
        <v>200</v>
      </c>
      <c r="I859" s="816"/>
      <c r="J859" s="354"/>
      <c r="K859" s="354"/>
      <c r="L859" s="354"/>
      <c r="M859" s="354"/>
    </row>
    <row r="860" spans="1:14" x14ac:dyDescent="0.35">
      <c r="A860" s="100">
        <v>13</v>
      </c>
      <c r="B860" s="437"/>
      <c r="C860" s="414"/>
      <c r="D860" s="415">
        <f>IF(B860=0,0,VLOOKUP(B860,Supplies!$B$13:$C$97,2,FALSE))</f>
        <v>0</v>
      </c>
      <c r="E860" s="385">
        <f t="shared" si="92"/>
        <v>0</v>
      </c>
      <c r="H860" s="441" t="s">
        <v>159</v>
      </c>
      <c r="I860" s="4" t="s">
        <v>92</v>
      </c>
      <c r="J860" s="4" t="s">
        <v>300</v>
      </c>
      <c r="K860" s="350" t="s">
        <v>93</v>
      </c>
      <c r="L860" s="4" t="s">
        <v>12</v>
      </c>
      <c r="M860" s="4" t="s">
        <v>12</v>
      </c>
      <c r="N860" s="481"/>
    </row>
    <row r="861" spans="1:14" ht="15" thickBot="1" x14ac:dyDescent="0.4">
      <c r="A861" s="100">
        <v>14</v>
      </c>
      <c r="B861" s="437"/>
      <c r="C861" s="414"/>
      <c r="D861" s="415">
        <f>IF(B861=0,0,VLOOKUP(B861,Supplies!$B$13:$C$97,2,FALSE))</f>
        <v>0</v>
      </c>
      <c r="E861" s="385">
        <f t="shared" si="92"/>
        <v>0</v>
      </c>
      <c r="H861" s="305" t="s">
        <v>13</v>
      </c>
      <c r="I861" s="5" t="s">
        <v>301</v>
      </c>
      <c r="J861" s="5" t="s">
        <v>169</v>
      </c>
      <c r="K861" s="354" t="s">
        <v>94</v>
      </c>
      <c r="L861" s="5" t="s">
        <v>302</v>
      </c>
      <c r="M861" s="5" t="s">
        <v>240</v>
      </c>
      <c r="N861" s="481"/>
    </row>
    <row r="862" spans="1:14" ht="15" thickBot="1" x14ac:dyDescent="0.4">
      <c r="A862" s="100">
        <v>15</v>
      </c>
      <c r="B862" s="439"/>
      <c r="C862" s="442"/>
      <c r="D862" s="443">
        <f>IF(B862=0,0,VLOOKUP(B862,Supplies!$B$13:$C$97,2,FALSE))</f>
        <v>0</v>
      </c>
      <c r="E862" s="377">
        <f t="shared" si="92"/>
        <v>0</v>
      </c>
      <c r="G862" s="393"/>
      <c r="H862" s="258"/>
      <c r="I862" s="444"/>
      <c r="J862" s="445"/>
      <c r="K862" s="446">
        <f>IF(H862=0,0,VLOOKUP(H862,Transportation!$B$6:$L$16,11,FALSE))</f>
        <v>0</v>
      </c>
      <c r="L862" s="447">
        <f>IF(I862=0,0,I862*K862)</f>
        <v>0</v>
      </c>
      <c r="M862" s="448">
        <f>IF(I862=0,0,I862*K862*J862)</f>
        <v>0</v>
      </c>
      <c r="N862" s="487"/>
    </row>
    <row r="863" spans="1:14" ht="15" thickBot="1" x14ac:dyDescent="0.4">
      <c r="A863" s="100">
        <v>16</v>
      </c>
      <c r="B863" s="433"/>
      <c r="C863" s="449"/>
      <c r="D863" s="450">
        <f>IF(B863=0,0,VLOOKUP(B863,Supplies!$B$13:$C$97,2,FALSE))</f>
        <v>0</v>
      </c>
      <c r="E863" s="385">
        <f t="shared" si="92"/>
        <v>0</v>
      </c>
      <c r="H863" s="259"/>
      <c r="I863" s="451"/>
      <c r="J863" s="452"/>
      <c r="K863" s="453">
        <f>IF(H863=0,0,VLOOKUP(H863,Transportation!$B$6:$L$16,11,FALSE))</f>
        <v>0</v>
      </c>
      <c r="L863" s="454">
        <f>IF(I863=0,0,I863*K863)</f>
        <v>0</v>
      </c>
      <c r="M863" s="455">
        <f>IF(I863=0,0,I863*K863*J863)</f>
        <v>0</v>
      </c>
      <c r="N863" s="487"/>
    </row>
    <row r="864" spans="1:14" x14ac:dyDescent="0.35">
      <c r="A864" s="100">
        <v>17</v>
      </c>
      <c r="B864" s="437"/>
      <c r="C864" s="456"/>
      <c r="D864" s="457">
        <f>IF(B864=0,0,VLOOKUP(B864,Supplies!$B$13:$C$97,2,FALSE))</f>
        <v>0</v>
      </c>
      <c r="E864" s="385">
        <f>IF(D864=" "," ",D864*C864)</f>
        <v>0</v>
      </c>
      <c r="H864" s="260"/>
      <c r="I864" s="458"/>
      <c r="J864" s="459"/>
      <c r="K864" s="460"/>
      <c r="L864" s="460"/>
      <c r="M864" s="460"/>
      <c r="N864" s="483"/>
    </row>
    <row r="865" spans="1:14" ht="15" thickBot="1" x14ac:dyDescent="0.4">
      <c r="A865" s="100">
        <v>18</v>
      </c>
      <c r="B865" s="437"/>
      <c r="C865" s="456"/>
      <c r="D865" s="457">
        <f>IF(B865=0,0,VLOOKUP(B865,Supplies!$B$13:$C$97,2,FALSE))</f>
        <v>0</v>
      </c>
      <c r="E865" s="385">
        <f>IF(D865=" "," ",D865*C865)</f>
        <v>0</v>
      </c>
      <c r="H865" s="461" t="s">
        <v>201</v>
      </c>
      <c r="I865" s="462"/>
      <c r="J865" s="463"/>
      <c r="K865" s="464"/>
      <c r="L865" s="464"/>
      <c r="M865" s="464"/>
      <c r="N865" s="483"/>
    </row>
    <row r="866" spans="1:14" x14ac:dyDescent="0.35">
      <c r="A866" s="100">
        <v>19</v>
      </c>
      <c r="B866" s="437"/>
      <c r="C866" s="456"/>
      <c r="D866" s="457">
        <f>IF(B866=0,0,VLOOKUP(B866,Supplies!$B$13:$C$97,2,FALSE))</f>
        <v>0</v>
      </c>
      <c r="E866" s="385">
        <f>IF(D866=" "," ",D866*C866)</f>
        <v>0</v>
      </c>
      <c r="H866" s="465" t="s">
        <v>202</v>
      </c>
      <c r="I866" s="466" t="s">
        <v>204</v>
      </c>
      <c r="J866" s="463"/>
      <c r="K866" s="464"/>
      <c r="L866" s="464"/>
      <c r="M866" s="464"/>
      <c r="N866" s="483"/>
    </row>
    <row r="867" spans="1:14" ht="15" thickBot="1" x14ac:dyDescent="0.4">
      <c r="A867" s="100">
        <v>20</v>
      </c>
      <c r="B867" s="439"/>
      <c r="C867" s="442"/>
      <c r="D867" s="443">
        <f>IF(B867=0,0,VLOOKUP(B867,Supplies!$B$13:$C$97,2,FALSE))</f>
        <v>0</v>
      </c>
      <c r="E867" s="377">
        <f>IF(D867=" "," ",D867*C867)</f>
        <v>0</v>
      </c>
      <c r="H867" s="467"/>
      <c r="I867" s="484" t="str">
        <f>IF(H867=0," ",VLOOKUP(H867,Subcontractors!$B$15:$E$25,4))</f>
        <v xml:space="preserve"> </v>
      </c>
      <c r="J867" s="463"/>
      <c r="K867" s="464"/>
      <c r="L867" s="464"/>
      <c r="M867" s="464"/>
    </row>
    <row r="868" spans="1:14" ht="15" thickBot="1" x14ac:dyDescent="0.4">
      <c r="A868" s="100"/>
      <c r="B868" s="335"/>
      <c r="C868" s="485"/>
      <c r="D868" s="397"/>
      <c r="E868" s="397"/>
      <c r="H868" s="469"/>
      <c r="I868" s="486" t="str">
        <f>IF(H868=0," ",VLOOKUP(H868,Subcontractors!$B$15:$E$25,4))</f>
        <v xml:space="preserve"> </v>
      </c>
    </row>
    <row r="869" spans="1:14" x14ac:dyDescent="0.35">
      <c r="A869" s="100"/>
      <c r="B869" s="335"/>
      <c r="C869" s="485"/>
      <c r="D869" s="397"/>
      <c r="E869" s="397"/>
      <c r="H869" s="473"/>
      <c r="I869" s="404"/>
    </row>
    <row r="870" spans="1:14" ht="21" x14ac:dyDescent="0.35">
      <c r="A870" s="818" t="s">
        <v>191</v>
      </c>
      <c r="B870" s="819"/>
      <c r="C870" s="819"/>
      <c r="D870" s="819"/>
      <c r="E870" s="819"/>
      <c r="F870" s="819"/>
      <c r="G870" s="150" t="str">
        <f>'kt info'!B55</f>
        <v>Enter Periodical Service 8</v>
      </c>
      <c r="H870" s="307"/>
      <c r="I870" s="261"/>
      <c r="J870" s="149"/>
      <c r="K870" s="149"/>
      <c r="L870" s="149"/>
      <c r="M870" s="149"/>
      <c r="N870" s="149"/>
    </row>
    <row r="871" spans="1:14" ht="18.5" x14ac:dyDescent="0.35">
      <c r="A871" s="818" t="s">
        <v>193</v>
      </c>
      <c r="B871" s="818"/>
      <c r="C871" s="818"/>
      <c r="D871" s="818"/>
      <c r="E871" s="818"/>
      <c r="F871" s="818"/>
      <c r="G871" s="150" t="str">
        <f>'kt info'!B57</f>
        <v>Enter Periodical Service 9</v>
      </c>
      <c r="H871" s="301"/>
      <c r="I871" s="150"/>
      <c r="J871" s="150"/>
      <c r="K871" s="150"/>
      <c r="L871" s="150"/>
      <c r="M871" s="150"/>
      <c r="N871" s="150"/>
    </row>
    <row r="873" spans="1:14" x14ac:dyDescent="0.35">
      <c r="B873" s="222" t="s">
        <v>109</v>
      </c>
      <c r="C873" s="741">
        <f>'kt info'!$C$3</f>
        <v>0</v>
      </c>
      <c r="D873" s="824"/>
      <c r="E873" s="824"/>
      <c r="F873" s="825"/>
      <c r="H873" s="333"/>
      <c r="J873" s="811" t="s">
        <v>170</v>
      </c>
      <c r="K873" s="708"/>
      <c r="L873" s="708"/>
      <c r="M873" s="708"/>
    </row>
    <row r="874" spans="1:14" x14ac:dyDescent="0.35">
      <c r="C874" s="300"/>
      <c r="D874" s="100"/>
      <c r="E874" s="100"/>
      <c r="F874" s="100"/>
      <c r="I874" s="329"/>
      <c r="J874" s="329" t="str">
        <f>$B$10</f>
        <v>All Carpets</v>
      </c>
      <c r="L874" s="336" t="str">
        <f>$B$415</f>
        <v>Enter Periodical Service 1</v>
      </c>
    </row>
    <row r="875" spans="1:14" x14ac:dyDescent="0.35">
      <c r="B875" s="222" t="s">
        <v>110</v>
      </c>
      <c r="C875" s="741">
        <f>'kt info'!$C$5</f>
        <v>0</v>
      </c>
      <c r="D875" s="824"/>
      <c r="E875" s="824"/>
      <c r="F875" s="825"/>
      <c r="J875" s="329" t="str">
        <f>$B$67</f>
        <v>High Traffic Carpet</v>
      </c>
      <c r="L875" s="336" t="str">
        <f>$B$473</f>
        <v>Enter Periodical Service 2</v>
      </c>
    </row>
    <row r="876" spans="1:14" x14ac:dyDescent="0.35">
      <c r="C876" s="300"/>
      <c r="D876" s="100"/>
      <c r="E876" s="100"/>
      <c r="F876" s="100"/>
      <c r="J876" s="329" t="str">
        <f>$B$125</f>
        <v>Hard Floor Strip and Wax</v>
      </c>
      <c r="L876" s="336" t="str">
        <f>$B$531</f>
        <v>Enter Periodical Service 3</v>
      </c>
    </row>
    <row r="877" spans="1:14" x14ac:dyDescent="0.35">
      <c r="B877" s="222" t="s">
        <v>135</v>
      </c>
      <c r="C877" s="741">
        <f>'kt info'!$C$7</f>
        <v>0</v>
      </c>
      <c r="D877" s="824"/>
      <c r="E877" s="824"/>
      <c r="F877" s="825"/>
      <c r="J877" s="329" t="str">
        <f>$B$183</f>
        <v>Hard Floor Scrub and Seal</v>
      </c>
      <c r="L877" s="336" t="str">
        <f>$B$589</f>
        <v>Enter Periodical Service 4</v>
      </c>
    </row>
    <row r="878" spans="1:14" x14ac:dyDescent="0.35">
      <c r="J878" s="336" t="str">
        <f>$B$241</f>
        <v>Window Washing</v>
      </c>
      <c r="L878" s="336" t="str">
        <f>$B$647</f>
        <v>Enter Periodical Service 5</v>
      </c>
    </row>
    <row r="879" spans="1:14" ht="18.5" x14ac:dyDescent="0.35">
      <c r="A879" s="337"/>
      <c r="B879" s="490" t="str">
        <f>'kt info'!B57</f>
        <v>Enter Periodical Service 9</v>
      </c>
      <c r="C879" s="339"/>
      <c r="D879" s="337"/>
      <c r="E879" s="337"/>
      <c r="F879" s="337"/>
      <c r="G879" s="337"/>
      <c r="H879" s="302" t="s">
        <v>77</v>
      </c>
      <c r="I879" s="236" t="s">
        <v>238</v>
      </c>
      <c r="J879" s="336" t="str">
        <f>$B$299</f>
        <v>Clean Chairs</v>
      </c>
      <c r="L879" s="336" t="str">
        <f>$B$705</f>
        <v>Enter Periodical Service 6</v>
      </c>
      <c r="M879" s="337"/>
      <c r="N879" s="337"/>
    </row>
    <row r="880" spans="1:14" x14ac:dyDescent="0.35">
      <c r="G880" s="178" t="s">
        <v>79</v>
      </c>
      <c r="H880" s="341">
        <f>IF(SUM(M892:M901)&gt;0,SUM(M892:M901)/'kt info'!$G$57,0)</f>
        <v>0</v>
      </c>
      <c r="I880" s="342">
        <f>H880*'kt info'!$G$57</f>
        <v>0</v>
      </c>
      <c r="J880" s="336" t="str">
        <f>$B$357</f>
        <v>High Dusting</v>
      </c>
      <c r="L880" s="336" t="str">
        <f>$B$763</f>
        <v>Enter Periodical Service 7</v>
      </c>
    </row>
    <row r="881" spans="1:14" x14ac:dyDescent="0.35">
      <c r="B881" s="343" t="s">
        <v>78</v>
      </c>
      <c r="G881" s="178" t="s">
        <v>189</v>
      </c>
      <c r="H881" s="344">
        <f>IF(SUM(K892:K901)&gt;0,SUM(K892:K901),0)</f>
        <v>0</v>
      </c>
      <c r="I881" s="345">
        <f>H881*'kt info'!$G$57</f>
        <v>0</v>
      </c>
      <c r="J881" s="336"/>
      <c r="L881" s="336" t="str">
        <f>$B$821</f>
        <v>Enter Periodical Service 8</v>
      </c>
    </row>
    <row r="882" spans="1:14" x14ac:dyDescent="0.35">
      <c r="B882" s="177" t="s">
        <v>96</v>
      </c>
      <c r="C882" s="346">
        <f>'kt info'!E57</f>
        <v>0</v>
      </c>
      <c r="G882" s="178" t="s">
        <v>80</v>
      </c>
      <c r="H882" s="344">
        <f>IF(SUM(E906:E925)&gt;0,SUM(E906:E925),0)</f>
        <v>0</v>
      </c>
      <c r="I882" s="345">
        <f>H882*'kt info'!$G$57</f>
        <v>0</v>
      </c>
      <c r="J882" s="336"/>
      <c r="L882" s="336" t="str">
        <f>$B$879</f>
        <v>Enter Periodical Service 9</v>
      </c>
    </row>
    <row r="883" spans="1:14" x14ac:dyDescent="0.35">
      <c r="G883" s="178" t="s">
        <v>81</v>
      </c>
      <c r="H883" s="344">
        <f>IF(SUM(L906:L915)&gt;0,SUM(L906:L915),0)</f>
        <v>0</v>
      </c>
      <c r="I883" s="345">
        <f>H883*'kt info'!$G$57</f>
        <v>0</v>
      </c>
      <c r="J883" s="336"/>
      <c r="L883" s="336" t="str">
        <f>$B$937</f>
        <v>Enter Periodical Service 10</v>
      </c>
    </row>
    <row r="884" spans="1:14" x14ac:dyDescent="0.35">
      <c r="B884" s="177" t="s">
        <v>98</v>
      </c>
      <c r="C884" s="347">
        <f>ROUND(IF(SUM(H881:H887)&gt;0,SUM(H881:H887),0),0)</f>
        <v>0</v>
      </c>
      <c r="G884" s="178" t="s">
        <v>89</v>
      </c>
      <c r="H884" s="344">
        <f>IF(SUM(J919:J923)&gt;0,SUM(L919:L923),0)</f>
        <v>0</v>
      </c>
      <c r="I884" s="345">
        <f>H884*'kt info'!$G$57</f>
        <v>0</v>
      </c>
      <c r="J884" s="329"/>
      <c r="K884" s="336"/>
    </row>
    <row r="885" spans="1:14" x14ac:dyDescent="0.35">
      <c r="G885" s="178" t="s">
        <v>201</v>
      </c>
      <c r="H885" s="344">
        <f>IF(SUM(I925:I926)=0,0,SUM(I925:I926))</f>
        <v>0</v>
      </c>
      <c r="I885" s="345">
        <f>H885*'kt info'!$G$57</f>
        <v>0</v>
      </c>
      <c r="K885" s="336"/>
    </row>
    <row r="886" spans="1:14" x14ac:dyDescent="0.35">
      <c r="B886" s="177" t="s">
        <v>97</v>
      </c>
      <c r="C886" s="347">
        <f>IF(C882&gt;0,C884/C882,0)</f>
        <v>0</v>
      </c>
      <c r="G886" s="178" t="s">
        <v>87</v>
      </c>
      <c r="H886" s="344">
        <f>IF('Overhead &amp; Margin'!$D$10&gt;0,((H881+H882+H883+H884+H885)*'Overhead &amp; Margin'!$D$10/(1-('Overhead &amp; Margin'!$D$10+'Overhead &amp; Margin'!$G$10))),0)</f>
        <v>0</v>
      </c>
      <c r="I886" s="345">
        <f>H886*'kt info'!$G$57</f>
        <v>0</v>
      </c>
      <c r="K886" s="336"/>
    </row>
    <row r="887" spans="1:14" x14ac:dyDescent="0.35">
      <c r="G887" s="178" t="s">
        <v>88</v>
      </c>
      <c r="H887" s="344">
        <f>IF('Overhead &amp; Margin'!$G$10=0,0,'Overhead &amp; Margin'!$G$10*(H881+H882+H883+H884+H885)/(1-('Overhead &amp; Margin'!$D$10+'Overhead &amp; Margin'!$G$10)))</f>
        <v>0</v>
      </c>
      <c r="I887" s="345">
        <f>H887*'kt info'!$G$57</f>
        <v>0</v>
      </c>
    </row>
    <row r="888" spans="1:14" x14ac:dyDescent="0.35">
      <c r="M888" s="605" t="str">
        <f>'kt info'!$B$12</f>
        <v>Form date: 10/24/25</v>
      </c>
    </row>
    <row r="889" spans="1:14" ht="15" thickBot="1" x14ac:dyDescent="0.4">
      <c r="B889" s="348" t="s">
        <v>104</v>
      </c>
    </row>
    <row r="890" spans="1:14" x14ac:dyDescent="0.35">
      <c r="B890" s="84" t="s">
        <v>18</v>
      </c>
      <c r="C890" s="349" t="s">
        <v>19</v>
      </c>
      <c r="D890" s="350" t="s">
        <v>25</v>
      </c>
      <c r="E890" s="350" t="s">
        <v>20</v>
      </c>
      <c r="F890" s="826" t="s">
        <v>22</v>
      </c>
      <c r="G890" s="826"/>
      <c r="H890" s="351" t="s">
        <v>23</v>
      </c>
      <c r="I890" s="350" t="s">
        <v>21</v>
      </c>
      <c r="J890" s="350" t="s">
        <v>24</v>
      </c>
      <c r="K890" s="350" t="s">
        <v>77</v>
      </c>
      <c r="L890" s="352" t="s">
        <v>26</v>
      </c>
      <c r="M890" s="4" t="s">
        <v>27</v>
      </c>
      <c r="N890" s="4" t="s">
        <v>0</v>
      </c>
    </row>
    <row r="891" spans="1:14" ht="15" thickBot="1" x14ac:dyDescent="0.4">
      <c r="B891" s="22" t="s">
        <v>306</v>
      </c>
      <c r="C891" s="353" t="s">
        <v>28</v>
      </c>
      <c r="D891" s="354" t="s">
        <v>33</v>
      </c>
      <c r="E891" s="354" t="s">
        <v>29</v>
      </c>
      <c r="F891" s="827" t="s">
        <v>30</v>
      </c>
      <c r="G891" s="827"/>
      <c r="H891" s="355" t="s">
        <v>31</v>
      </c>
      <c r="I891" s="354"/>
      <c r="J891" s="354" t="s">
        <v>38</v>
      </c>
      <c r="K891" s="354" t="s">
        <v>189</v>
      </c>
      <c r="L891" s="356" t="s">
        <v>0</v>
      </c>
      <c r="M891" s="5" t="s">
        <v>0</v>
      </c>
      <c r="N891" s="5" t="s">
        <v>77</v>
      </c>
    </row>
    <row r="892" spans="1:14" x14ac:dyDescent="0.35">
      <c r="A892" s="100">
        <v>1</v>
      </c>
      <c r="B892" s="474"/>
      <c r="C892" s="358"/>
      <c r="D892" s="359" t="str">
        <f>IF(B892=0," ",'kt info'!$G$57)</f>
        <v xml:space="preserve"> </v>
      </c>
      <c r="E892" s="360" t="str">
        <f>IF(B892=0," ",VLOOKUP(B892,WageBeneTable5[#All],2,FALSE))</f>
        <v xml:space="preserve"> </v>
      </c>
      <c r="F892" s="820">
        <f>IF($E892=" ",0,'Pay &amp; Benefits'!$C$10)</f>
        <v>0</v>
      </c>
      <c r="G892" s="821"/>
      <c r="H892" s="361" t="str">
        <f>IF($E892=" "," ",'Pay &amp; Benefits'!$C$11)</f>
        <v xml:space="preserve"> </v>
      </c>
      <c r="I892" s="362" t="str">
        <f t="shared" ref="I892:I901" si="93">IF(E892=" "," ",0.0765)</f>
        <v xml:space="preserve"> </v>
      </c>
      <c r="J892" s="363" t="str">
        <f>IF(B892=0," ",VLOOKUP(B892,WageBeneTable5[#All],3,FALSE))</f>
        <v xml:space="preserve"> </v>
      </c>
      <c r="K892" s="360" t="str">
        <f t="shared" ref="K892:K901" si="94">IF(B892=0," ",C892*E892*(1+I892+F892+H892+J892))</f>
        <v xml:space="preserve"> </v>
      </c>
      <c r="L892" s="360">
        <f t="shared" ref="L892:L901" si="95">IF(K892=" ",0,K892*D892)</f>
        <v>0</v>
      </c>
      <c r="M892" s="364">
        <f t="shared" ref="M892:M901" si="96">IF(B892=0,0,C892*D892)</f>
        <v>0</v>
      </c>
      <c r="N892" s="365">
        <f t="shared" ref="N892:N901" si="97">IF(L892=0,0,IF(D892=0,0,L892/D892))</f>
        <v>0</v>
      </c>
    </row>
    <row r="893" spans="1:14" x14ac:dyDescent="0.35">
      <c r="A893" s="100">
        <v>2</v>
      </c>
      <c r="B893" s="437"/>
      <c r="C893" s="367"/>
      <c r="D893" s="359" t="str">
        <f>IF(B893=0," ",'kt info'!$G$57)</f>
        <v xml:space="preserve"> </v>
      </c>
      <c r="E893" s="368" t="str">
        <f>IF(B893=0," ",VLOOKUP(B893,WageBeneTable5[#All],2,FALSE))</f>
        <v xml:space="preserve"> </v>
      </c>
      <c r="F893" s="822">
        <f>IF($E893=" ",0,'Pay &amp; Benefits'!$C$10)</f>
        <v>0</v>
      </c>
      <c r="G893" s="823"/>
      <c r="H893" s="369" t="str">
        <f>IF($E893=" "," ",'Pay &amp; Benefits'!$C$11)</f>
        <v xml:space="preserve"> </v>
      </c>
      <c r="I893" s="370" t="str">
        <f t="shared" si="93"/>
        <v xml:space="preserve"> </v>
      </c>
      <c r="J893" s="371" t="str">
        <f>IF(B893=0," ",VLOOKUP(B893,WageBeneTable5[#All],3,FALSE))</f>
        <v xml:space="preserve"> </v>
      </c>
      <c r="K893" s="368" t="str">
        <f t="shared" si="94"/>
        <v xml:space="preserve"> </v>
      </c>
      <c r="L893" s="368">
        <f t="shared" si="95"/>
        <v>0</v>
      </c>
      <c r="M893" s="372">
        <f t="shared" si="96"/>
        <v>0</v>
      </c>
      <c r="N893" s="373">
        <f t="shared" si="97"/>
        <v>0</v>
      </c>
    </row>
    <row r="894" spans="1:14" x14ac:dyDescent="0.35">
      <c r="A894" s="100">
        <v>3</v>
      </c>
      <c r="B894" s="437"/>
      <c r="C894" s="367"/>
      <c r="D894" s="359" t="str">
        <f>IF(B894=0," ",'kt info'!$G$57)</f>
        <v xml:space="preserve"> </v>
      </c>
      <c r="E894" s="368" t="str">
        <f>IF(B894=0," ",VLOOKUP(B894,WageBeneTable5[#All],2,FALSE))</f>
        <v xml:space="preserve"> </v>
      </c>
      <c r="F894" s="822">
        <f>IF($E894=" ",0,'Pay &amp; Benefits'!$C$10)</f>
        <v>0</v>
      </c>
      <c r="G894" s="823"/>
      <c r="H894" s="369" t="str">
        <f>IF($E894=" "," ",'Pay &amp; Benefits'!$C$11)</f>
        <v xml:space="preserve"> </v>
      </c>
      <c r="I894" s="370" t="str">
        <f t="shared" si="93"/>
        <v xml:space="preserve"> </v>
      </c>
      <c r="J894" s="371" t="str">
        <f>IF(B894=0," ",VLOOKUP(B894,WageBeneTable5[#All],3,FALSE))</f>
        <v xml:space="preserve"> </v>
      </c>
      <c r="K894" s="368" t="str">
        <f t="shared" si="94"/>
        <v xml:space="preserve"> </v>
      </c>
      <c r="L894" s="368">
        <f t="shared" si="95"/>
        <v>0</v>
      </c>
      <c r="M894" s="372">
        <f t="shared" si="96"/>
        <v>0</v>
      </c>
      <c r="N894" s="373">
        <f t="shared" si="97"/>
        <v>0</v>
      </c>
    </row>
    <row r="895" spans="1:14" x14ac:dyDescent="0.35">
      <c r="A895" s="100">
        <v>4</v>
      </c>
      <c r="B895" s="437"/>
      <c r="C895" s="367"/>
      <c r="D895" s="359" t="str">
        <f>IF(B895=0," ",'kt info'!$G$57)</f>
        <v xml:space="preserve"> </v>
      </c>
      <c r="E895" s="368" t="str">
        <f>IF(B895=0," ",VLOOKUP(B895,WageBeneTable5[#All],2,FALSE))</f>
        <v xml:space="preserve"> </v>
      </c>
      <c r="F895" s="822">
        <f>IF($E895=" ",0,'Pay &amp; Benefits'!$C$10)</f>
        <v>0</v>
      </c>
      <c r="G895" s="823"/>
      <c r="H895" s="369" t="str">
        <f>IF($E895=" "," ",'Pay &amp; Benefits'!$C$11)</f>
        <v xml:space="preserve"> </v>
      </c>
      <c r="I895" s="370" t="str">
        <f t="shared" si="93"/>
        <v xml:space="preserve"> </v>
      </c>
      <c r="J895" s="371" t="str">
        <f>IF(B895=0," ",VLOOKUP(B895,WageBeneTable5[#All],3,FALSE))</f>
        <v xml:space="preserve"> </v>
      </c>
      <c r="K895" s="368" t="str">
        <f t="shared" si="94"/>
        <v xml:space="preserve"> </v>
      </c>
      <c r="L895" s="368">
        <f t="shared" si="95"/>
        <v>0</v>
      </c>
      <c r="M895" s="372">
        <f t="shared" si="96"/>
        <v>0</v>
      </c>
      <c r="N895" s="373">
        <f t="shared" si="97"/>
        <v>0</v>
      </c>
    </row>
    <row r="896" spans="1:14" ht="15" thickBot="1" x14ac:dyDescent="0.4">
      <c r="A896" s="100">
        <v>5</v>
      </c>
      <c r="B896" s="439"/>
      <c r="C896" s="375"/>
      <c r="D896" s="376" t="str">
        <f>IF(B896=0," ",'kt info'!$G$57)</f>
        <v xml:space="preserve"> </v>
      </c>
      <c r="E896" s="377" t="str">
        <f>IF(B896=0," ",VLOOKUP(B896,WageBeneTable5[#All],2,FALSE))</f>
        <v xml:space="preserve"> </v>
      </c>
      <c r="F896" s="813">
        <f>IF($E896=" ",0,'Pay &amp; Benefits'!$C$10)</f>
        <v>0</v>
      </c>
      <c r="G896" s="814"/>
      <c r="H896" s="378" t="str">
        <f>IF($E896=" "," ",'Pay &amp; Benefits'!$C$11)</f>
        <v xml:space="preserve"> </v>
      </c>
      <c r="I896" s="379" t="str">
        <f t="shared" si="93"/>
        <v xml:space="preserve"> </v>
      </c>
      <c r="J896" s="380" t="str">
        <f>IF(B896=0," ",VLOOKUP(B896,WageBeneTable5[#All],3,FALSE))</f>
        <v xml:space="preserve"> </v>
      </c>
      <c r="K896" s="377" t="str">
        <f t="shared" si="94"/>
        <v xml:space="preserve"> </v>
      </c>
      <c r="L896" s="377">
        <f t="shared" si="95"/>
        <v>0</v>
      </c>
      <c r="M896" s="381">
        <f t="shared" si="96"/>
        <v>0</v>
      </c>
      <c r="N896" s="382">
        <f t="shared" si="97"/>
        <v>0</v>
      </c>
    </row>
    <row r="897" spans="1:14" x14ac:dyDescent="0.35">
      <c r="A897" s="100">
        <v>6</v>
      </c>
      <c r="B897" s="474"/>
      <c r="C897" s="383"/>
      <c r="D897" s="384" t="str">
        <f>IF(B897=0," ",'kt info'!$G$57)</f>
        <v xml:space="preserve"> </v>
      </c>
      <c r="E897" s="385" t="str">
        <f>IF(B897=0," ",VLOOKUP(B897,WageBeneTable5[#All],2,FALSE))</f>
        <v xml:space="preserve"> </v>
      </c>
      <c r="F897" s="820">
        <f>IF($E897=" ",0,'Pay &amp; Benefits'!$C$10)</f>
        <v>0</v>
      </c>
      <c r="G897" s="821"/>
      <c r="H897" s="386" t="str">
        <f>IF($E897=" "," ",'Pay &amp; Benefits'!$C$11)</f>
        <v xml:space="preserve"> </v>
      </c>
      <c r="I897" s="387" t="str">
        <f t="shared" si="93"/>
        <v xml:space="preserve"> </v>
      </c>
      <c r="J897" s="388" t="str">
        <f>IF(B897=0," ",VLOOKUP(B897,WageBeneTable5[#All],3,FALSE))</f>
        <v xml:space="preserve"> </v>
      </c>
      <c r="K897" s="385" t="str">
        <f t="shared" si="94"/>
        <v xml:space="preserve"> </v>
      </c>
      <c r="L897" s="385">
        <f t="shared" si="95"/>
        <v>0</v>
      </c>
      <c r="M897" s="389">
        <f t="shared" si="96"/>
        <v>0</v>
      </c>
      <c r="N897" s="390">
        <f t="shared" si="97"/>
        <v>0</v>
      </c>
    </row>
    <row r="898" spans="1:14" x14ac:dyDescent="0.35">
      <c r="A898" s="100">
        <v>7</v>
      </c>
      <c r="B898" s="437"/>
      <c r="C898" s="367"/>
      <c r="D898" s="384" t="str">
        <f>IF(B898=0," ",'kt info'!$G$57)</f>
        <v xml:space="preserve"> </v>
      </c>
      <c r="E898" s="385" t="str">
        <f>IF(B898=0," ",VLOOKUP(B898,WageBeneTable5[#All],2,FALSE))</f>
        <v xml:space="preserve"> </v>
      </c>
      <c r="F898" s="822">
        <f>IF($E898=" ",0,'Pay &amp; Benefits'!$C$10)</f>
        <v>0</v>
      </c>
      <c r="G898" s="823"/>
      <c r="H898" s="386" t="str">
        <f>IF($E898=" "," ",'Pay &amp; Benefits'!$C$11)</f>
        <v xml:space="preserve"> </v>
      </c>
      <c r="I898" s="387" t="str">
        <f t="shared" si="93"/>
        <v xml:space="preserve"> </v>
      </c>
      <c r="J898" s="388" t="str">
        <f>IF(B898=0," ",VLOOKUP(B898,WageBeneTable5[#All],3,FALSE))</f>
        <v xml:space="preserve"> </v>
      </c>
      <c r="K898" s="385" t="str">
        <f t="shared" si="94"/>
        <v xml:space="preserve"> </v>
      </c>
      <c r="L898" s="385">
        <f t="shared" si="95"/>
        <v>0</v>
      </c>
      <c r="M898" s="389">
        <f t="shared" si="96"/>
        <v>0</v>
      </c>
      <c r="N898" s="390">
        <f t="shared" si="97"/>
        <v>0</v>
      </c>
    </row>
    <row r="899" spans="1:14" x14ac:dyDescent="0.35">
      <c r="A899" s="100">
        <v>8</v>
      </c>
      <c r="B899" s="437"/>
      <c r="C899" s="367"/>
      <c r="D899" s="384" t="str">
        <f>IF(B899=0," ",'kt info'!$G$57)</f>
        <v xml:space="preserve"> </v>
      </c>
      <c r="E899" s="385" t="str">
        <f>IF(B899=0," ",VLOOKUP(B899,WageBeneTable5[#All],2,FALSE))</f>
        <v xml:space="preserve"> </v>
      </c>
      <c r="F899" s="822">
        <f>IF($E899=" ",0,'Pay &amp; Benefits'!$C$10)</f>
        <v>0</v>
      </c>
      <c r="G899" s="823"/>
      <c r="H899" s="386" t="str">
        <f>IF($E899=" "," ",'Pay &amp; Benefits'!$C$11)</f>
        <v xml:space="preserve"> </v>
      </c>
      <c r="I899" s="387" t="str">
        <f t="shared" si="93"/>
        <v xml:space="preserve"> </v>
      </c>
      <c r="J899" s="388" t="str">
        <f>IF(B899=0," ",VLOOKUP(B899,WageBeneTable5[#All],3,FALSE))</f>
        <v xml:space="preserve"> </v>
      </c>
      <c r="K899" s="385" t="str">
        <f t="shared" si="94"/>
        <v xml:space="preserve"> </v>
      </c>
      <c r="L899" s="385">
        <f t="shared" si="95"/>
        <v>0</v>
      </c>
      <c r="M899" s="389">
        <f t="shared" si="96"/>
        <v>0</v>
      </c>
      <c r="N899" s="390">
        <f t="shared" si="97"/>
        <v>0</v>
      </c>
    </row>
    <row r="900" spans="1:14" x14ac:dyDescent="0.35">
      <c r="A900" s="100">
        <v>9</v>
      </c>
      <c r="B900" s="437"/>
      <c r="C900" s="367"/>
      <c r="D900" s="384" t="str">
        <f>IF(B900=0," ",'kt info'!$G$57)</f>
        <v xml:space="preserve"> </v>
      </c>
      <c r="E900" s="385" t="str">
        <f>IF(B900=0," ",VLOOKUP(B900,WageBeneTable5[#All],2,FALSE))</f>
        <v xml:space="preserve"> </v>
      </c>
      <c r="F900" s="822">
        <f>IF($E900=" ",0,'Pay &amp; Benefits'!$C$10)</f>
        <v>0</v>
      </c>
      <c r="G900" s="823"/>
      <c r="H900" s="386" t="str">
        <f>IF($E900=" "," ",'Pay &amp; Benefits'!$C$11)</f>
        <v xml:space="preserve"> </v>
      </c>
      <c r="I900" s="387" t="str">
        <f t="shared" si="93"/>
        <v xml:space="preserve"> </v>
      </c>
      <c r="J900" s="388" t="str">
        <f>IF(B900=0," ",VLOOKUP(B900,WageBeneTable5[#All],3,FALSE))</f>
        <v xml:space="preserve"> </v>
      </c>
      <c r="K900" s="385" t="str">
        <f t="shared" si="94"/>
        <v xml:space="preserve"> </v>
      </c>
      <c r="L900" s="385">
        <f t="shared" si="95"/>
        <v>0</v>
      </c>
      <c r="M900" s="389">
        <f t="shared" si="96"/>
        <v>0</v>
      </c>
      <c r="N900" s="390">
        <f t="shared" si="97"/>
        <v>0</v>
      </c>
    </row>
    <row r="901" spans="1:14" ht="15" thickBot="1" x14ac:dyDescent="0.4">
      <c r="A901" s="100">
        <v>10</v>
      </c>
      <c r="B901" s="439"/>
      <c r="C901" s="375"/>
      <c r="D901" s="376" t="str">
        <f>IF(B901=0," ",'kt info'!$G$57)</f>
        <v xml:space="preserve"> </v>
      </c>
      <c r="E901" s="377" t="str">
        <f>IF(B901=0," ",VLOOKUP(B901,WageBeneTable5[#All],2,FALSE))</f>
        <v xml:space="preserve"> </v>
      </c>
      <c r="F901" s="813">
        <f>IF($E901=" ",0,'Pay &amp; Benefits'!$C$10)</f>
        <v>0</v>
      </c>
      <c r="G901" s="814"/>
      <c r="H901" s="378" t="str">
        <f>IF($E901=" "," ",'Pay &amp; Benefits'!$C$11)</f>
        <v xml:space="preserve"> </v>
      </c>
      <c r="I901" s="379" t="str">
        <f t="shared" si="93"/>
        <v xml:space="preserve"> </v>
      </c>
      <c r="J901" s="380" t="str">
        <f>IF(B901=0," ",VLOOKUP(B901,WageBeneTable5[#All],3,FALSE))</f>
        <v xml:space="preserve"> </v>
      </c>
      <c r="K901" s="377" t="str">
        <f t="shared" si="94"/>
        <v xml:space="preserve"> </v>
      </c>
      <c r="L901" s="377">
        <f t="shared" si="95"/>
        <v>0</v>
      </c>
      <c r="M901" s="381">
        <f t="shared" si="96"/>
        <v>0</v>
      </c>
      <c r="N901" s="382">
        <f t="shared" si="97"/>
        <v>0</v>
      </c>
    </row>
    <row r="902" spans="1:14" x14ac:dyDescent="0.35">
      <c r="K902" s="391"/>
      <c r="L902" s="392"/>
      <c r="M902" s="393"/>
    </row>
    <row r="903" spans="1:14" ht="15" thickBot="1" x14ac:dyDescent="0.4">
      <c r="B903" s="394" t="s">
        <v>203</v>
      </c>
      <c r="E903" s="395"/>
      <c r="H903" s="815" t="s">
        <v>199</v>
      </c>
      <c r="I903" s="816"/>
      <c r="M903" s="475"/>
      <c r="N903" s="100"/>
    </row>
    <row r="904" spans="1:14" x14ac:dyDescent="0.35">
      <c r="B904" s="32" t="s">
        <v>123</v>
      </c>
      <c r="C904" s="398" t="s">
        <v>239</v>
      </c>
      <c r="D904" s="399" t="s">
        <v>9</v>
      </c>
      <c r="E904" s="400" t="s">
        <v>83</v>
      </c>
      <c r="H904" s="303" t="s">
        <v>15</v>
      </c>
      <c r="I904" s="4" t="s">
        <v>85</v>
      </c>
      <c r="J904" s="4" t="s">
        <v>16</v>
      </c>
      <c r="K904" s="4" t="s">
        <v>241</v>
      </c>
      <c r="L904" s="4" t="s">
        <v>83</v>
      </c>
      <c r="M904" s="476"/>
      <c r="N904" s="477"/>
    </row>
    <row r="905" spans="1:14" ht="15" thickBot="1" x14ac:dyDescent="0.4">
      <c r="B905" s="33" t="s">
        <v>124</v>
      </c>
      <c r="C905" s="401" t="s">
        <v>84</v>
      </c>
      <c r="D905" s="402" t="s">
        <v>10</v>
      </c>
      <c r="E905" s="403" t="s">
        <v>84</v>
      </c>
      <c r="H905" s="304" t="s">
        <v>13</v>
      </c>
      <c r="I905" s="5" t="s">
        <v>86</v>
      </c>
      <c r="J905" s="5" t="s">
        <v>17</v>
      </c>
      <c r="K905" s="5" t="s">
        <v>12</v>
      </c>
      <c r="L905" s="5" t="s">
        <v>84</v>
      </c>
      <c r="M905" s="478"/>
      <c r="N905" s="479"/>
    </row>
    <row r="906" spans="1:14" x14ac:dyDescent="0.35">
      <c r="A906" s="100">
        <v>1</v>
      </c>
      <c r="B906" s="474"/>
      <c r="C906" s="406"/>
      <c r="D906" s="407">
        <f>IF(B906=0,0,VLOOKUP(B906,Supplies!$B$13:$C$97,2,FALSE))</f>
        <v>0</v>
      </c>
      <c r="E906" s="360">
        <f>IF(D906=" "," ",D906*C906)</f>
        <v>0</v>
      </c>
      <c r="G906" s="100">
        <v>1</v>
      </c>
      <c r="H906" s="408"/>
      <c r="I906" s="409"/>
      <c r="J906" s="410"/>
      <c r="K906" s="331" t="str">
        <f>IF(H906=0," ",IF(VLOOKUP(H906,'Equipment List'!$B$12:$F$96,5,FALSE)=0,0,IF(VLOOKUP(H906,'Equipment List'!$B$12:$F$96,5,FALSE)="Grant","Grant",IF(VLOOKUP(H906,'Equipment List'!$B$12:$F$96,5,FALSE)="Depreciated","Depreciated",VLOOKUP(H906,'Equipment List'!$B$12:$F$96,5,FALSE)*I906*J906))))</f>
        <v xml:space="preserve"> </v>
      </c>
      <c r="L906" s="365" t="str">
        <f>IF(K906=" "," ",IF(K906="Grant",0,IF(K906="Depreciated",0,IF('kt info'!$G$57=0,"No Service Frequency",K906/'kt info'!$G$57))))</f>
        <v xml:space="preserve"> </v>
      </c>
      <c r="M906" s="480"/>
      <c r="N906" s="404"/>
    </row>
    <row r="907" spans="1:14" x14ac:dyDescent="0.35">
      <c r="A907" s="100">
        <v>2</v>
      </c>
      <c r="B907" s="437"/>
      <c r="C907" s="414"/>
      <c r="D907" s="415">
        <f>IF(B907=0,0,VLOOKUP(B907,Supplies!$B$13:$C$97,2,FALSE))</f>
        <v>0</v>
      </c>
      <c r="E907" s="385">
        <f t="shared" ref="E907:E921" si="98">IF(D907=" "," ",D907*C907)</f>
        <v>0</v>
      </c>
      <c r="G907" s="100">
        <v>2</v>
      </c>
      <c r="H907" s="416"/>
      <c r="I907" s="417"/>
      <c r="J907" s="418"/>
      <c r="K907" s="421" t="str">
        <f>IF(H907=0," ",IF(VLOOKUP(H907,'Equipment List'!$B$12:$F$96,5,FALSE)=0,0,IF(VLOOKUP(H907,'Equipment List'!$B$12:$F$96,5,FALSE)="Grant","Grant",IF(VLOOKUP(H907,'Equipment List'!$B$12:$F$96,5,FALSE)="Depreciated","Depreciated",VLOOKUP(H907,'Equipment List'!$B$12:$F$96,5,FALSE)*I907*J907))))</f>
        <v xml:space="preserve"> </v>
      </c>
      <c r="L907" s="390" t="str">
        <f>IF(K907=" "," ",IF(K907="Grant",0,IF(K907="Depreciated",0,IF('kt info'!$G$57=0,"No Service Frequency",K907/'kt info'!$G$57))))</f>
        <v xml:space="preserve"> </v>
      </c>
    </row>
    <row r="908" spans="1:14" x14ac:dyDescent="0.35">
      <c r="A908" s="100">
        <v>3</v>
      </c>
      <c r="B908" s="437"/>
      <c r="C908" s="414"/>
      <c r="D908" s="415">
        <f>IF(B908=0,0,VLOOKUP(B908,Supplies!$B$13:$C$97,2,FALSE))</f>
        <v>0</v>
      </c>
      <c r="E908" s="385">
        <f t="shared" si="98"/>
        <v>0</v>
      </c>
      <c r="G908" s="100">
        <v>3</v>
      </c>
      <c r="H908" s="416"/>
      <c r="I908" s="417"/>
      <c r="J908" s="418"/>
      <c r="K908" s="421" t="str">
        <f>IF(H908=0," ",IF(VLOOKUP(H908,'Equipment List'!$B$12:$F$96,5,FALSE)=0,0,IF(VLOOKUP(H908,'Equipment List'!$B$12:$F$96,5,FALSE)="Grant","Grant",IF(VLOOKUP(H908,'Equipment List'!$B$12:$F$96,5,FALSE)="Depreciated","Depreciated",VLOOKUP(H908,'Equipment List'!$B$12:$F$96,5,FALSE)*I908*J908))))</f>
        <v xml:space="preserve"> </v>
      </c>
      <c r="L908" s="390" t="str">
        <f>IF(K908=" "," ",IF(K908="Grant",0,IF(K908="Depreciated",0,IF('kt info'!$G$57=0,"No Service Frequency",K908/'kt info'!$G$57))))</f>
        <v xml:space="preserve"> </v>
      </c>
    </row>
    <row r="909" spans="1:14" x14ac:dyDescent="0.35">
      <c r="A909" s="100">
        <v>4</v>
      </c>
      <c r="B909" s="437"/>
      <c r="C909" s="414"/>
      <c r="D909" s="415">
        <f>IF(B909=0,0,VLOOKUP(B909,Supplies!$B$13:$C$97,2,FALSE))</f>
        <v>0</v>
      </c>
      <c r="E909" s="385">
        <f t="shared" si="98"/>
        <v>0</v>
      </c>
      <c r="G909" s="100">
        <v>4</v>
      </c>
      <c r="H909" s="416"/>
      <c r="I909" s="417"/>
      <c r="J909" s="418"/>
      <c r="K909" s="421" t="str">
        <f>IF(H909=0," ",IF(VLOOKUP(H909,'Equipment List'!$B$12:$F$96,5,FALSE)=0,0,IF(VLOOKUP(H909,'Equipment List'!$B$12:$F$96,5,FALSE)="Grant","Grant",IF(VLOOKUP(H909,'Equipment List'!$B$12:$F$96,5,FALSE)="Depreciated","Depreciated",VLOOKUP(H909,'Equipment List'!$B$12:$F$96,5,FALSE)*I909*J909))))</f>
        <v xml:space="preserve"> </v>
      </c>
      <c r="L909" s="390" t="str">
        <f>IF(K909=" "," ",IF(K909="Grant",0,IF(K909="Depreciated",0,IF('kt info'!$G$57=0,"No Service Frequency",K909/'kt info'!$G$57))))</f>
        <v xml:space="preserve"> </v>
      </c>
    </row>
    <row r="910" spans="1:14" ht="15" thickBot="1" x14ac:dyDescent="0.4">
      <c r="A910" s="100">
        <v>5</v>
      </c>
      <c r="B910" s="439"/>
      <c r="C910" s="423"/>
      <c r="D910" s="424">
        <f>IF(B910=0,0,VLOOKUP(B910,Supplies!$B$13:$C$97,2,FALSE))</f>
        <v>0</v>
      </c>
      <c r="E910" s="377">
        <f t="shared" si="98"/>
        <v>0</v>
      </c>
      <c r="G910" s="100">
        <v>5</v>
      </c>
      <c r="H910" s="425"/>
      <c r="I910" s="426"/>
      <c r="J910" s="427"/>
      <c r="K910" s="428" t="str">
        <f>IF(H910=0," ",IF(VLOOKUP(H910,'Equipment List'!$B$12:$F$96,5,FALSE)=0,0,IF(VLOOKUP(H910,'Equipment List'!$B$12:$F$96,5,FALSE)="Grant","Grant",IF(VLOOKUP(H910,'Equipment List'!$B$12:$F$96,5,FALSE)="Depreciated","Depreciated",VLOOKUP(H910,'Equipment List'!$B$12:$F$96,5,FALSE)*I910*J910))))</f>
        <v xml:space="preserve"> </v>
      </c>
      <c r="L910" s="382" t="str">
        <f>IF(K910=" "," ",IF(K910="Grant",0,IF(K910="Depreciated",0,IF('kt info'!$G$57=0,"No Service Frequency",K910/'kt info'!$G$57))))</f>
        <v xml:space="preserve"> </v>
      </c>
    </row>
    <row r="911" spans="1:14" x14ac:dyDescent="0.35">
      <c r="A911" s="100">
        <v>6</v>
      </c>
      <c r="B911" s="433"/>
      <c r="C911" s="431"/>
      <c r="D911" s="432">
        <f>IF(B911=0,0,VLOOKUP(B911,Supplies!$B$13:$C$97,2,FALSE))</f>
        <v>0</v>
      </c>
      <c r="E911" s="385">
        <f t="shared" si="98"/>
        <v>0</v>
      </c>
      <c r="G911" s="100">
        <v>6</v>
      </c>
      <c r="H911" s="433"/>
      <c r="I911" s="434"/>
      <c r="J911" s="435"/>
      <c r="K911" s="436" t="str">
        <f>IF(H911=0," ",IF(VLOOKUP(H911,'Equipment List'!$B$12:$F$96,5,FALSE)=0,0,IF(VLOOKUP(H911,'Equipment List'!$B$12:$F$96,5,FALSE)="Grant","Grant",IF(VLOOKUP(H911,'Equipment List'!$B$12:$F$96,5,FALSE)="Depreciated","Depreciated",VLOOKUP(H911,'Equipment List'!$B$12:$F$96,5,FALSE)*I911*J911))))</f>
        <v xml:space="preserve"> </v>
      </c>
      <c r="L911" s="390" t="str">
        <f>IF(K911=" "," ",IF(K911="Grant",0,IF(K911="Depreciated",0,IF('kt info'!$G$57=0,"No Service Frequency",K911/'kt info'!$G$57))))</f>
        <v xml:space="preserve"> </v>
      </c>
    </row>
    <row r="912" spans="1:14" x14ac:dyDescent="0.35">
      <c r="A912" s="100">
        <v>7</v>
      </c>
      <c r="B912" s="437"/>
      <c r="C912" s="414"/>
      <c r="D912" s="415">
        <f>IF(B912=0,0,VLOOKUP(B912,Supplies!$B$13:$C$97,2,FALSE))</f>
        <v>0</v>
      </c>
      <c r="E912" s="385">
        <f t="shared" si="98"/>
        <v>0</v>
      </c>
      <c r="G912" s="100">
        <v>7</v>
      </c>
      <c r="H912" s="437"/>
      <c r="I912" s="417"/>
      <c r="J912" s="418"/>
      <c r="K912" s="438" t="str">
        <f>IF(H912=0," ",IF(VLOOKUP(H912,'Equipment List'!$B$12:$F$96,5,FALSE)=0,0,IF(VLOOKUP(H912,'Equipment List'!$B$12:$F$96,5,FALSE)="Grant","Grant",IF(VLOOKUP(H912,'Equipment List'!$B$12:$F$96,5,FALSE)="Depreciated","Depreciated",VLOOKUP(H912,'Equipment List'!$B$12:$F$96,5,FALSE)*I912*J912))))</f>
        <v xml:space="preserve"> </v>
      </c>
      <c r="L912" s="390" t="str">
        <f>IF(K912=" "," ",IF(K912="Grant",0,IF(K912="Depreciated",0,IF('kt info'!$G$57=0,"No Service Frequency",K912/'kt info'!$G$57))))</f>
        <v xml:space="preserve"> </v>
      </c>
    </row>
    <row r="913" spans="1:14" x14ac:dyDescent="0.35">
      <c r="A913" s="100">
        <v>8</v>
      </c>
      <c r="B913" s="437"/>
      <c r="C913" s="414"/>
      <c r="D913" s="415">
        <f>IF(B913=0,0,VLOOKUP(B913,Supplies!$B$13:$C$97,2,FALSE))</f>
        <v>0</v>
      </c>
      <c r="E913" s="385">
        <f t="shared" si="98"/>
        <v>0</v>
      </c>
      <c r="G913" s="100">
        <v>8</v>
      </c>
      <c r="H913" s="437"/>
      <c r="I913" s="417"/>
      <c r="J913" s="418"/>
      <c r="K913" s="438" t="str">
        <f>IF(H913=0," ",IF(VLOOKUP(H913,'Equipment List'!$B$12:$F$96,5,FALSE)=0,0,IF(VLOOKUP(H913,'Equipment List'!$B$12:$F$96,5,FALSE)="Grant","Grant",IF(VLOOKUP(H913,'Equipment List'!$B$12:$F$96,5,FALSE)="Depreciated","Depreciated",VLOOKUP(H913,'Equipment List'!$B$12:$F$96,5,FALSE)*I913*J913))))</f>
        <v xml:space="preserve"> </v>
      </c>
      <c r="L913" s="390" t="str">
        <f>IF(K913=" "," ",IF(K913="Grant",0,IF(K913="Depreciated",0,IF('kt info'!$G$57=0,"No Service Frequency",K913/'kt info'!$G$57))))</f>
        <v xml:space="preserve"> </v>
      </c>
    </row>
    <row r="914" spans="1:14" x14ac:dyDescent="0.35">
      <c r="A914" s="100">
        <v>9</v>
      </c>
      <c r="B914" s="437"/>
      <c r="C914" s="414"/>
      <c r="D914" s="415">
        <f>IF(B914=0,0,VLOOKUP(B914,Supplies!$B$13:$C$97,2,FALSE))</f>
        <v>0</v>
      </c>
      <c r="E914" s="385">
        <f t="shared" si="98"/>
        <v>0</v>
      </c>
      <c r="G914" s="100">
        <v>9</v>
      </c>
      <c r="H914" s="437"/>
      <c r="I914" s="417"/>
      <c r="J914" s="418"/>
      <c r="K914" s="438" t="str">
        <f>IF(H914=0," ",IF(VLOOKUP(H914,'Equipment List'!$B$12:$F$96,5,FALSE)=0,0,IF(VLOOKUP(H914,'Equipment List'!$B$12:$F$96,5,FALSE)="Grant","Grant",IF(VLOOKUP(H914,'Equipment List'!$B$12:$F$96,5,FALSE)="Depreciated","Depreciated",VLOOKUP(H914,'Equipment List'!$B$12:$F$96,5,FALSE)*I914*J914))))</f>
        <v xml:space="preserve"> </v>
      </c>
      <c r="L914" s="390" t="str">
        <f>IF(K914=" "," ",IF(K914="Grant",0,IF(K914="Depreciated",0,IF('kt info'!$G$57=0,"No Service Frequency",K914/'kt info'!$G$57))))</f>
        <v xml:space="preserve"> </v>
      </c>
    </row>
    <row r="915" spans="1:14" ht="15" thickBot="1" x14ac:dyDescent="0.4">
      <c r="A915" s="100">
        <v>10</v>
      </c>
      <c r="B915" s="439"/>
      <c r="C915" s="423"/>
      <c r="D915" s="424">
        <f>IF(B915=0,0,VLOOKUP(B915,Supplies!$B$13:$C$97,2,FALSE))</f>
        <v>0</v>
      </c>
      <c r="E915" s="377">
        <f t="shared" si="98"/>
        <v>0</v>
      </c>
      <c r="G915" s="100">
        <v>10</v>
      </c>
      <c r="H915" s="439"/>
      <c r="I915" s="426"/>
      <c r="J915" s="427"/>
      <c r="K915" s="440" t="str">
        <f>IF(H915=0," ",IF(VLOOKUP(H915,'Equipment List'!$B$12:$F$96,5,FALSE)=0,0,IF(VLOOKUP(H915,'Equipment List'!$B$12:$F$96,5,FALSE)="Grant","Grant",IF(VLOOKUP(H915,'Equipment List'!$B$12:$F$96,5,FALSE)="Depreciated","Depreciated",VLOOKUP(H915,'Equipment List'!$B$12:$F$96,5,FALSE)*I915*J915))))</f>
        <v xml:space="preserve"> </v>
      </c>
      <c r="L915" s="382" t="str">
        <f>IF(K915=" "," ",IF(K915="Grant",0,IF(K915="Depreciated",0,IF('kt info'!$G$57=0,"No Service Frequency",K915/'kt info'!$G$57))))</f>
        <v xml:space="preserve"> </v>
      </c>
    </row>
    <row r="916" spans="1:14" x14ac:dyDescent="0.35">
      <c r="A916" s="100">
        <v>11</v>
      </c>
      <c r="B916" s="433"/>
      <c r="C916" s="431"/>
      <c r="D916" s="432">
        <f>IF(B916=0,0,VLOOKUP(B916,Supplies!$B$13:$C$97,2,FALSE))</f>
        <v>0</v>
      </c>
      <c r="E916" s="385">
        <f t="shared" si="98"/>
        <v>0</v>
      </c>
    </row>
    <row r="917" spans="1:14" ht="15" thickBot="1" x14ac:dyDescent="0.4">
      <c r="A917" s="100">
        <v>12</v>
      </c>
      <c r="B917" s="437"/>
      <c r="C917" s="414"/>
      <c r="D917" s="415">
        <f>IF(B917=0,0,VLOOKUP(B917,Supplies!$B$13:$C$97,2,FALSE))</f>
        <v>0</v>
      </c>
      <c r="E917" s="385">
        <f t="shared" si="98"/>
        <v>0</v>
      </c>
      <c r="H917" s="817" t="s">
        <v>200</v>
      </c>
      <c r="I917" s="816"/>
      <c r="J917" s="354"/>
      <c r="K917" s="354"/>
      <c r="L917" s="354"/>
      <c r="M917" s="354"/>
    </row>
    <row r="918" spans="1:14" x14ac:dyDescent="0.35">
      <c r="A918" s="100">
        <v>13</v>
      </c>
      <c r="B918" s="437"/>
      <c r="C918" s="414"/>
      <c r="D918" s="415">
        <f>IF(B918=0,0,VLOOKUP(B918,Supplies!$B$13:$C$97,2,FALSE))</f>
        <v>0</v>
      </c>
      <c r="E918" s="385">
        <f t="shared" si="98"/>
        <v>0</v>
      </c>
      <c r="H918" s="441" t="s">
        <v>159</v>
      </c>
      <c r="I918" s="4" t="s">
        <v>92</v>
      </c>
      <c r="J918" s="4" t="s">
        <v>300</v>
      </c>
      <c r="K918" s="350" t="s">
        <v>93</v>
      </c>
      <c r="L918" s="4" t="s">
        <v>12</v>
      </c>
      <c r="M918" s="4" t="s">
        <v>12</v>
      </c>
      <c r="N918" s="481"/>
    </row>
    <row r="919" spans="1:14" ht="15" thickBot="1" x14ac:dyDescent="0.4">
      <c r="A919" s="100">
        <v>14</v>
      </c>
      <c r="B919" s="437"/>
      <c r="C919" s="414"/>
      <c r="D919" s="415">
        <f>IF(B919=0,0,VLOOKUP(B919,Supplies!$B$13:$C$97,2,FALSE))</f>
        <v>0</v>
      </c>
      <c r="E919" s="385">
        <f t="shared" si="98"/>
        <v>0</v>
      </c>
      <c r="H919" s="305" t="s">
        <v>13</v>
      </c>
      <c r="I919" s="5" t="s">
        <v>301</v>
      </c>
      <c r="J919" s="5" t="s">
        <v>169</v>
      </c>
      <c r="K919" s="354" t="s">
        <v>94</v>
      </c>
      <c r="L919" s="5" t="s">
        <v>302</v>
      </c>
      <c r="M919" s="5" t="s">
        <v>240</v>
      </c>
      <c r="N919" s="481"/>
    </row>
    <row r="920" spans="1:14" ht="15" thickBot="1" x14ac:dyDescent="0.4">
      <c r="A920" s="100">
        <v>15</v>
      </c>
      <c r="B920" s="439"/>
      <c r="C920" s="442"/>
      <c r="D920" s="443">
        <f>IF(B920=0,0,VLOOKUP(B920,Supplies!$B$13:$C$97,2,FALSE))</f>
        <v>0</v>
      </c>
      <c r="E920" s="377">
        <f t="shared" si="98"/>
        <v>0</v>
      </c>
      <c r="G920" s="393"/>
      <c r="H920" s="258"/>
      <c r="I920" s="444"/>
      <c r="J920" s="445"/>
      <c r="K920" s="446">
        <f>IF(H920=0,0,VLOOKUP(H920,Transportation!$B$6:$L$16,11,FALSE))</f>
        <v>0</v>
      </c>
      <c r="L920" s="447">
        <f>IF(I920=0,0,I920*K920)</f>
        <v>0</v>
      </c>
      <c r="M920" s="448">
        <f>IF(I920=0,0,I920*K920*J920)</f>
        <v>0</v>
      </c>
      <c r="N920" s="487"/>
    </row>
    <row r="921" spans="1:14" ht="15" thickBot="1" x14ac:dyDescent="0.4">
      <c r="A921" s="100">
        <v>16</v>
      </c>
      <c r="B921" s="433"/>
      <c r="C921" s="449"/>
      <c r="D921" s="450">
        <f>IF(B921=0,0,VLOOKUP(B921,Supplies!$B$13:$C$97,2,FALSE))</f>
        <v>0</v>
      </c>
      <c r="E921" s="385">
        <f t="shared" si="98"/>
        <v>0</v>
      </c>
      <c r="H921" s="259"/>
      <c r="I921" s="451"/>
      <c r="J921" s="452"/>
      <c r="K921" s="453">
        <f>IF(H921=0,0,VLOOKUP(H921,Transportation!$B$6:$L$16,11,FALSE))</f>
        <v>0</v>
      </c>
      <c r="L921" s="454">
        <f>IF(I921=0,0,I921*K921)</f>
        <v>0</v>
      </c>
      <c r="M921" s="455">
        <f>IF(I921=0,0,I921*K921*J921)</f>
        <v>0</v>
      </c>
      <c r="N921" s="487"/>
    </row>
    <row r="922" spans="1:14" x14ac:dyDescent="0.35">
      <c r="A922" s="100">
        <v>17</v>
      </c>
      <c r="B922" s="437"/>
      <c r="C922" s="456"/>
      <c r="D922" s="457">
        <f>IF(B922=0,0,VLOOKUP(B922,Supplies!$B$13:$C$97,2,FALSE))</f>
        <v>0</v>
      </c>
      <c r="E922" s="385">
        <f>IF(D922=" "," ",D922*C922)</f>
        <v>0</v>
      </c>
      <c r="H922" s="260"/>
      <c r="I922" s="458"/>
      <c r="J922" s="459"/>
      <c r="K922" s="460"/>
      <c r="L922" s="460"/>
      <c r="M922" s="460"/>
      <c r="N922" s="483"/>
    </row>
    <row r="923" spans="1:14" ht="15" thickBot="1" x14ac:dyDescent="0.4">
      <c r="A923" s="100">
        <v>18</v>
      </c>
      <c r="B923" s="437"/>
      <c r="C923" s="456"/>
      <c r="D923" s="457">
        <f>IF(B923=0,0,VLOOKUP(B923,Supplies!$B$13:$C$97,2,FALSE))</f>
        <v>0</v>
      </c>
      <c r="E923" s="385">
        <f>IF(D923=" "," ",D923*C923)</f>
        <v>0</v>
      </c>
      <c r="H923" s="461" t="s">
        <v>201</v>
      </c>
      <c r="I923" s="462"/>
      <c r="J923" s="463"/>
      <c r="K923" s="464"/>
      <c r="L923" s="464"/>
      <c r="M923" s="464"/>
      <c r="N923" s="483"/>
    </row>
    <row r="924" spans="1:14" x14ac:dyDescent="0.35">
      <c r="A924" s="100">
        <v>19</v>
      </c>
      <c r="B924" s="437"/>
      <c r="C924" s="456"/>
      <c r="D924" s="457">
        <f>IF(B924=0,0,VLOOKUP(B924,Supplies!$B$13:$C$97,2,FALSE))</f>
        <v>0</v>
      </c>
      <c r="E924" s="385">
        <f>IF(D924=" "," ",D924*C924)</f>
        <v>0</v>
      </c>
      <c r="H924" s="465" t="s">
        <v>202</v>
      </c>
      <c r="I924" s="466" t="s">
        <v>204</v>
      </c>
      <c r="J924" s="463"/>
      <c r="K924" s="464"/>
      <c r="L924" s="464"/>
      <c r="M924" s="464"/>
      <c r="N924" s="483"/>
    </row>
    <row r="925" spans="1:14" ht="15" thickBot="1" x14ac:dyDescent="0.4">
      <c r="A925" s="100">
        <v>20</v>
      </c>
      <c r="B925" s="439"/>
      <c r="C925" s="442"/>
      <c r="D925" s="443">
        <f>IF(B925=0,0,VLOOKUP(B925,Supplies!$B$13:$C$97,2,FALSE))</f>
        <v>0</v>
      </c>
      <c r="E925" s="377">
        <f>IF(D925=" "," ",D925*C925)</f>
        <v>0</v>
      </c>
      <c r="H925" s="467"/>
      <c r="I925" s="484" t="str">
        <f>IF(H925=0," ",VLOOKUP(H925,Subcontractors!$B$15:$E$25,4))</f>
        <v xml:space="preserve"> </v>
      </c>
      <c r="J925" s="463"/>
      <c r="K925" s="464"/>
      <c r="L925" s="464"/>
      <c r="M925" s="464"/>
    </row>
    <row r="926" spans="1:14" ht="15" thickBot="1" x14ac:dyDescent="0.4">
      <c r="A926" s="100"/>
      <c r="B926" s="335"/>
      <c r="C926" s="485"/>
      <c r="D926" s="397"/>
      <c r="E926" s="397"/>
      <c r="H926" s="469"/>
      <c r="I926" s="486" t="str">
        <f>IF(H926=0," ",VLOOKUP(H926,Subcontractors!$B$15:$E$25,4))</f>
        <v xml:space="preserve"> </v>
      </c>
    </row>
    <row r="927" spans="1:14" x14ac:dyDescent="0.35">
      <c r="A927" s="100"/>
      <c r="B927" s="335"/>
      <c r="C927" s="485"/>
      <c r="D927" s="397"/>
      <c r="E927" s="397"/>
      <c r="H927" s="473"/>
      <c r="I927" s="404"/>
    </row>
    <row r="928" spans="1:14" ht="21" x14ac:dyDescent="0.35">
      <c r="A928" s="818" t="s">
        <v>191</v>
      </c>
      <c r="B928" s="819"/>
      <c r="C928" s="819"/>
      <c r="D928" s="819"/>
      <c r="E928" s="819"/>
      <c r="F928" s="819"/>
      <c r="G928" s="150" t="str">
        <f>'kt info'!B57</f>
        <v>Enter Periodical Service 9</v>
      </c>
      <c r="H928" s="307"/>
      <c r="I928" s="261"/>
      <c r="J928" s="149"/>
      <c r="K928" s="149"/>
      <c r="L928" s="149"/>
      <c r="M928" s="149"/>
      <c r="N928" s="149"/>
    </row>
    <row r="929" spans="1:14" ht="18.5" x14ac:dyDescent="0.35">
      <c r="A929" s="818" t="s">
        <v>193</v>
      </c>
      <c r="B929" s="818"/>
      <c r="C929" s="818"/>
      <c r="D929" s="818"/>
      <c r="E929" s="818"/>
      <c r="F929" s="818"/>
      <c r="G929" s="150" t="str">
        <f>'kt info'!B59</f>
        <v>Enter Periodical Service 10</v>
      </c>
      <c r="H929" s="301"/>
      <c r="I929" s="150"/>
      <c r="J929" s="150"/>
      <c r="K929" s="150"/>
      <c r="L929" s="150"/>
      <c r="M929" s="150"/>
      <c r="N929" s="150"/>
    </row>
    <row r="931" spans="1:14" x14ac:dyDescent="0.35">
      <c r="B931" s="222" t="s">
        <v>109</v>
      </c>
      <c r="C931" s="741">
        <f>'kt info'!$C$3</f>
        <v>0</v>
      </c>
      <c r="D931" s="824"/>
      <c r="E931" s="824"/>
      <c r="F931" s="825"/>
      <c r="H931" s="333"/>
      <c r="J931" s="811" t="s">
        <v>170</v>
      </c>
      <c r="K931" s="708"/>
      <c r="L931" s="708"/>
      <c r="M931" s="708"/>
    </row>
    <row r="932" spans="1:14" x14ac:dyDescent="0.35">
      <c r="C932" s="300"/>
      <c r="D932" s="100"/>
      <c r="E932" s="100"/>
      <c r="F932" s="100"/>
      <c r="I932" s="329"/>
      <c r="J932" s="329" t="str">
        <f>$B$10</f>
        <v>All Carpets</v>
      </c>
      <c r="L932" s="336" t="str">
        <f>$B$415</f>
        <v>Enter Periodical Service 1</v>
      </c>
    </row>
    <row r="933" spans="1:14" x14ac:dyDescent="0.35">
      <c r="B933" s="222" t="s">
        <v>110</v>
      </c>
      <c r="C933" s="741">
        <f>'kt info'!$C$5</f>
        <v>0</v>
      </c>
      <c r="D933" s="824"/>
      <c r="E933" s="824"/>
      <c r="F933" s="825"/>
      <c r="J933" s="329" t="str">
        <f>$B$67</f>
        <v>High Traffic Carpet</v>
      </c>
      <c r="L933" s="336" t="str">
        <f>$B$473</f>
        <v>Enter Periodical Service 2</v>
      </c>
    </row>
    <row r="934" spans="1:14" x14ac:dyDescent="0.35">
      <c r="C934" s="300"/>
      <c r="D934" s="100"/>
      <c r="E934" s="100"/>
      <c r="F934" s="100"/>
      <c r="J934" s="329" t="str">
        <f>$B$125</f>
        <v>Hard Floor Strip and Wax</v>
      </c>
      <c r="L934" s="336" t="str">
        <f>$B$531</f>
        <v>Enter Periodical Service 3</v>
      </c>
    </row>
    <row r="935" spans="1:14" x14ac:dyDescent="0.35">
      <c r="B935" s="222" t="s">
        <v>135</v>
      </c>
      <c r="C935" s="741">
        <f>'kt info'!$C$7</f>
        <v>0</v>
      </c>
      <c r="D935" s="824"/>
      <c r="E935" s="824"/>
      <c r="F935" s="825"/>
      <c r="J935" s="329" t="str">
        <f>$B$183</f>
        <v>Hard Floor Scrub and Seal</v>
      </c>
      <c r="L935" s="336" t="str">
        <f>$B$589</f>
        <v>Enter Periodical Service 4</v>
      </c>
    </row>
    <row r="936" spans="1:14" x14ac:dyDescent="0.35">
      <c r="J936" s="336" t="str">
        <f>$B$241</f>
        <v>Window Washing</v>
      </c>
      <c r="L936" s="336" t="str">
        <f>$B$647</f>
        <v>Enter Periodical Service 5</v>
      </c>
    </row>
    <row r="937" spans="1:14" ht="18.5" x14ac:dyDescent="0.35">
      <c r="A937" s="337"/>
      <c r="B937" s="490" t="str">
        <f>'kt info'!B59</f>
        <v>Enter Periodical Service 10</v>
      </c>
      <c r="C937" s="339"/>
      <c r="D937" s="337"/>
      <c r="E937" s="337"/>
      <c r="F937" s="337"/>
      <c r="G937" s="337"/>
      <c r="H937" s="302" t="s">
        <v>77</v>
      </c>
      <c r="I937" s="236" t="s">
        <v>238</v>
      </c>
      <c r="J937" s="336" t="str">
        <f>$B$299</f>
        <v>Clean Chairs</v>
      </c>
      <c r="L937" s="336" t="str">
        <f>$B$705</f>
        <v>Enter Periodical Service 6</v>
      </c>
      <c r="M937" s="337"/>
      <c r="N937" s="337"/>
    </row>
    <row r="938" spans="1:14" x14ac:dyDescent="0.35">
      <c r="G938" s="178" t="s">
        <v>79</v>
      </c>
      <c r="H938" s="341">
        <f>IF(SUM(M950:M959)&gt;0,SUM(M950:M959)/'kt info'!$G$59,0)</f>
        <v>0</v>
      </c>
      <c r="I938" s="342">
        <f>H938*'kt info'!$G$59</f>
        <v>0</v>
      </c>
      <c r="J938" s="336" t="str">
        <f>$B$357</f>
        <v>High Dusting</v>
      </c>
      <c r="L938" s="336" t="str">
        <f>$B$763</f>
        <v>Enter Periodical Service 7</v>
      </c>
    </row>
    <row r="939" spans="1:14" x14ac:dyDescent="0.35">
      <c r="B939" s="343" t="s">
        <v>78</v>
      </c>
      <c r="G939" s="178" t="s">
        <v>189</v>
      </c>
      <c r="H939" s="344">
        <f>IF(SUM(K950:K959)&gt;0,SUM(K950:K959),0)</f>
        <v>0</v>
      </c>
      <c r="I939" s="345">
        <f>H939*'kt info'!$G$59</f>
        <v>0</v>
      </c>
      <c r="J939" s="336"/>
      <c r="L939" s="336" t="str">
        <f>$B$821</f>
        <v>Enter Periodical Service 8</v>
      </c>
    </row>
    <row r="940" spans="1:14" x14ac:dyDescent="0.35">
      <c r="B940" s="177" t="s">
        <v>96</v>
      </c>
      <c r="C940" s="346">
        <f>'kt info'!E59</f>
        <v>0</v>
      </c>
      <c r="G940" s="178" t="s">
        <v>80</v>
      </c>
      <c r="H940" s="344">
        <f>IF(SUM(E964:E983)&gt;0,SUM(E964:E983),0)</f>
        <v>0</v>
      </c>
      <c r="I940" s="345">
        <f>H940*'kt info'!$G$59</f>
        <v>0</v>
      </c>
      <c r="J940" s="336"/>
      <c r="L940" s="336" t="str">
        <f>$B$879</f>
        <v>Enter Periodical Service 9</v>
      </c>
    </row>
    <row r="941" spans="1:14" x14ac:dyDescent="0.35">
      <c r="G941" s="178" t="s">
        <v>81</v>
      </c>
      <c r="H941" s="344">
        <f>IF(SUM(L964:L973)&gt;0,SUM(L964:L973),0)</f>
        <v>0</v>
      </c>
      <c r="I941" s="345">
        <f>H941*'kt info'!$G$59</f>
        <v>0</v>
      </c>
      <c r="J941" s="336"/>
      <c r="L941" s="336" t="str">
        <f>$B$937</f>
        <v>Enter Periodical Service 10</v>
      </c>
    </row>
    <row r="942" spans="1:14" x14ac:dyDescent="0.35">
      <c r="B942" s="177" t="s">
        <v>98</v>
      </c>
      <c r="C942" s="347">
        <f>ROUND(IF(SUM(H939:H945)&gt;0,SUM(H939:H945),0),0)</f>
        <v>0</v>
      </c>
      <c r="G942" s="178" t="s">
        <v>89</v>
      </c>
      <c r="H942" s="344">
        <f>IF(SUM(J977:J981)&gt;0,SUM(L977:L981),0)</f>
        <v>0</v>
      </c>
      <c r="I942" s="345">
        <f>H942*'kt info'!$G$59</f>
        <v>0</v>
      </c>
      <c r="J942" s="336"/>
    </row>
    <row r="943" spans="1:14" x14ac:dyDescent="0.35">
      <c r="G943" s="178" t="s">
        <v>201</v>
      </c>
      <c r="H943" s="344">
        <f>IF(SUM(I983:I984)=0,0,SUM(I983:I984))</f>
        <v>0</v>
      </c>
      <c r="I943" s="345">
        <f>H943*'kt info'!$G$59</f>
        <v>0</v>
      </c>
      <c r="J943" s="336"/>
    </row>
    <row r="944" spans="1:14" x14ac:dyDescent="0.35">
      <c r="B944" s="177" t="s">
        <v>97</v>
      </c>
      <c r="C944" s="347">
        <f>IF(C940&gt;0,C942/C940,0)</f>
        <v>0</v>
      </c>
      <c r="G944" s="178" t="s">
        <v>87</v>
      </c>
      <c r="H944" s="344">
        <f>IF('Overhead &amp; Margin'!$D$10&gt;0,((H939+H940+H941+H942+H943)*'Overhead &amp; Margin'!$D$10/(1-('Overhead &amp; Margin'!$D$10+'Overhead &amp; Margin'!$G$10))),0)</f>
        <v>0</v>
      </c>
      <c r="I944" s="345">
        <f>H944*'kt info'!$G$59</f>
        <v>0</v>
      </c>
      <c r="J944" s="336"/>
    </row>
    <row r="945" spans="1:14" x14ac:dyDescent="0.35">
      <c r="G945" s="178" t="s">
        <v>88</v>
      </c>
      <c r="H945" s="344">
        <f>IF('Overhead &amp; Margin'!$G$10=0,0,'Overhead &amp; Margin'!$G$10*(H939+H940+H941+H942+H943)/(1-('Overhead &amp; Margin'!$D$10+'Overhead &amp; Margin'!$G$10)))</f>
        <v>0</v>
      </c>
      <c r="I945" s="345">
        <f>H945*'kt info'!$G$59</f>
        <v>0</v>
      </c>
    </row>
    <row r="946" spans="1:14" x14ac:dyDescent="0.35">
      <c r="M946" s="605" t="str">
        <f>'kt info'!$B$12</f>
        <v>Form date: 10/24/25</v>
      </c>
    </row>
    <row r="947" spans="1:14" ht="15" thickBot="1" x14ac:dyDescent="0.4">
      <c r="B947" s="348" t="s">
        <v>104</v>
      </c>
    </row>
    <row r="948" spans="1:14" x14ac:dyDescent="0.35">
      <c r="B948" s="84" t="s">
        <v>18</v>
      </c>
      <c r="C948" s="349" t="s">
        <v>19</v>
      </c>
      <c r="D948" s="350" t="s">
        <v>25</v>
      </c>
      <c r="E948" s="350" t="s">
        <v>20</v>
      </c>
      <c r="F948" s="826" t="s">
        <v>22</v>
      </c>
      <c r="G948" s="826"/>
      <c r="H948" s="351" t="s">
        <v>23</v>
      </c>
      <c r="I948" s="350" t="s">
        <v>21</v>
      </c>
      <c r="J948" s="350" t="s">
        <v>24</v>
      </c>
      <c r="K948" s="350" t="s">
        <v>77</v>
      </c>
      <c r="L948" s="352" t="s">
        <v>26</v>
      </c>
      <c r="M948" s="4" t="s">
        <v>27</v>
      </c>
      <c r="N948" s="4" t="s">
        <v>0</v>
      </c>
    </row>
    <row r="949" spans="1:14" ht="15" thickBot="1" x14ac:dyDescent="0.4">
      <c r="B949" s="22" t="s">
        <v>306</v>
      </c>
      <c r="C949" s="353" t="s">
        <v>28</v>
      </c>
      <c r="D949" s="354" t="s">
        <v>33</v>
      </c>
      <c r="E949" s="354" t="s">
        <v>29</v>
      </c>
      <c r="F949" s="827" t="s">
        <v>30</v>
      </c>
      <c r="G949" s="827"/>
      <c r="H949" s="355" t="s">
        <v>31</v>
      </c>
      <c r="I949" s="354"/>
      <c r="J949" s="354" t="s">
        <v>38</v>
      </c>
      <c r="K949" s="354" t="s">
        <v>189</v>
      </c>
      <c r="L949" s="356" t="s">
        <v>0</v>
      </c>
      <c r="M949" s="5" t="s">
        <v>0</v>
      </c>
      <c r="N949" s="5" t="s">
        <v>77</v>
      </c>
    </row>
    <row r="950" spans="1:14" x14ac:dyDescent="0.35">
      <c r="A950" s="100">
        <v>1</v>
      </c>
      <c r="B950" s="474"/>
      <c r="C950" s="358"/>
      <c r="D950" s="359" t="str">
        <f>IF(B950=0," ",'kt info'!$G$57)</f>
        <v xml:space="preserve"> </v>
      </c>
      <c r="E950" s="360" t="str">
        <f>IF(B950=0," ",VLOOKUP(B950,WageBeneTable5[#All],2,FALSE))</f>
        <v xml:space="preserve"> </v>
      </c>
      <c r="F950" s="820">
        <f>IF($E950=" ",0,'Pay &amp; Benefits'!$C$10)</f>
        <v>0</v>
      </c>
      <c r="G950" s="821"/>
      <c r="H950" s="361" t="str">
        <f>IF($E950=" "," ",'Pay &amp; Benefits'!$C$11)</f>
        <v xml:space="preserve"> </v>
      </c>
      <c r="I950" s="362" t="str">
        <f t="shared" ref="I950:I959" si="99">IF(E950=" "," ",0.0765)</f>
        <v xml:space="preserve"> </v>
      </c>
      <c r="J950" s="363" t="str">
        <f>IF(B950=0," ",VLOOKUP(B950,WageBeneTable5[#All],3,FALSE))</f>
        <v xml:space="preserve"> </v>
      </c>
      <c r="K950" s="360" t="str">
        <f t="shared" ref="K950:K959" si="100">IF(B950=0," ",C950*E950*(1+I950+F950+H950+J950))</f>
        <v xml:space="preserve"> </v>
      </c>
      <c r="L950" s="360">
        <f t="shared" ref="L950:L959" si="101">IF(K950=" ",0,K950*D950)</f>
        <v>0</v>
      </c>
      <c r="M950" s="364">
        <f t="shared" ref="M950:M959" si="102">IF(B950=0,0,C950*D950)</f>
        <v>0</v>
      </c>
      <c r="N950" s="365">
        <f t="shared" ref="N950:N959" si="103">IF(L950=0,0,IF(D950=0,0,L950/D950))</f>
        <v>0</v>
      </c>
    </row>
    <row r="951" spans="1:14" x14ac:dyDescent="0.35">
      <c r="A951" s="100">
        <v>2</v>
      </c>
      <c r="B951" s="437"/>
      <c r="C951" s="367"/>
      <c r="D951" s="359" t="str">
        <f>IF(B951=0," ",'kt info'!$G$57)</f>
        <v xml:space="preserve"> </v>
      </c>
      <c r="E951" s="368" t="str">
        <f>IF(B951=0," ",VLOOKUP(B951,WageBeneTable5[#All],2,FALSE))</f>
        <v xml:space="preserve"> </v>
      </c>
      <c r="F951" s="822">
        <f>IF($E951=" ",0,'Pay &amp; Benefits'!$C$10)</f>
        <v>0</v>
      </c>
      <c r="G951" s="823"/>
      <c r="H951" s="369" t="str">
        <f>IF($E951=" "," ",'Pay &amp; Benefits'!$C$11)</f>
        <v xml:space="preserve"> </v>
      </c>
      <c r="I951" s="370" t="str">
        <f t="shared" si="99"/>
        <v xml:space="preserve"> </v>
      </c>
      <c r="J951" s="371" t="str">
        <f>IF(B951=0," ",VLOOKUP(B951,WageBeneTable5[#All],3,FALSE))</f>
        <v xml:space="preserve"> </v>
      </c>
      <c r="K951" s="368" t="str">
        <f t="shared" si="100"/>
        <v xml:space="preserve"> </v>
      </c>
      <c r="L951" s="368">
        <f t="shared" si="101"/>
        <v>0</v>
      </c>
      <c r="M951" s="372">
        <f t="shared" si="102"/>
        <v>0</v>
      </c>
      <c r="N951" s="373">
        <f t="shared" si="103"/>
        <v>0</v>
      </c>
    </row>
    <row r="952" spans="1:14" x14ac:dyDescent="0.35">
      <c r="A952" s="100">
        <v>3</v>
      </c>
      <c r="B952" s="437"/>
      <c r="C952" s="367"/>
      <c r="D952" s="359" t="str">
        <f>IF(B952=0," ",'kt info'!$G$57)</f>
        <v xml:space="preserve"> </v>
      </c>
      <c r="E952" s="368" t="str">
        <f>IF(B952=0," ",VLOOKUP(B952,WageBeneTable5[#All],2,FALSE))</f>
        <v xml:space="preserve"> </v>
      </c>
      <c r="F952" s="822">
        <f>IF($E952=" ",0,'Pay &amp; Benefits'!$C$10)</f>
        <v>0</v>
      </c>
      <c r="G952" s="823"/>
      <c r="H952" s="369" t="str">
        <f>IF($E952=" "," ",'Pay &amp; Benefits'!$C$11)</f>
        <v xml:space="preserve"> </v>
      </c>
      <c r="I952" s="370" t="str">
        <f t="shared" si="99"/>
        <v xml:space="preserve"> </v>
      </c>
      <c r="J952" s="371" t="str">
        <f>IF(B952=0," ",VLOOKUP(B952,WageBeneTable5[#All],3,FALSE))</f>
        <v xml:space="preserve"> </v>
      </c>
      <c r="K952" s="368" t="str">
        <f t="shared" si="100"/>
        <v xml:space="preserve"> </v>
      </c>
      <c r="L952" s="368">
        <f t="shared" si="101"/>
        <v>0</v>
      </c>
      <c r="M952" s="372">
        <f t="shared" si="102"/>
        <v>0</v>
      </c>
      <c r="N952" s="373">
        <f t="shared" si="103"/>
        <v>0</v>
      </c>
    </row>
    <row r="953" spans="1:14" x14ac:dyDescent="0.35">
      <c r="A953" s="100">
        <v>4</v>
      </c>
      <c r="B953" s="437"/>
      <c r="C953" s="367"/>
      <c r="D953" s="359" t="str">
        <f>IF(B953=0," ",'kt info'!$G$57)</f>
        <v xml:space="preserve"> </v>
      </c>
      <c r="E953" s="368" t="str">
        <f>IF(B953=0," ",VLOOKUP(B953,WageBeneTable5[#All],2,FALSE))</f>
        <v xml:space="preserve"> </v>
      </c>
      <c r="F953" s="822">
        <f>IF($E953=" ",0,'Pay &amp; Benefits'!$C$10)</f>
        <v>0</v>
      </c>
      <c r="G953" s="823"/>
      <c r="H953" s="369" t="str">
        <f>IF($E953=" "," ",'Pay &amp; Benefits'!$C$11)</f>
        <v xml:space="preserve"> </v>
      </c>
      <c r="I953" s="370" t="str">
        <f t="shared" si="99"/>
        <v xml:space="preserve"> </v>
      </c>
      <c r="J953" s="371" t="str">
        <f>IF(B953=0," ",VLOOKUP(B953,WageBeneTable5[#All],3,FALSE))</f>
        <v xml:space="preserve"> </v>
      </c>
      <c r="K953" s="368" t="str">
        <f t="shared" si="100"/>
        <v xml:space="preserve"> </v>
      </c>
      <c r="L953" s="368">
        <f t="shared" si="101"/>
        <v>0</v>
      </c>
      <c r="M953" s="372">
        <f t="shared" si="102"/>
        <v>0</v>
      </c>
      <c r="N953" s="373">
        <f t="shared" si="103"/>
        <v>0</v>
      </c>
    </row>
    <row r="954" spans="1:14" ht="15" thickBot="1" x14ac:dyDescent="0.4">
      <c r="A954" s="100">
        <v>5</v>
      </c>
      <c r="B954" s="439"/>
      <c r="C954" s="375"/>
      <c r="D954" s="376" t="str">
        <f>IF(B954=0," ",'kt info'!$G$57)</f>
        <v xml:space="preserve"> </v>
      </c>
      <c r="E954" s="377" t="str">
        <f>IF(B954=0," ",VLOOKUP(B954,WageBeneTable5[#All],2,FALSE))</f>
        <v xml:space="preserve"> </v>
      </c>
      <c r="F954" s="813">
        <f>IF($E954=" ",0,'Pay &amp; Benefits'!$C$10)</f>
        <v>0</v>
      </c>
      <c r="G954" s="814"/>
      <c r="H954" s="378" t="str">
        <f>IF($E954=" "," ",'Pay &amp; Benefits'!$C$11)</f>
        <v xml:space="preserve"> </v>
      </c>
      <c r="I954" s="379" t="str">
        <f t="shared" si="99"/>
        <v xml:space="preserve"> </v>
      </c>
      <c r="J954" s="380" t="str">
        <f>IF(B954=0," ",VLOOKUP(B954,WageBeneTable5[#All],3,FALSE))</f>
        <v xml:space="preserve"> </v>
      </c>
      <c r="K954" s="377" t="str">
        <f t="shared" si="100"/>
        <v xml:space="preserve"> </v>
      </c>
      <c r="L954" s="377">
        <f t="shared" si="101"/>
        <v>0</v>
      </c>
      <c r="M954" s="381">
        <f t="shared" si="102"/>
        <v>0</v>
      </c>
      <c r="N954" s="382">
        <f t="shared" si="103"/>
        <v>0</v>
      </c>
    </row>
    <row r="955" spans="1:14" x14ac:dyDescent="0.35">
      <c r="A955" s="100">
        <v>6</v>
      </c>
      <c r="B955" s="474"/>
      <c r="C955" s="383"/>
      <c r="D955" s="384" t="str">
        <f>IF(B955=0," ",'kt info'!$G$57)</f>
        <v xml:space="preserve"> </v>
      </c>
      <c r="E955" s="385" t="str">
        <f>IF(B955=0," ",VLOOKUP(B955,WageBeneTable5[#All],2,FALSE))</f>
        <v xml:space="preserve"> </v>
      </c>
      <c r="F955" s="820">
        <f>IF($E955=" ",0,'Pay &amp; Benefits'!$C$10)</f>
        <v>0</v>
      </c>
      <c r="G955" s="821"/>
      <c r="H955" s="386" t="str">
        <f>IF($E955=" "," ",'Pay &amp; Benefits'!$C$11)</f>
        <v xml:space="preserve"> </v>
      </c>
      <c r="I955" s="387" t="str">
        <f t="shared" si="99"/>
        <v xml:space="preserve"> </v>
      </c>
      <c r="J955" s="388" t="str">
        <f>IF(B955=0," ",VLOOKUP(B955,WageBeneTable5[#All],3,FALSE))</f>
        <v xml:space="preserve"> </v>
      </c>
      <c r="K955" s="385" t="str">
        <f t="shared" si="100"/>
        <v xml:space="preserve"> </v>
      </c>
      <c r="L955" s="385">
        <f t="shared" si="101"/>
        <v>0</v>
      </c>
      <c r="M955" s="389">
        <f t="shared" si="102"/>
        <v>0</v>
      </c>
      <c r="N955" s="390">
        <f t="shared" si="103"/>
        <v>0</v>
      </c>
    </row>
    <row r="956" spans="1:14" x14ac:dyDescent="0.35">
      <c r="A956" s="100">
        <v>7</v>
      </c>
      <c r="B956" s="437"/>
      <c r="C956" s="367"/>
      <c r="D956" s="384" t="str">
        <f>IF(B956=0," ",'kt info'!$G$57)</f>
        <v xml:space="preserve"> </v>
      </c>
      <c r="E956" s="385" t="str">
        <f>IF(B956=0," ",VLOOKUP(B956,WageBeneTable5[#All],2,FALSE))</f>
        <v xml:space="preserve"> </v>
      </c>
      <c r="F956" s="822">
        <f>IF($E956=" ",0,'Pay &amp; Benefits'!$C$10)</f>
        <v>0</v>
      </c>
      <c r="G956" s="823"/>
      <c r="H956" s="386" t="str">
        <f>IF($E956=" "," ",'Pay &amp; Benefits'!$C$11)</f>
        <v xml:space="preserve"> </v>
      </c>
      <c r="I956" s="387" t="str">
        <f t="shared" si="99"/>
        <v xml:space="preserve"> </v>
      </c>
      <c r="J956" s="388" t="str">
        <f>IF(B956=0," ",VLOOKUP(B956,WageBeneTable5[#All],3,FALSE))</f>
        <v xml:space="preserve"> </v>
      </c>
      <c r="K956" s="385" t="str">
        <f t="shared" si="100"/>
        <v xml:space="preserve"> </v>
      </c>
      <c r="L956" s="385">
        <f t="shared" si="101"/>
        <v>0</v>
      </c>
      <c r="M956" s="389">
        <f t="shared" si="102"/>
        <v>0</v>
      </c>
      <c r="N956" s="390">
        <f t="shared" si="103"/>
        <v>0</v>
      </c>
    </row>
    <row r="957" spans="1:14" x14ac:dyDescent="0.35">
      <c r="A957" s="100">
        <v>8</v>
      </c>
      <c r="B957" s="437"/>
      <c r="C957" s="367"/>
      <c r="D957" s="384" t="str">
        <f>IF(B957=0," ",'kt info'!$G$57)</f>
        <v xml:space="preserve"> </v>
      </c>
      <c r="E957" s="385" t="str">
        <f>IF(B957=0," ",VLOOKUP(B957,WageBeneTable5[#All],2,FALSE))</f>
        <v xml:space="preserve"> </v>
      </c>
      <c r="F957" s="822">
        <f>IF($E957=" ",0,'Pay &amp; Benefits'!$C$10)</f>
        <v>0</v>
      </c>
      <c r="G957" s="823"/>
      <c r="H957" s="386" t="str">
        <f>IF($E957=" "," ",'Pay &amp; Benefits'!$C$11)</f>
        <v xml:space="preserve"> </v>
      </c>
      <c r="I957" s="387" t="str">
        <f t="shared" si="99"/>
        <v xml:space="preserve"> </v>
      </c>
      <c r="J957" s="388" t="str">
        <f>IF(B957=0," ",VLOOKUP(B957,WageBeneTable5[#All],3,FALSE))</f>
        <v xml:space="preserve"> </v>
      </c>
      <c r="K957" s="385" t="str">
        <f t="shared" si="100"/>
        <v xml:space="preserve"> </v>
      </c>
      <c r="L957" s="385">
        <f t="shared" si="101"/>
        <v>0</v>
      </c>
      <c r="M957" s="389">
        <f t="shared" si="102"/>
        <v>0</v>
      </c>
      <c r="N957" s="390">
        <f t="shared" si="103"/>
        <v>0</v>
      </c>
    </row>
    <row r="958" spans="1:14" x14ac:dyDescent="0.35">
      <c r="A958" s="100">
        <v>9</v>
      </c>
      <c r="B958" s="437"/>
      <c r="C958" s="367"/>
      <c r="D958" s="384" t="str">
        <f>IF(B958=0," ",'kt info'!$G$57)</f>
        <v xml:space="preserve"> </v>
      </c>
      <c r="E958" s="385" t="str">
        <f>IF(B958=0," ",VLOOKUP(B958,WageBeneTable5[#All],2,FALSE))</f>
        <v xml:space="preserve"> </v>
      </c>
      <c r="F958" s="822">
        <f>IF($E958=" ",0,'Pay &amp; Benefits'!$C$10)</f>
        <v>0</v>
      </c>
      <c r="G958" s="823"/>
      <c r="H958" s="386" t="str">
        <f>IF($E958=" "," ",'Pay &amp; Benefits'!$C$11)</f>
        <v xml:space="preserve"> </v>
      </c>
      <c r="I958" s="387" t="str">
        <f t="shared" si="99"/>
        <v xml:space="preserve"> </v>
      </c>
      <c r="J958" s="388" t="str">
        <f>IF(B958=0," ",VLOOKUP(B958,WageBeneTable5[#All],3,FALSE))</f>
        <v xml:space="preserve"> </v>
      </c>
      <c r="K958" s="385" t="str">
        <f t="shared" si="100"/>
        <v xml:space="preserve"> </v>
      </c>
      <c r="L958" s="385">
        <f t="shared" si="101"/>
        <v>0</v>
      </c>
      <c r="M958" s="389">
        <f t="shared" si="102"/>
        <v>0</v>
      </c>
      <c r="N958" s="390">
        <f t="shared" si="103"/>
        <v>0</v>
      </c>
    </row>
    <row r="959" spans="1:14" ht="15" thickBot="1" x14ac:dyDescent="0.4">
      <c r="A959" s="100">
        <v>10</v>
      </c>
      <c r="B959" s="439"/>
      <c r="C959" s="375"/>
      <c r="D959" s="376" t="str">
        <f>IF(B959=0," ",'kt info'!$G$57)</f>
        <v xml:space="preserve"> </v>
      </c>
      <c r="E959" s="377" t="str">
        <f>IF(B959=0," ",VLOOKUP(B959,WageBeneTable5[#All],2,FALSE))</f>
        <v xml:space="preserve"> </v>
      </c>
      <c r="F959" s="813">
        <f>IF($E959=" ",0,'Pay &amp; Benefits'!$C$10)</f>
        <v>0</v>
      </c>
      <c r="G959" s="814"/>
      <c r="H959" s="378" t="str">
        <f>IF($E959=" "," ",'Pay &amp; Benefits'!$C$11)</f>
        <v xml:space="preserve"> </v>
      </c>
      <c r="I959" s="379" t="str">
        <f t="shared" si="99"/>
        <v xml:space="preserve"> </v>
      </c>
      <c r="J959" s="380" t="str">
        <f>IF(B959=0," ",VLOOKUP(B959,WageBeneTable5[#All],3,FALSE))</f>
        <v xml:space="preserve"> </v>
      </c>
      <c r="K959" s="377" t="str">
        <f t="shared" si="100"/>
        <v xml:space="preserve"> </v>
      </c>
      <c r="L959" s="377">
        <f t="shared" si="101"/>
        <v>0</v>
      </c>
      <c r="M959" s="381">
        <f t="shared" si="102"/>
        <v>0</v>
      </c>
      <c r="N959" s="382">
        <f t="shared" si="103"/>
        <v>0</v>
      </c>
    </row>
    <row r="960" spans="1:14" x14ac:dyDescent="0.35">
      <c r="K960" s="391"/>
      <c r="L960" s="392"/>
      <c r="M960" s="393"/>
    </row>
    <row r="961" spans="1:14" ht="15" thickBot="1" x14ac:dyDescent="0.4">
      <c r="B961" s="394" t="s">
        <v>203</v>
      </c>
      <c r="E961" s="395"/>
      <c r="H961" s="815" t="s">
        <v>199</v>
      </c>
      <c r="I961" s="816"/>
      <c r="M961" s="475"/>
      <c r="N961" s="100"/>
    </row>
    <row r="962" spans="1:14" x14ac:dyDescent="0.35">
      <c r="B962" s="32" t="s">
        <v>123</v>
      </c>
      <c r="C962" s="398" t="s">
        <v>239</v>
      </c>
      <c r="D962" s="399" t="s">
        <v>9</v>
      </c>
      <c r="E962" s="400" t="s">
        <v>83</v>
      </c>
      <c r="H962" s="303" t="s">
        <v>15</v>
      </c>
      <c r="I962" s="4" t="s">
        <v>85</v>
      </c>
      <c r="J962" s="4" t="s">
        <v>16</v>
      </c>
      <c r="K962" s="4" t="s">
        <v>241</v>
      </c>
      <c r="L962" s="4" t="s">
        <v>83</v>
      </c>
      <c r="M962" s="476"/>
      <c r="N962" s="477"/>
    </row>
    <row r="963" spans="1:14" ht="15" thickBot="1" x14ac:dyDescent="0.4">
      <c r="B963" s="33" t="s">
        <v>124</v>
      </c>
      <c r="C963" s="401" t="s">
        <v>84</v>
      </c>
      <c r="D963" s="402" t="s">
        <v>10</v>
      </c>
      <c r="E963" s="403" t="s">
        <v>84</v>
      </c>
      <c r="H963" s="304" t="s">
        <v>13</v>
      </c>
      <c r="I963" s="5" t="s">
        <v>86</v>
      </c>
      <c r="J963" s="5" t="s">
        <v>17</v>
      </c>
      <c r="K963" s="5" t="s">
        <v>12</v>
      </c>
      <c r="L963" s="5" t="s">
        <v>84</v>
      </c>
      <c r="M963" s="478"/>
      <c r="N963" s="479"/>
    </row>
    <row r="964" spans="1:14" x14ac:dyDescent="0.35">
      <c r="A964" s="100">
        <v>1</v>
      </c>
      <c r="B964" s="474"/>
      <c r="C964" s="406"/>
      <c r="D964" s="407">
        <f>IF(B964=0,0,VLOOKUP(B964,Supplies!$B$13:$C$97,2,FALSE))</f>
        <v>0</v>
      </c>
      <c r="E964" s="360">
        <f>IF(D964=" "," ",D964*C964)</f>
        <v>0</v>
      </c>
      <c r="G964" s="100">
        <v>1</v>
      </c>
      <c r="H964" s="408"/>
      <c r="I964" s="409"/>
      <c r="J964" s="410"/>
      <c r="K964" s="331" t="str">
        <f>IF(H964=0," ",IF(VLOOKUP(H964,'Equipment List'!$B$12:$F$96,5,FALSE)=0,0,IF(VLOOKUP(H964,'Equipment List'!$B$12:$F$96,5,FALSE)="Grant","Grant",IF(VLOOKUP(H964,'Equipment List'!$B$12:$F$96,5,FALSE)="Depreciated","Depreciated",VLOOKUP(H964,'Equipment List'!$B$12:$F$96,5,FALSE)*I964*J964))))</f>
        <v xml:space="preserve"> </v>
      </c>
      <c r="L964" s="365" t="str">
        <f>IF(K964=" "," ",IF(K964="Grant",0,IF(K964="Depreciated",0,IF('kt info'!$G$59=0,"No Service Frequency",K964/'kt info'!$G$59))))</f>
        <v xml:space="preserve"> </v>
      </c>
      <c r="M964" s="480"/>
      <c r="N964" s="404"/>
    </row>
    <row r="965" spans="1:14" x14ac:dyDescent="0.35">
      <c r="A965" s="100">
        <v>2</v>
      </c>
      <c r="B965" s="437"/>
      <c r="C965" s="414"/>
      <c r="D965" s="415">
        <f>IF(B965=0,0,VLOOKUP(B965,Supplies!$B$13:$C$97,2,FALSE))</f>
        <v>0</v>
      </c>
      <c r="E965" s="385">
        <f t="shared" ref="E965:E979" si="104">IF(D965=" "," ",D965*C965)</f>
        <v>0</v>
      </c>
      <c r="G965" s="100">
        <v>2</v>
      </c>
      <c r="H965" s="416"/>
      <c r="I965" s="417"/>
      <c r="J965" s="418"/>
      <c r="K965" s="421" t="str">
        <f>IF(H965=0," ",IF(VLOOKUP(H965,'Equipment List'!$B$12:$F$96,5,FALSE)=0,0,IF(VLOOKUP(H965,'Equipment List'!$B$12:$F$96,5,FALSE)="Grant","Grant",IF(VLOOKUP(H965,'Equipment List'!$B$12:$F$96,5,FALSE)="Depreciated","Depreciated",VLOOKUP(H965,'Equipment List'!$B$12:$F$96,5,FALSE)*I965*J965))))</f>
        <v xml:space="preserve"> </v>
      </c>
      <c r="L965" s="390" t="str">
        <f>IF(K965=" "," ",IF(K965="Grant",0,IF(K965="Depreciated",0,IF('kt info'!$G$57=0,"No Service Frequency",K965/'kt info'!$G$57))))</f>
        <v xml:space="preserve"> </v>
      </c>
    </row>
    <row r="966" spans="1:14" x14ac:dyDescent="0.35">
      <c r="A966" s="100">
        <v>3</v>
      </c>
      <c r="B966" s="437"/>
      <c r="C966" s="414"/>
      <c r="D966" s="415">
        <f>IF(B966=0,0,VLOOKUP(B966,Supplies!$B$13:$C$97,2,FALSE))</f>
        <v>0</v>
      </c>
      <c r="E966" s="385">
        <f t="shared" si="104"/>
        <v>0</v>
      </c>
      <c r="G966" s="100">
        <v>3</v>
      </c>
      <c r="H966" s="416"/>
      <c r="I966" s="417"/>
      <c r="J966" s="418"/>
      <c r="K966" s="421" t="str">
        <f>IF(H966=0," ",IF(VLOOKUP(H966,'Equipment List'!$B$12:$F$96,5,FALSE)=0,0,IF(VLOOKUP(H966,'Equipment List'!$B$12:$F$96,5,FALSE)="Grant","Grant",IF(VLOOKUP(H966,'Equipment List'!$B$12:$F$96,5,FALSE)="Depreciated","Depreciated",VLOOKUP(H966,'Equipment List'!$B$12:$F$96,5,FALSE)*I966*J966))))</f>
        <v xml:space="preserve"> </v>
      </c>
      <c r="L966" s="390" t="str">
        <f>IF(K966=" "," ",IF(K966="Grant",0,IF(K966="Depreciated",0,IF('kt info'!$G$57=0,"No Service Frequency",K966/'kt info'!$G$57))))</f>
        <v xml:space="preserve"> </v>
      </c>
    </row>
    <row r="967" spans="1:14" x14ac:dyDescent="0.35">
      <c r="A967" s="100">
        <v>4</v>
      </c>
      <c r="B967" s="437"/>
      <c r="C967" s="414"/>
      <c r="D967" s="415">
        <f>IF(B967=0,0,VLOOKUP(B967,Supplies!$B$13:$C$97,2,FALSE))</f>
        <v>0</v>
      </c>
      <c r="E967" s="385">
        <f t="shared" si="104"/>
        <v>0</v>
      </c>
      <c r="G967" s="100">
        <v>4</v>
      </c>
      <c r="H967" s="416"/>
      <c r="I967" s="417"/>
      <c r="J967" s="418"/>
      <c r="K967" s="421" t="str">
        <f>IF(H967=0," ",IF(VLOOKUP(H967,'Equipment List'!$B$12:$F$96,5,FALSE)=0,0,IF(VLOOKUP(H967,'Equipment List'!$B$12:$F$96,5,FALSE)="Grant","Grant",IF(VLOOKUP(H967,'Equipment List'!$B$12:$F$96,5,FALSE)="Depreciated","Depreciated",VLOOKUP(H967,'Equipment List'!$B$12:$F$96,5,FALSE)*I967*J967))))</f>
        <v xml:space="preserve"> </v>
      </c>
      <c r="L967" s="390" t="str">
        <f>IF(K967=" "," ",IF(K967="Grant",0,IF(K967="Depreciated",0,IF('kt info'!$G$57=0,"No Service Frequency",K967/'kt info'!$G$57))))</f>
        <v xml:space="preserve"> </v>
      </c>
    </row>
    <row r="968" spans="1:14" ht="15" thickBot="1" x14ac:dyDescent="0.4">
      <c r="A968" s="100">
        <v>5</v>
      </c>
      <c r="B968" s="439"/>
      <c r="C968" s="423"/>
      <c r="D968" s="424">
        <f>IF(B968=0,0,VLOOKUP(B968,Supplies!$B$13:$C$97,2,FALSE))</f>
        <v>0</v>
      </c>
      <c r="E968" s="377">
        <f t="shared" si="104"/>
        <v>0</v>
      </c>
      <c r="G968" s="100">
        <v>5</v>
      </c>
      <c r="H968" s="425"/>
      <c r="I968" s="426"/>
      <c r="J968" s="427"/>
      <c r="K968" s="428" t="str">
        <f>IF(H968=0," ",IF(VLOOKUP(H968,'Equipment List'!$B$12:$F$96,5,FALSE)=0,0,IF(VLOOKUP(H968,'Equipment List'!$B$12:$F$96,5,FALSE)="Grant","Grant",IF(VLOOKUP(H968,'Equipment List'!$B$12:$F$96,5,FALSE)="Depreciated","Depreciated",VLOOKUP(H968,'Equipment List'!$B$12:$F$96,5,FALSE)*I968*J968))))</f>
        <v xml:space="preserve"> </v>
      </c>
      <c r="L968" s="382" t="str">
        <f>IF(K968=" "," ",IF(K968="Grant",0,IF(K968="Depreciated",0,IF('kt info'!$G$57=0,"No Service Frequency",K968/'kt info'!$G$57))))</f>
        <v xml:space="preserve"> </v>
      </c>
    </row>
    <row r="969" spans="1:14" x14ac:dyDescent="0.35">
      <c r="A969" s="100">
        <v>6</v>
      </c>
      <c r="B969" s="433"/>
      <c r="C969" s="431"/>
      <c r="D969" s="432">
        <f>IF(B969=0,0,VLOOKUP(B969,Supplies!$B$13:$C$97,2,FALSE))</f>
        <v>0</v>
      </c>
      <c r="E969" s="385">
        <f t="shared" si="104"/>
        <v>0</v>
      </c>
      <c r="G969" s="100">
        <v>6</v>
      </c>
      <c r="H969" s="433"/>
      <c r="I969" s="434"/>
      <c r="J969" s="435"/>
      <c r="K969" s="436" t="str">
        <f>IF(H969=0," ",IF(VLOOKUP(H969,'Equipment List'!$B$12:$F$96,5,FALSE)=0,0,IF(VLOOKUP(H969,'Equipment List'!$B$12:$F$96,5,FALSE)="Grant","Grant",IF(VLOOKUP(H969,'Equipment List'!$B$12:$F$96,5,FALSE)="Depreciated","Depreciated",VLOOKUP(H969,'Equipment List'!$B$12:$F$96,5,FALSE)*I969*J969))))</f>
        <v xml:space="preserve"> </v>
      </c>
      <c r="L969" s="390" t="str">
        <f>IF(K969=" "," ",IF(K969="Grant",0,IF(K969="Depreciated",0,IF('kt info'!$G$57=0,"No Service Frequency",K969/'kt info'!$G$57))))</f>
        <v xml:space="preserve"> </v>
      </c>
    </row>
    <row r="970" spans="1:14" x14ac:dyDescent="0.35">
      <c r="A970" s="100">
        <v>7</v>
      </c>
      <c r="B970" s="437"/>
      <c r="C970" s="414"/>
      <c r="D970" s="415">
        <f>IF(B970=0,0,VLOOKUP(B970,Supplies!$B$13:$C$97,2,FALSE))</f>
        <v>0</v>
      </c>
      <c r="E970" s="385">
        <f t="shared" si="104"/>
        <v>0</v>
      </c>
      <c r="G970" s="100">
        <v>7</v>
      </c>
      <c r="H970" s="437"/>
      <c r="I970" s="417"/>
      <c r="J970" s="418"/>
      <c r="K970" s="438" t="str">
        <f>IF(H970=0," ",IF(VLOOKUP(H970,'Equipment List'!$B$12:$F$96,5,FALSE)=0,0,IF(VLOOKUP(H970,'Equipment List'!$B$12:$F$96,5,FALSE)="Grant","Grant",IF(VLOOKUP(H970,'Equipment List'!$B$12:$F$96,5,FALSE)="Depreciated","Depreciated",VLOOKUP(H970,'Equipment List'!$B$12:$F$96,5,FALSE)*I970*J970))))</f>
        <v xml:space="preserve"> </v>
      </c>
      <c r="L970" s="390" t="str">
        <f>IF(K970=" "," ",IF(K970="Grant",0,IF(K970="Depreciated",0,IF('kt info'!$G$57=0,"No Service Frequency",K970/'kt info'!$G$57))))</f>
        <v xml:space="preserve"> </v>
      </c>
    </row>
    <row r="971" spans="1:14" x14ac:dyDescent="0.35">
      <c r="A971" s="100">
        <v>8</v>
      </c>
      <c r="B971" s="437"/>
      <c r="C971" s="414"/>
      <c r="D971" s="415">
        <f>IF(B971=0,0,VLOOKUP(B971,Supplies!$B$13:$C$97,2,FALSE))</f>
        <v>0</v>
      </c>
      <c r="E971" s="385">
        <f t="shared" si="104"/>
        <v>0</v>
      </c>
      <c r="G971" s="100">
        <v>8</v>
      </c>
      <c r="H971" s="437"/>
      <c r="I971" s="417"/>
      <c r="J971" s="418"/>
      <c r="K971" s="438" t="str">
        <f>IF(H971=0," ",IF(VLOOKUP(H971,'Equipment List'!$B$12:$F$96,5,FALSE)=0,0,IF(VLOOKUP(H971,'Equipment List'!$B$12:$F$96,5,FALSE)="Grant","Grant",IF(VLOOKUP(H971,'Equipment List'!$B$12:$F$96,5,FALSE)="Depreciated","Depreciated",VLOOKUP(H971,'Equipment List'!$B$12:$F$96,5,FALSE)*I971*J971))))</f>
        <v xml:space="preserve"> </v>
      </c>
      <c r="L971" s="390" t="str">
        <f>IF(K971=" "," ",IF(K971="Grant",0,IF(K971="Depreciated",0,IF('kt info'!$G$57=0,"No Service Frequency",K971/'kt info'!$G$57))))</f>
        <v xml:space="preserve"> </v>
      </c>
    </row>
    <row r="972" spans="1:14" x14ac:dyDescent="0.35">
      <c r="A972" s="100">
        <v>9</v>
      </c>
      <c r="B972" s="437"/>
      <c r="C972" s="414"/>
      <c r="D972" s="415">
        <f>IF(B972=0,0,VLOOKUP(B972,Supplies!$B$13:$C$97,2,FALSE))</f>
        <v>0</v>
      </c>
      <c r="E972" s="385">
        <f t="shared" si="104"/>
        <v>0</v>
      </c>
      <c r="G972" s="100">
        <v>9</v>
      </c>
      <c r="H972" s="437"/>
      <c r="I972" s="417"/>
      <c r="J972" s="418"/>
      <c r="K972" s="438" t="str">
        <f>IF(H972=0," ",IF(VLOOKUP(H972,'Equipment List'!$B$12:$F$96,5,FALSE)=0,0,IF(VLOOKUP(H972,'Equipment List'!$B$12:$F$96,5,FALSE)="Grant","Grant",IF(VLOOKUP(H972,'Equipment List'!$B$12:$F$96,5,FALSE)="Depreciated","Depreciated",VLOOKUP(H972,'Equipment List'!$B$12:$F$96,5,FALSE)*I972*J972))))</f>
        <v xml:space="preserve"> </v>
      </c>
      <c r="L972" s="390" t="str">
        <f>IF(K972=" "," ",IF(K972="Grant",0,IF(K972="Depreciated",0,IF('kt info'!$G$57=0,"No Service Frequency",K972/'kt info'!$G$57))))</f>
        <v xml:space="preserve"> </v>
      </c>
    </row>
    <row r="973" spans="1:14" ht="15" thickBot="1" x14ac:dyDescent="0.4">
      <c r="A973" s="100">
        <v>10</v>
      </c>
      <c r="B973" s="439"/>
      <c r="C973" s="423"/>
      <c r="D973" s="424">
        <f>IF(B973=0,0,VLOOKUP(B973,Supplies!$B$13:$C$97,2,FALSE))</f>
        <v>0</v>
      </c>
      <c r="E973" s="377">
        <f t="shared" si="104"/>
        <v>0</v>
      </c>
      <c r="G973" s="100">
        <v>10</v>
      </c>
      <c r="H973" s="439"/>
      <c r="I973" s="426"/>
      <c r="J973" s="427"/>
      <c r="K973" s="440" t="str">
        <f>IF(H973=0," ",IF(VLOOKUP(H973,'Equipment List'!$B$12:$F$96,5,FALSE)=0,0,IF(VLOOKUP(H973,'Equipment List'!$B$12:$F$96,5,FALSE)="Grant","Grant",IF(VLOOKUP(H973,'Equipment List'!$B$12:$F$96,5,FALSE)="Depreciated","Depreciated",VLOOKUP(H973,'Equipment List'!$B$12:$F$96,5,FALSE)*I973*J973))))</f>
        <v xml:space="preserve"> </v>
      </c>
      <c r="L973" s="382" t="str">
        <f>IF(K973=" "," ",IF(K973="Grant",0,IF(K973="Depreciated",0,IF('kt info'!$G$57=0,"No Service Frequency",K973/'kt info'!$G$57))))</f>
        <v xml:space="preserve"> </v>
      </c>
    </row>
    <row r="974" spans="1:14" x14ac:dyDescent="0.35">
      <c r="A974" s="100">
        <v>11</v>
      </c>
      <c r="B974" s="433"/>
      <c r="C974" s="431"/>
      <c r="D974" s="432">
        <f>IF(B974=0,0,VLOOKUP(B974,Supplies!$B$13:$C$97,2,FALSE))</f>
        <v>0</v>
      </c>
      <c r="E974" s="385">
        <f t="shared" si="104"/>
        <v>0</v>
      </c>
    </row>
    <row r="975" spans="1:14" ht="15" thickBot="1" x14ac:dyDescent="0.4">
      <c r="A975" s="100">
        <v>12</v>
      </c>
      <c r="B975" s="437"/>
      <c r="C975" s="414"/>
      <c r="D975" s="415">
        <f>IF(B975=0,0,VLOOKUP(B975,Supplies!$B$13:$C$97,2,FALSE))</f>
        <v>0</v>
      </c>
      <c r="E975" s="385">
        <f t="shared" si="104"/>
        <v>0</v>
      </c>
      <c r="H975" s="817" t="s">
        <v>200</v>
      </c>
      <c r="I975" s="816"/>
      <c r="J975" s="354"/>
      <c r="K975" s="354"/>
      <c r="L975" s="354"/>
      <c r="M975" s="354"/>
    </row>
    <row r="976" spans="1:14" x14ac:dyDescent="0.35">
      <c r="A976" s="100">
        <v>13</v>
      </c>
      <c r="B976" s="437"/>
      <c r="C976" s="414"/>
      <c r="D976" s="415">
        <f>IF(B976=0,0,VLOOKUP(B976,Supplies!$B$13:$C$97,2,FALSE))</f>
        <v>0</v>
      </c>
      <c r="E976" s="385">
        <f t="shared" si="104"/>
        <v>0</v>
      </c>
      <c r="H976" s="441" t="s">
        <v>159</v>
      </c>
      <c r="I976" s="4" t="s">
        <v>92</v>
      </c>
      <c r="J976" s="4" t="s">
        <v>300</v>
      </c>
      <c r="K976" s="350" t="s">
        <v>93</v>
      </c>
      <c r="L976" s="4" t="s">
        <v>12</v>
      </c>
      <c r="M976" s="4" t="s">
        <v>12</v>
      </c>
      <c r="N976" s="481"/>
    </row>
    <row r="977" spans="1:14" ht="15" thickBot="1" x14ac:dyDescent="0.4">
      <c r="A977" s="100">
        <v>14</v>
      </c>
      <c r="B977" s="437"/>
      <c r="C977" s="414"/>
      <c r="D977" s="415">
        <f>IF(B977=0,0,VLOOKUP(B977,Supplies!$B$13:$C$97,2,FALSE))</f>
        <v>0</v>
      </c>
      <c r="E977" s="385">
        <f t="shared" si="104"/>
        <v>0</v>
      </c>
      <c r="H977" s="305" t="s">
        <v>13</v>
      </c>
      <c r="I977" s="5" t="s">
        <v>301</v>
      </c>
      <c r="J977" s="5" t="s">
        <v>169</v>
      </c>
      <c r="K977" s="354" t="s">
        <v>94</v>
      </c>
      <c r="L977" s="5" t="s">
        <v>302</v>
      </c>
      <c r="M977" s="5" t="s">
        <v>240</v>
      </c>
      <c r="N977" s="481"/>
    </row>
    <row r="978" spans="1:14" ht="15" thickBot="1" x14ac:dyDescent="0.4">
      <c r="A978" s="100">
        <v>15</v>
      </c>
      <c r="B978" s="439"/>
      <c r="C978" s="442"/>
      <c r="D978" s="443">
        <f>IF(B978=0,0,VLOOKUP(B978,Supplies!$B$13:$C$97,2,FALSE))</f>
        <v>0</v>
      </c>
      <c r="E978" s="377">
        <f t="shared" si="104"/>
        <v>0</v>
      </c>
      <c r="G978" s="393"/>
      <c r="H978" s="258"/>
      <c r="I978" s="444"/>
      <c r="J978" s="445"/>
      <c r="K978" s="446">
        <f>IF(H978=0,0,VLOOKUP(H978,Transportation!$B$6:$L$16,11,FALSE))</f>
        <v>0</v>
      </c>
      <c r="L978" s="447">
        <f>IF(I978=0,0,I978*K978)</f>
        <v>0</v>
      </c>
      <c r="M978" s="448">
        <f>IF(I978=0,0,I978*K978*J978)</f>
        <v>0</v>
      </c>
      <c r="N978" s="487"/>
    </row>
    <row r="979" spans="1:14" ht="15" thickBot="1" x14ac:dyDescent="0.4">
      <c r="A979" s="100">
        <v>16</v>
      </c>
      <c r="B979" s="433"/>
      <c r="C979" s="449"/>
      <c r="D979" s="450">
        <f>IF(B979=0,0,VLOOKUP(B979,Supplies!$B$13:$C$97,2,FALSE))</f>
        <v>0</v>
      </c>
      <c r="E979" s="385">
        <f t="shared" si="104"/>
        <v>0</v>
      </c>
      <c r="H979" s="259"/>
      <c r="I979" s="451"/>
      <c r="J979" s="452"/>
      <c r="K979" s="453">
        <f>IF(H979=0,0,VLOOKUP(H979,Transportation!$B$6:$L$16,11,FALSE))</f>
        <v>0</v>
      </c>
      <c r="L979" s="454">
        <f>IF(I979=0,0,I979*K979)</f>
        <v>0</v>
      </c>
      <c r="M979" s="455">
        <f>IF(I979=0,0,I979*K979*J979)</f>
        <v>0</v>
      </c>
      <c r="N979" s="487"/>
    </row>
    <row r="980" spans="1:14" x14ac:dyDescent="0.35">
      <c r="A980" s="100">
        <v>17</v>
      </c>
      <c r="B980" s="437"/>
      <c r="C980" s="456"/>
      <c r="D980" s="457">
        <f>IF(B980=0,0,VLOOKUP(B980,Supplies!$B$13:$C$97,2,FALSE))</f>
        <v>0</v>
      </c>
      <c r="E980" s="385">
        <f>IF(D980=" "," ",D980*C980)</f>
        <v>0</v>
      </c>
      <c r="H980" s="260"/>
      <c r="I980" s="458"/>
      <c r="J980" s="459"/>
      <c r="K980" s="460"/>
      <c r="L980" s="460"/>
      <c r="M980" s="460"/>
      <c r="N980" s="483"/>
    </row>
    <row r="981" spans="1:14" ht="15" thickBot="1" x14ac:dyDescent="0.4">
      <c r="A981" s="100">
        <v>18</v>
      </c>
      <c r="B981" s="437"/>
      <c r="C981" s="456"/>
      <c r="D981" s="457">
        <f>IF(B981=0,0,VLOOKUP(B981,Supplies!$B$13:$C$97,2,FALSE))</f>
        <v>0</v>
      </c>
      <c r="E981" s="385">
        <f>IF(D981=" "," ",D981*C981)</f>
        <v>0</v>
      </c>
      <c r="H981" s="461" t="s">
        <v>201</v>
      </c>
      <c r="I981" s="462"/>
      <c r="J981" s="463"/>
      <c r="K981" s="464"/>
      <c r="L981" s="464"/>
      <c r="M981" s="464"/>
      <c r="N981" s="483"/>
    </row>
    <row r="982" spans="1:14" x14ac:dyDescent="0.35">
      <c r="A982" s="100">
        <v>19</v>
      </c>
      <c r="B982" s="437"/>
      <c r="C982" s="456"/>
      <c r="D982" s="457">
        <f>IF(B982=0,0,VLOOKUP(B982,Supplies!$B$13:$C$97,2,FALSE))</f>
        <v>0</v>
      </c>
      <c r="E982" s="385">
        <f>IF(D982=" "," ",D982*C982)</f>
        <v>0</v>
      </c>
      <c r="H982" s="465" t="s">
        <v>202</v>
      </c>
      <c r="I982" s="466" t="s">
        <v>204</v>
      </c>
      <c r="J982" s="463"/>
      <c r="K982" s="464"/>
      <c r="L982" s="464"/>
      <c r="M982" s="464"/>
      <c r="N982" s="483"/>
    </row>
    <row r="983" spans="1:14" ht="15" thickBot="1" x14ac:dyDescent="0.4">
      <c r="A983" s="100">
        <v>20</v>
      </c>
      <c r="B983" s="439"/>
      <c r="C983" s="442"/>
      <c r="D983" s="443">
        <f>IF(B983=0,0,VLOOKUP(B983,Supplies!$B$13:$C$97,2,FALSE))</f>
        <v>0</v>
      </c>
      <c r="E983" s="377">
        <f>IF(D983=" "," ",D983*C983)</f>
        <v>0</v>
      </c>
      <c r="H983" s="467"/>
      <c r="I983" s="484" t="str">
        <f>IF(H983=0," ",VLOOKUP(H983,Subcontractors!$B$15:$E$25,4))</f>
        <v xml:space="preserve"> </v>
      </c>
      <c r="J983" s="463"/>
      <c r="K983" s="464"/>
      <c r="L983" s="464"/>
      <c r="M983" s="464"/>
    </row>
    <row r="984" spans="1:14" ht="15" thickBot="1" x14ac:dyDescent="0.4">
      <c r="A984" s="100"/>
      <c r="B984" s="335"/>
      <c r="C984" s="485"/>
      <c r="D984" s="397"/>
      <c r="E984" s="397"/>
      <c r="H984" s="469"/>
      <c r="I984" s="486" t="str">
        <f>IF(H984=0," ",VLOOKUP(H984,Subcontractors!$B$15:$E$25,4))</f>
        <v xml:space="preserve"> </v>
      </c>
    </row>
    <row r="985" spans="1:14" x14ac:dyDescent="0.35">
      <c r="A985" s="100"/>
      <c r="B985" s="335"/>
      <c r="C985" s="485"/>
      <c r="D985" s="397"/>
      <c r="E985" s="397"/>
      <c r="H985" s="473"/>
      <c r="I985" s="404"/>
    </row>
    <row r="986" spans="1:14" ht="21" x14ac:dyDescent="0.35">
      <c r="A986" s="818" t="s">
        <v>191</v>
      </c>
      <c r="B986" s="819"/>
      <c r="C986" s="819"/>
      <c r="D986" s="819"/>
      <c r="E986" s="819"/>
      <c r="F986" s="819"/>
      <c r="G986" s="150" t="str">
        <f>'kt info'!B59</f>
        <v>Enter Periodical Service 10</v>
      </c>
      <c r="H986" s="307"/>
      <c r="I986" s="261"/>
      <c r="J986" s="149"/>
      <c r="K986" s="149"/>
      <c r="L986" s="149"/>
      <c r="M986" s="149"/>
      <c r="N986" s="149"/>
    </row>
    <row r="987" spans="1:14" x14ac:dyDescent="0.35">
      <c r="A987" s="829" t="s">
        <v>194</v>
      </c>
      <c r="B987" s="708"/>
      <c r="C987" s="708"/>
      <c r="D987" s="708"/>
      <c r="E987" s="708"/>
      <c r="F987" s="708"/>
      <c r="G987" s="708"/>
      <c r="H987" s="708"/>
      <c r="I987" s="708"/>
      <c r="J987" s="708"/>
      <c r="K987" s="708"/>
      <c r="L987" s="708"/>
      <c r="M987" s="708"/>
      <c r="N987" s="708"/>
    </row>
    <row r="988" spans="1:14" x14ac:dyDescent="0.35">
      <c r="A988" s="708"/>
      <c r="B988" s="708"/>
      <c r="C988" s="708"/>
      <c r="D988" s="708"/>
      <c r="E988" s="708"/>
      <c r="F988" s="708"/>
      <c r="G988" s="708"/>
      <c r="H988" s="708"/>
      <c r="I988" s="708"/>
      <c r="J988" s="708"/>
      <c r="K988" s="708"/>
      <c r="L988" s="708"/>
      <c r="M988" s="708"/>
      <c r="N988" s="708"/>
    </row>
  </sheetData>
  <sheetProtection algorithmName="SHA-512" hashValue="tp9BOEODuK6IELzFgfRSITgUbewfMxnOMuYgUOeXyqRNyjPdt4fjTnFyjudSe/3d5EomD3hgs3hAfmAUDlUEhw==" saltValue="+l7bICsa3QV4a3BM3/BrFg==" spinCount="100000" sheet="1" objects="1" scenarios="1"/>
  <mergeCells count="375">
    <mergeCell ref="J641:M641"/>
    <mergeCell ref="H627:I627"/>
    <mergeCell ref="H671:I671"/>
    <mergeCell ref="H685:I685"/>
    <mergeCell ref="H729:I729"/>
    <mergeCell ref="H743:I743"/>
    <mergeCell ref="H381:I381"/>
    <mergeCell ref="H395:I395"/>
    <mergeCell ref="H439:I439"/>
    <mergeCell ref="H453:I453"/>
    <mergeCell ref="H497:I497"/>
    <mergeCell ref="H511:I511"/>
    <mergeCell ref="H555:I555"/>
    <mergeCell ref="H569:I569"/>
    <mergeCell ref="H613:I613"/>
    <mergeCell ref="H47:I47"/>
    <mergeCell ref="H163:I163"/>
    <mergeCell ref="H221:I221"/>
    <mergeCell ref="H207:I207"/>
    <mergeCell ref="H149:I149"/>
    <mergeCell ref="H265:I265"/>
    <mergeCell ref="H279:I279"/>
    <mergeCell ref="H323:I323"/>
    <mergeCell ref="H337:I337"/>
    <mergeCell ref="F263:G263"/>
    <mergeCell ref="A232:F232"/>
    <mergeCell ref="A233:F233"/>
    <mergeCell ref="F252:G252"/>
    <mergeCell ref="F253:G253"/>
    <mergeCell ref="F254:G254"/>
    <mergeCell ref="F255:G255"/>
    <mergeCell ref="F256:G256"/>
    <mergeCell ref="E245:G245"/>
    <mergeCell ref="E246:G246"/>
    <mergeCell ref="E247:G247"/>
    <mergeCell ref="E248:G248"/>
    <mergeCell ref="F258:G258"/>
    <mergeCell ref="F259:G259"/>
    <mergeCell ref="F260:G260"/>
    <mergeCell ref="F261:G261"/>
    <mergeCell ref="F262:G262"/>
    <mergeCell ref="F257:G257"/>
    <mergeCell ref="E242:G242"/>
    <mergeCell ref="E243:G243"/>
    <mergeCell ref="E244:G244"/>
    <mergeCell ref="C235:F235"/>
    <mergeCell ref="C237:F237"/>
    <mergeCell ref="C239:F239"/>
    <mergeCell ref="E190:G190"/>
    <mergeCell ref="F194:G194"/>
    <mergeCell ref="F195:G195"/>
    <mergeCell ref="F196:G196"/>
    <mergeCell ref="F202:G202"/>
    <mergeCell ref="F203:G203"/>
    <mergeCell ref="F204:G204"/>
    <mergeCell ref="E185:G185"/>
    <mergeCell ref="E186:G186"/>
    <mergeCell ref="E187:G187"/>
    <mergeCell ref="E188:G188"/>
    <mergeCell ref="C4:F4"/>
    <mergeCell ref="C6:F6"/>
    <mergeCell ref="C8:F8"/>
    <mergeCell ref="F87:G87"/>
    <mergeCell ref="F88:G88"/>
    <mergeCell ref="F82:G82"/>
    <mergeCell ref="F83:G83"/>
    <mergeCell ref="F84:G84"/>
    <mergeCell ref="F85:G85"/>
    <mergeCell ref="F86:G86"/>
    <mergeCell ref="F78:G78"/>
    <mergeCell ref="F79:G79"/>
    <mergeCell ref="F80:G80"/>
    <mergeCell ref="F81:G81"/>
    <mergeCell ref="E70:G70"/>
    <mergeCell ref="E71:G71"/>
    <mergeCell ref="E69:G69"/>
    <mergeCell ref="E72:G72"/>
    <mergeCell ref="E73:G73"/>
    <mergeCell ref="E128:G128"/>
    <mergeCell ref="E129:G129"/>
    <mergeCell ref="F137:G137"/>
    <mergeCell ref="F138:G138"/>
    <mergeCell ref="F139:G139"/>
    <mergeCell ref="F140:G140"/>
    <mergeCell ref="F141:G141"/>
    <mergeCell ref="E130:G130"/>
    <mergeCell ref="E131:G131"/>
    <mergeCell ref="E132:G132"/>
    <mergeCell ref="F136:G136"/>
    <mergeCell ref="E126:G126"/>
    <mergeCell ref="E127:G127"/>
    <mergeCell ref="E74:G74"/>
    <mergeCell ref="F89:G89"/>
    <mergeCell ref="A116:F116"/>
    <mergeCell ref="A117:F117"/>
    <mergeCell ref="A59:F59"/>
    <mergeCell ref="E11:G11"/>
    <mergeCell ref="E12:G12"/>
    <mergeCell ref="F20:G20"/>
    <mergeCell ref="F21:G21"/>
    <mergeCell ref="F22:G22"/>
    <mergeCell ref="F23:G23"/>
    <mergeCell ref="F24:G24"/>
    <mergeCell ref="E13:G13"/>
    <mergeCell ref="E14:G14"/>
    <mergeCell ref="E16:G16"/>
    <mergeCell ref="E17:G17"/>
    <mergeCell ref="E15:G15"/>
    <mergeCell ref="A638:F638"/>
    <mergeCell ref="A349:F349"/>
    <mergeCell ref="A348:F348"/>
    <mergeCell ref="A406:F406"/>
    <mergeCell ref="B1:M1"/>
    <mergeCell ref="E189:G189"/>
    <mergeCell ref="E184:G184"/>
    <mergeCell ref="F197:G197"/>
    <mergeCell ref="F198:G198"/>
    <mergeCell ref="F199:G199"/>
    <mergeCell ref="F200:G200"/>
    <mergeCell ref="F201:G201"/>
    <mergeCell ref="F205:G205"/>
    <mergeCell ref="C177:F177"/>
    <mergeCell ref="C179:F179"/>
    <mergeCell ref="C181:F181"/>
    <mergeCell ref="C119:F119"/>
    <mergeCell ref="C121:F121"/>
    <mergeCell ref="C123:F123"/>
    <mergeCell ref="F147:G147"/>
    <mergeCell ref="A174:F174"/>
    <mergeCell ref="A175:F175"/>
    <mergeCell ref="F142:G142"/>
    <mergeCell ref="F143:G143"/>
    <mergeCell ref="C471:F471"/>
    <mergeCell ref="A290:F290"/>
    <mergeCell ref="A407:F407"/>
    <mergeCell ref="A291:F291"/>
    <mergeCell ref="A523:F523"/>
    <mergeCell ref="A464:F464"/>
    <mergeCell ref="A465:F465"/>
    <mergeCell ref="A522:F522"/>
    <mergeCell ref="A580:F580"/>
    <mergeCell ref="C351:F351"/>
    <mergeCell ref="C353:F353"/>
    <mergeCell ref="C355:F355"/>
    <mergeCell ref="C525:F525"/>
    <mergeCell ref="C527:F527"/>
    <mergeCell ref="C529:F529"/>
    <mergeCell ref="C293:F293"/>
    <mergeCell ref="C295:F295"/>
    <mergeCell ref="C297:F297"/>
    <mergeCell ref="F545:G545"/>
    <mergeCell ref="F546:G546"/>
    <mergeCell ref="F547:G547"/>
    <mergeCell ref="F548:G548"/>
    <mergeCell ref="F549:G549"/>
    <mergeCell ref="F550:G550"/>
    <mergeCell ref="F432:G432"/>
    <mergeCell ref="F433:G433"/>
    <mergeCell ref="F434:G434"/>
    <mergeCell ref="A2:F2"/>
    <mergeCell ref="C409:F409"/>
    <mergeCell ref="C411:F411"/>
    <mergeCell ref="C413:F413"/>
    <mergeCell ref="C467:F467"/>
    <mergeCell ref="C469:F469"/>
    <mergeCell ref="F144:G144"/>
    <mergeCell ref="F145:G145"/>
    <mergeCell ref="F146:G146"/>
    <mergeCell ref="F30:G30"/>
    <mergeCell ref="F31:G31"/>
    <mergeCell ref="F25:G25"/>
    <mergeCell ref="F26:G26"/>
    <mergeCell ref="F27:G27"/>
    <mergeCell ref="F28:G28"/>
    <mergeCell ref="F29:G29"/>
    <mergeCell ref="E68:G68"/>
    <mergeCell ref="C61:F61"/>
    <mergeCell ref="C63:F63"/>
    <mergeCell ref="C65:F65"/>
    <mergeCell ref="A58:F58"/>
    <mergeCell ref="F609:G609"/>
    <mergeCell ref="F610:G610"/>
    <mergeCell ref="F490:G490"/>
    <mergeCell ref="F491:G491"/>
    <mergeCell ref="F492:G492"/>
    <mergeCell ref="F493:G493"/>
    <mergeCell ref="F494:G494"/>
    <mergeCell ref="F495:G495"/>
    <mergeCell ref="F542:G542"/>
    <mergeCell ref="F543:G543"/>
    <mergeCell ref="F544:G544"/>
    <mergeCell ref="A581:F581"/>
    <mergeCell ref="C587:F587"/>
    <mergeCell ref="C585:F585"/>
    <mergeCell ref="C583:F583"/>
    <mergeCell ref="F551:G551"/>
    <mergeCell ref="F552:G552"/>
    <mergeCell ref="F553:G553"/>
    <mergeCell ref="F600:G600"/>
    <mergeCell ref="F601:G601"/>
    <mergeCell ref="F310:G310"/>
    <mergeCell ref="F311:G311"/>
    <mergeCell ref="F312:G312"/>
    <mergeCell ref="F313:G313"/>
    <mergeCell ref="F314:G314"/>
    <mergeCell ref="F315:G315"/>
    <mergeCell ref="F316:G316"/>
    <mergeCell ref="F317:G317"/>
    <mergeCell ref="F602:G602"/>
    <mergeCell ref="F435:G435"/>
    <mergeCell ref="F436:G436"/>
    <mergeCell ref="F437:G437"/>
    <mergeCell ref="F484:G484"/>
    <mergeCell ref="F485:G485"/>
    <mergeCell ref="F486:G486"/>
    <mergeCell ref="F487:G487"/>
    <mergeCell ref="F488:G488"/>
    <mergeCell ref="F489:G489"/>
    <mergeCell ref="F426:G426"/>
    <mergeCell ref="F427:G427"/>
    <mergeCell ref="F428:G428"/>
    <mergeCell ref="F429:G429"/>
    <mergeCell ref="F430:G430"/>
    <mergeCell ref="F431:G431"/>
    <mergeCell ref="F373:G373"/>
    <mergeCell ref="F374:G374"/>
    <mergeCell ref="F375:G375"/>
    <mergeCell ref="F376:G376"/>
    <mergeCell ref="F377:G377"/>
    <mergeCell ref="F378:G378"/>
    <mergeCell ref="F379:G379"/>
    <mergeCell ref="A987:N988"/>
    <mergeCell ref="F318:G318"/>
    <mergeCell ref="F319:G319"/>
    <mergeCell ref="F320:G320"/>
    <mergeCell ref="F321:G321"/>
    <mergeCell ref="F368:G368"/>
    <mergeCell ref="F369:G369"/>
    <mergeCell ref="F370:G370"/>
    <mergeCell ref="F371:G371"/>
    <mergeCell ref="F372:G372"/>
    <mergeCell ref="F611:G611"/>
    <mergeCell ref="F603:G603"/>
    <mergeCell ref="F604:G604"/>
    <mergeCell ref="F605:G605"/>
    <mergeCell ref="F606:G606"/>
    <mergeCell ref="F607:G607"/>
    <mergeCell ref="F608:G608"/>
    <mergeCell ref="A639:F639"/>
    <mergeCell ref="C641:F641"/>
    <mergeCell ref="C643:F643"/>
    <mergeCell ref="C645:F645"/>
    <mergeCell ref="F658:G658"/>
    <mergeCell ref="F659:G659"/>
    <mergeCell ref="F660:G660"/>
    <mergeCell ref="F661:G661"/>
    <mergeCell ref="F662:G662"/>
    <mergeCell ref="F663:G663"/>
    <mergeCell ref="F664:G664"/>
    <mergeCell ref="F665:G665"/>
    <mergeCell ref="F666:G666"/>
    <mergeCell ref="F667:G667"/>
    <mergeCell ref="F668:G668"/>
    <mergeCell ref="F669:G669"/>
    <mergeCell ref="A696:F696"/>
    <mergeCell ref="A697:F697"/>
    <mergeCell ref="F722:G722"/>
    <mergeCell ref="F723:G723"/>
    <mergeCell ref="F724:G724"/>
    <mergeCell ref="F725:G725"/>
    <mergeCell ref="F726:G726"/>
    <mergeCell ref="F727:G727"/>
    <mergeCell ref="A754:F754"/>
    <mergeCell ref="C699:F699"/>
    <mergeCell ref="C701:F701"/>
    <mergeCell ref="C703:F703"/>
    <mergeCell ref="F716:G716"/>
    <mergeCell ref="F717:G717"/>
    <mergeCell ref="F718:G718"/>
    <mergeCell ref="F719:G719"/>
    <mergeCell ref="F720:G720"/>
    <mergeCell ref="F721:G721"/>
    <mergeCell ref="A755:F755"/>
    <mergeCell ref="C757:F757"/>
    <mergeCell ref="C759:F759"/>
    <mergeCell ref="C761:F761"/>
    <mergeCell ref="F774:G774"/>
    <mergeCell ref="F775:G775"/>
    <mergeCell ref="F776:G776"/>
    <mergeCell ref="F777:G777"/>
    <mergeCell ref="F778:G778"/>
    <mergeCell ref="F779:G779"/>
    <mergeCell ref="F780:G780"/>
    <mergeCell ref="F781:G781"/>
    <mergeCell ref="F782:G782"/>
    <mergeCell ref="F783:G783"/>
    <mergeCell ref="F784:G784"/>
    <mergeCell ref="F785:G785"/>
    <mergeCell ref="H787:I787"/>
    <mergeCell ref="H801:I801"/>
    <mergeCell ref="A812:F812"/>
    <mergeCell ref="A813:F813"/>
    <mergeCell ref="C815:F815"/>
    <mergeCell ref="C817:F817"/>
    <mergeCell ref="C819:F819"/>
    <mergeCell ref="F832:G832"/>
    <mergeCell ref="F833:G833"/>
    <mergeCell ref="F834:G834"/>
    <mergeCell ref="F835:G835"/>
    <mergeCell ref="F836:G836"/>
    <mergeCell ref="F837:G837"/>
    <mergeCell ref="F838:G838"/>
    <mergeCell ref="F839:G839"/>
    <mergeCell ref="F840:G840"/>
    <mergeCell ref="F841:G841"/>
    <mergeCell ref="F842:G842"/>
    <mergeCell ref="F843:G843"/>
    <mergeCell ref="H845:I845"/>
    <mergeCell ref="H859:I859"/>
    <mergeCell ref="A870:F870"/>
    <mergeCell ref="A871:F871"/>
    <mergeCell ref="C873:F873"/>
    <mergeCell ref="C875:F875"/>
    <mergeCell ref="C877:F877"/>
    <mergeCell ref="F890:G890"/>
    <mergeCell ref="F891:G891"/>
    <mergeCell ref="F892:G892"/>
    <mergeCell ref="C935:F935"/>
    <mergeCell ref="F948:G948"/>
    <mergeCell ref="F949:G949"/>
    <mergeCell ref="F893:G893"/>
    <mergeCell ref="F894:G894"/>
    <mergeCell ref="F895:G895"/>
    <mergeCell ref="F896:G896"/>
    <mergeCell ref="F897:G897"/>
    <mergeCell ref="F898:G898"/>
    <mergeCell ref="F899:G899"/>
    <mergeCell ref="F900:G900"/>
    <mergeCell ref="F901:G901"/>
    <mergeCell ref="F959:G959"/>
    <mergeCell ref="H961:I961"/>
    <mergeCell ref="H975:I975"/>
    <mergeCell ref="A986:F986"/>
    <mergeCell ref="J931:M931"/>
    <mergeCell ref="J873:M873"/>
    <mergeCell ref="J815:M815"/>
    <mergeCell ref="J757:M757"/>
    <mergeCell ref="J699:M699"/>
    <mergeCell ref="F950:G950"/>
    <mergeCell ref="F951:G951"/>
    <mergeCell ref="F952:G952"/>
    <mergeCell ref="F953:G953"/>
    <mergeCell ref="F954:G954"/>
    <mergeCell ref="F955:G955"/>
    <mergeCell ref="F956:G956"/>
    <mergeCell ref="F957:G957"/>
    <mergeCell ref="F958:G958"/>
    <mergeCell ref="H903:I903"/>
    <mergeCell ref="H917:I917"/>
    <mergeCell ref="A928:F928"/>
    <mergeCell ref="A929:F929"/>
    <mergeCell ref="C931:F931"/>
    <mergeCell ref="C933:F933"/>
    <mergeCell ref="J61:M61"/>
    <mergeCell ref="J4:M4"/>
    <mergeCell ref="O4:T4"/>
    <mergeCell ref="J583:M583"/>
    <mergeCell ref="J525:M525"/>
    <mergeCell ref="J467:M467"/>
    <mergeCell ref="J409:M409"/>
    <mergeCell ref="J351:M351"/>
    <mergeCell ref="J293:M293"/>
    <mergeCell ref="J235:M235"/>
    <mergeCell ref="J177:M177"/>
    <mergeCell ref="J119:M119"/>
  </mergeCells>
  <conditionalFormatting sqref="B22:C31 H36:J45 B36:C55 H50:J51 H55:H56 B80:C89 B94:C113 H108:J109 H113:H114 B138:C147 H152:J161 B152:C171 H166:J167 H171:H172 B196:C205 H210:J219 B210:C229 H224:J225 H229:H230 B254:C263 H268:J277 B268:C287 H282:J283 H287:H288 B312:C321 H326:J335 B326:C345 H340:J341 H345:H346 B370:C379 H384:J393 B384:C403 H398:J399 H403:H404 B428:C437 H442:J451 B442:C461 H456:J457 H461:H462 B486:C495 H500:J509 B500:C519 H514:J515 H519:H520 B544:C553 H558:J567 B558:C577 H572:J573 H577:H578 B602:C611 H616:J625 B616:C635 H630:J631 H635:H636">
    <cfRule type="cellIs" dxfId="69" priority="13" operator="greaterThan">
      <formula>0</formula>
    </cfRule>
  </conditionalFormatting>
  <conditionalFormatting sqref="B660:C669 H674:J683 B674:C693 H688:J689 H693:H694 B718:C727 H732:J741 B732:C751 H746:J747 H751:H752">
    <cfRule type="cellIs" dxfId="68" priority="9" operator="greaterThan">
      <formula>0</formula>
    </cfRule>
  </conditionalFormatting>
  <conditionalFormatting sqref="B776:C785 H790:J799 B790:C809 H804:J805 H809:H810">
    <cfRule type="cellIs" dxfId="67" priority="7" operator="greaterThan">
      <formula>0</formula>
    </cfRule>
  </conditionalFormatting>
  <conditionalFormatting sqref="B834:C843 H848:J857 B848:C867 H862:J863 H867:H868">
    <cfRule type="cellIs" dxfId="66" priority="5" operator="greaterThan">
      <formula>0</formula>
    </cfRule>
  </conditionalFormatting>
  <conditionalFormatting sqref="B892:C901 H906:J915 B906:C925 H920:J921 H925:H926">
    <cfRule type="cellIs" dxfId="65" priority="3" operator="greaterThan">
      <formula>0</formula>
    </cfRule>
  </conditionalFormatting>
  <conditionalFormatting sqref="B950:C959 H964:J973 B964:C983 H978:J979 H983:H984">
    <cfRule type="cellIs" dxfId="64" priority="1" operator="greaterThan">
      <formula>0</formula>
    </cfRule>
  </conditionalFormatting>
  <conditionalFormatting sqref="C4:F4 C6:F6 C8:F8">
    <cfRule type="cellIs" dxfId="63" priority="27" operator="greaterThan">
      <formula>0</formula>
    </cfRule>
  </conditionalFormatting>
  <conditionalFormatting sqref="C61:F61 C63:F63 C65:F65">
    <cfRule type="cellIs" dxfId="62" priority="28" operator="greaterThan">
      <formula>0</formula>
    </cfRule>
  </conditionalFormatting>
  <conditionalFormatting sqref="C119:F119 C121:F121 C123:F123">
    <cfRule type="cellIs" dxfId="61" priority="29" operator="greaterThan">
      <formula>0</formula>
    </cfRule>
  </conditionalFormatting>
  <conditionalFormatting sqref="C177:F177 C179:F179 C181:F181">
    <cfRule type="cellIs" dxfId="60" priority="30" operator="greaterThan">
      <formula>0</formula>
    </cfRule>
  </conditionalFormatting>
  <conditionalFormatting sqref="C235:F235 C237:F237 C239:F239">
    <cfRule type="cellIs" dxfId="59" priority="31" operator="greaterThan">
      <formula>0</formula>
    </cfRule>
  </conditionalFormatting>
  <conditionalFormatting sqref="C293:F297">
    <cfRule type="cellIs" dxfId="58" priority="19" operator="greaterThan">
      <formula>0</formula>
    </cfRule>
  </conditionalFormatting>
  <conditionalFormatting sqref="C351:F355">
    <cfRule type="cellIs" dxfId="57" priority="20" operator="greaterThan">
      <formula>0</formula>
    </cfRule>
  </conditionalFormatting>
  <conditionalFormatting sqref="C409:F409 C411:F411 C413:F413">
    <cfRule type="cellIs" dxfId="56" priority="32" operator="greaterThan">
      <formula>0</formula>
    </cfRule>
  </conditionalFormatting>
  <conditionalFormatting sqref="C467:F467 C469:F469 C471:F471">
    <cfRule type="cellIs" dxfId="55" priority="26" operator="greaterThan">
      <formula>0</formula>
    </cfRule>
  </conditionalFormatting>
  <conditionalFormatting sqref="C525:F525 C527:F527 C529:F529">
    <cfRule type="cellIs" dxfId="54" priority="25" operator="greaterThan">
      <formula>0</formula>
    </cfRule>
  </conditionalFormatting>
  <conditionalFormatting sqref="C583:F587">
    <cfRule type="cellIs" dxfId="53" priority="18" operator="greaterThan">
      <formula>0</formula>
    </cfRule>
  </conditionalFormatting>
  <conditionalFormatting sqref="C641:F641 C643:F643 C645:F645">
    <cfRule type="cellIs" dxfId="52" priority="11" operator="greaterThan">
      <formula>0</formula>
    </cfRule>
  </conditionalFormatting>
  <conditionalFormatting sqref="C699:F703">
    <cfRule type="cellIs" dxfId="51" priority="10" operator="greaterThan">
      <formula>0</formula>
    </cfRule>
  </conditionalFormatting>
  <conditionalFormatting sqref="C757:F761">
    <cfRule type="cellIs" dxfId="50" priority="8" operator="greaterThan">
      <formula>0</formula>
    </cfRule>
  </conditionalFormatting>
  <conditionalFormatting sqref="C815:F819">
    <cfRule type="cellIs" dxfId="49" priority="6" operator="greaterThan">
      <formula>0</formula>
    </cfRule>
  </conditionalFormatting>
  <conditionalFormatting sqref="C873:F877">
    <cfRule type="cellIs" dxfId="48" priority="4" operator="greaterThan">
      <formula>0</formula>
    </cfRule>
  </conditionalFormatting>
  <conditionalFormatting sqref="C931:F935">
    <cfRule type="cellIs" dxfId="47" priority="2" operator="greaterThan">
      <formula>0</formula>
    </cfRule>
  </conditionalFormatting>
  <conditionalFormatting sqref="H94:J103">
    <cfRule type="cellIs" dxfId="46" priority="12" operator="greaterThan">
      <formula>0</formula>
    </cfRule>
  </conditionalFormatting>
  <conditionalFormatting sqref="O31:R31">
    <cfRule type="cellIs" dxfId="45" priority="85" operator="greaterThan">
      <formula>0</formula>
    </cfRule>
  </conditionalFormatting>
  <dataValidations count="1">
    <dataValidation allowBlank="1" showInputMessage="1" showErrorMessage="1" sqref="H637 H579 H521 H463 H231 H173 H115 H57 H753 H695 H811 H869 H927 H985" xr:uid="{F891C567-B067-41EF-B8F9-50BCD4212288}"/>
  </dataValidations>
  <hyperlinks>
    <hyperlink ref="O5" location="'kt info'!C3" display="Contract Information" xr:uid="{26329285-4C0C-49CF-AF8B-B3728337286D}"/>
    <hyperlink ref="O6" location="'Overhead &amp; Margin'!D10" display="Overhead &amp; Margin" xr:uid="{0170F9F7-5AE0-47A9-96C9-CDAC55F5DAE4}"/>
    <hyperlink ref="O12" location="'Monthly Janitorial'!B21" display="Monthly Janitorial" xr:uid="{5E56381A-3D6B-45EC-B197-98B00216C6AC}"/>
    <hyperlink ref="O13" location="Periodics!B22" display="Periodical Services(Carpets, Hard Floors, Windows, Blinds, other periodical services" xr:uid="{7D51DCFA-8B67-4B6A-8FBA-16FC49B2B645}"/>
    <hyperlink ref="O14" location="'Except,Emer&amp;Day Porter'!H4" display="Exceptional, Emergency and Day Porter Services" xr:uid="{955E7B8A-A7F9-45BD-83C0-4169DB324B78}"/>
    <hyperlink ref="O8" location="Supplies!B13" display="Supplies" xr:uid="{232B713A-6367-46F9-9A10-4D8952AD6701}"/>
    <hyperlink ref="O9" location="'Equipment List'!B12" display="Equipment" xr:uid="{2E9FCE3A-1DEA-4689-AD6D-C77E07071859}"/>
    <hyperlink ref="O16" location="'Price Approval'!A1" display="Price Approval" xr:uid="{82A6251B-E1E5-4E89-A238-0CD51978175B}"/>
    <hyperlink ref="O10" location="Subcontractors!B15" display="Subcontractors" xr:uid="{2D3DC7E8-D03E-4053-B762-4CDFD07211FD}"/>
    <hyperlink ref="O7" location="'Pay &amp; Benefits'!C10" display="Wages and Benefits (includes Unemployment and Worker's Compensation" xr:uid="{11CD4C08-2ACD-47A1-9F0C-EF0646191DF8}"/>
    <hyperlink ref="O11" location="Transportation!B6" display="Transportation" xr:uid="{2C96153E-4028-4D7F-B69D-CFD98A0A9536}"/>
    <hyperlink ref="O15" location="'Summary-pricing'!A1" display="Summary-Pricing" xr:uid="{23EF2F4F-2E9E-424B-8D60-7E61A01870FF}"/>
    <hyperlink ref="J937" location="Periodics!B299" display="Periodics!B299" xr:uid="{93E27A4C-E8BB-46BE-B3C5-4ABC938DA749}"/>
    <hyperlink ref="J936" location="Periodics!B241" display="Periodics!B241" xr:uid="{40E45225-A5E6-4F48-BD5F-43DAEB16584D}"/>
    <hyperlink ref="J935" location="Periodics!B183" display="Periodics!B183" xr:uid="{D2CA5090-C0C4-48F2-8AA3-4E5369053159}"/>
    <hyperlink ref="J934" location="Periodics!B125" display="Hard Floorcare/Strip and Wax" xr:uid="{844BC784-DEA9-48D8-99C5-AE135A7A00B9}"/>
    <hyperlink ref="J933" location="Periodics!B67" display="Periodics!B67" xr:uid="{27A51A87-78D0-4014-8685-6CC1386BDD32}"/>
    <hyperlink ref="J932" location="Periodics!B10" display="Periodics!B10" xr:uid="{B91C0FD0-7FE8-4910-9AE9-C615701DDEF0}"/>
    <hyperlink ref="J938" location="Periodics!B357" display="Periodics!B357" xr:uid="{C45D0304-DD11-40F7-813E-EBCE7B1C5C07}"/>
    <hyperlink ref="L934" location="Periodics!B531" display="Periodics!B531" xr:uid="{6DA1CA4C-8F5A-4079-B324-C66890279136}"/>
    <hyperlink ref="L933" location="Periodics!B473" display="Periodics!B473" xr:uid="{B7F80B7E-D0AF-4C78-9C10-DF55B9E3FB84}"/>
    <hyperlink ref="L932" location="Periodics!B415" display="Periodics!B415" xr:uid="{1B344147-5718-488F-BA5E-B29972EFE9A1}"/>
    <hyperlink ref="L935" location="Periodics!B589" display="Periodics!B589" xr:uid="{76EBAEF3-7B1F-493B-ABB4-E23BA0A78560}"/>
    <hyperlink ref="L936" location="Periodics!B647" display="Periodics!B647" xr:uid="{B43181F3-35F0-4151-AE44-DA73274F6B51}"/>
    <hyperlink ref="L937" location="Periodics!B705" display="Periodics!B705" xr:uid="{4ADED261-552D-42D4-80B5-A6588CA7490B}"/>
    <hyperlink ref="L938" location="Periodics!B531" display="Periodics!B531" xr:uid="{5D71E69E-538C-4B6E-BBDD-B808D28E189D}"/>
    <hyperlink ref="L939" location="Periodics!B821" display="Periodics!B821" xr:uid="{6877585E-03F5-4F4F-ADB0-436740CDDAF6}"/>
    <hyperlink ref="L940" location="Periodics!B879" display="Periodics!B879" xr:uid="{2F9395C5-9223-4F3B-A25C-F91FD851FEB5}"/>
    <hyperlink ref="L941" location="Periodics!B937" display="Periodics!B937" xr:uid="{671CC19B-4DA6-4AD0-BBEB-B0E4834C7653}"/>
    <hyperlink ref="J879" location="Periodics!B299" display="Periodics!B299" xr:uid="{3BFBEE1A-9E95-4D9E-BD93-133F5D2358F8}"/>
    <hyperlink ref="J878" location="Periodics!B241" display="Periodics!B241" xr:uid="{8B379805-2B35-43E9-A395-A020909AD4D9}"/>
    <hyperlink ref="J877" location="Periodics!B183" display="Periodics!B183" xr:uid="{25E658CE-5062-4134-BDFA-772A640CD881}"/>
    <hyperlink ref="J876" location="Periodics!B125" display="Hard Floorcare/Strip and Wax" xr:uid="{F13B364A-3F35-4C81-A2B7-F988577EDBA0}"/>
    <hyperlink ref="J875" location="Periodics!B67" display="Periodics!B67" xr:uid="{F12F9ED7-D6D5-4626-8B31-E01D29C01879}"/>
    <hyperlink ref="J874" location="Periodics!B10" display="Periodics!B10" xr:uid="{2C5B90D8-7D62-4139-A206-E325424DDC7E}"/>
    <hyperlink ref="J880" location="Periodics!B357" display="Periodics!B357" xr:uid="{331E3166-163C-45A8-82D9-9306196D821C}"/>
    <hyperlink ref="L876" location="Periodics!B531" display="Periodics!B531" xr:uid="{3D50E0B1-E0CF-43B6-BE02-56F7485B500D}"/>
    <hyperlink ref="L875" location="Periodics!B473" display="Periodics!B473" xr:uid="{CF166260-5FA1-495B-94BC-2A86973119B3}"/>
    <hyperlink ref="L874" location="Periodics!B415" display="Periodics!B415" xr:uid="{7209A235-05AE-4077-9F6E-7026279C0EF3}"/>
    <hyperlink ref="L877" location="Periodics!B589" display="Periodics!B589" xr:uid="{0121206E-E8DE-4A71-B81A-AF53B4157ACE}"/>
    <hyperlink ref="L878" location="Periodics!B647" display="Periodics!B647" xr:uid="{816F6C0D-384F-4E50-9844-557C7E5AA616}"/>
    <hyperlink ref="L879" location="Periodics!B705" display="Periodics!B705" xr:uid="{AF5F5F06-58A3-432C-AEE8-525ACF7F2487}"/>
    <hyperlink ref="L880" location="Periodics!B531" display="Periodics!B531" xr:uid="{8AEA8DBB-A585-4EB7-B072-B3E30A3B9BE2}"/>
    <hyperlink ref="L881" location="Periodics!B821" display="Periodics!B821" xr:uid="{1A65B176-94EA-47C1-BDF5-5E0E76B325A6}"/>
    <hyperlink ref="L882" location="Periodics!B879" display="Periodics!B879" xr:uid="{C7E7A5BA-8F8B-4C42-BC66-3514977F5251}"/>
    <hyperlink ref="L883" location="Periodics!B937" display="Periodics!B937" xr:uid="{C387723B-3DE0-4DFF-9201-FE8AA4C2E846}"/>
    <hyperlink ref="J821" location="Periodics!B299" display="Periodics!B299" xr:uid="{0DA8DF10-80AE-45FC-8497-41B3EC1D7F88}"/>
    <hyperlink ref="J820" location="Periodics!B241" display="Periodics!B241" xr:uid="{BC2835B6-017D-45D8-BA3A-1EA35371D7B4}"/>
    <hyperlink ref="J819" location="Periodics!B183" display="Periodics!B183" xr:uid="{26DA2C77-AC48-4E33-AE80-019CDE2D0626}"/>
    <hyperlink ref="J818" location="Periodics!B125" display="Hard Floorcare/Strip and Wax" xr:uid="{75FA82E7-636C-41D9-B764-47428B5A1EBB}"/>
    <hyperlink ref="J817" location="Periodics!B67" display="Periodics!B67" xr:uid="{D2F59D43-F7A2-43CD-9F9D-DAE8C5736E4E}"/>
    <hyperlink ref="J816" location="Periodics!B10" display="Periodics!B10" xr:uid="{255CF7DF-5127-407B-A5B4-DFCBD55C812B}"/>
    <hyperlink ref="J822" location="Periodics!B357" display="Periodics!B357" xr:uid="{ECFC8210-0456-46F7-A1A7-96054B5F1533}"/>
    <hyperlink ref="L818" location="Periodics!B531" display="Periodics!B531" xr:uid="{7ABAE17E-7C1A-424F-84EF-EF7D67DF8452}"/>
    <hyperlink ref="L817" location="Periodics!B473" display="Periodics!B473" xr:uid="{634D6B23-6FF9-470F-8658-3B203C96C443}"/>
    <hyperlink ref="L816" location="Periodics!B415" display="Periodics!B415" xr:uid="{08861C62-4304-4482-AE26-3CAC31263DF6}"/>
    <hyperlink ref="L819" location="Periodics!B589" display="Periodics!B589" xr:uid="{790E34A9-BA2D-447A-9F2F-91163C068D98}"/>
    <hyperlink ref="L820" location="Periodics!B647" display="Periodics!B647" xr:uid="{054AF0E2-A523-4A80-B3E3-BD53349580B8}"/>
    <hyperlink ref="L821" location="Periodics!B705" display="Periodics!B705" xr:uid="{D98571A5-9D09-4B28-AB70-B9C8723D6752}"/>
    <hyperlink ref="L822" location="Periodics!B531" display="Periodics!B531" xr:uid="{BCF21840-49E9-4827-9DE9-D7F5262417F6}"/>
    <hyperlink ref="L823" location="Periodics!B821" display="Periodics!B821" xr:uid="{6DA21AC0-E693-449F-84C6-0202F938DF9E}"/>
    <hyperlink ref="L824" location="Periodics!B879" display="Periodics!B879" xr:uid="{93924937-FCE2-4BB0-B395-8EF7106C574B}"/>
    <hyperlink ref="L825" location="Periodics!B937" display="Periodics!B937" xr:uid="{7C18C10D-759D-4176-9D07-BA390D97D912}"/>
    <hyperlink ref="J763" location="Periodics!B299" display="Periodics!B299" xr:uid="{F8B9EF23-D487-4DF3-9279-B89CE9524AD9}"/>
    <hyperlink ref="J762" location="Periodics!B241" display="Periodics!B241" xr:uid="{1E6A3913-A378-4BD8-B276-F7417395FC4B}"/>
    <hyperlink ref="J761" location="Periodics!B183" display="Periodics!B183" xr:uid="{8506CDAD-4FE1-4541-9FE9-9CD4429A3050}"/>
    <hyperlink ref="J760" location="Periodics!B125" display="Hard Floorcare/Strip and Wax" xr:uid="{878AED92-A5A8-42EE-891C-197C95CCB165}"/>
    <hyperlink ref="J759" location="Periodics!B67" display="Periodics!B67" xr:uid="{AADA1ADC-209B-4F36-A3F7-476ED65027EB}"/>
    <hyperlink ref="J758" location="Periodics!B10" display="Periodics!B10" xr:uid="{C6DA0495-DC84-4862-9F6C-D3A9429B00AA}"/>
    <hyperlink ref="J764" location="Periodics!B357" display="Periodics!B357" xr:uid="{5E09226C-C07D-48C1-992E-7C1E1FE1C0EE}"/>
    <hyperlink ref="L760" location="Periodics!B531" display="Periodics!B531" xr:uid="{4E51FCAC-543B-4918-B836-B572DE0136AC}"/>
    <hyperlink ref="L759" location="Periodics!B473" display="Periodics!B473" xr:uid="{FFA240D7-2D17-4714-8280-7B6E1D470A61}"/>
    <hyperlink ref="L758" location="Periodics!B415" display="Periodics!B415" xr:uid="{6A0A4097-B967-48C8-9253-227BFC6AB102}"/>
    <hyperlink ref="L761" location="Periodics!B589" display="Periodics!B589" xr:uid="{11C7D193-63F0-4D19-803C-ABA061BA85F3}"/>
    <hyperlink ref="L762" location="Periodics!B647" display="Periodics!B647" xr:uid="{65953C57-077B-462B-ACDA-8FDECE079DCC}"/>
    <hyperlink ref="L763" location="Periodics!B705" display="Periodics!B705" xr:uid="{F7FD258E-DF96-46F0-B6FF-7758EA4C2E95}"/>
    <hyperlink ref="L764" location="Periodics!B531" display="Periodics!B531" xr:uid="{BF3B72ED-1390-4DAE-8A24-A9A18361D89E}"/>
    <hyperlink ref="L765" location="Periodics!B821" display="Periodics!B821" xr:uid="{159844CE-E3A5-4339-9F55-3EEBB585EEE1}"/>
    <hyperlink ref="L766" location="Periodics!B879" display="Periodics!B879" xr:uid="{C080C577-3465-42D1-89ED-424EB0C8DFDA}"/>
    <hyperlink ref="L767" location="Periodics!B937" display="Periodics!B937" xr:uid="{7BE73646-5A74-44E2-9A5B-EE9517A211E8}"/>
    <hyperlink ref="J705" location="Periodics!B299" display="Periodics!B299" xr:uid="{D2221E2A-6EAE-475B-B65C-302C1F2C160E}"/>
    <hyperlink ref="J704" location="Periodics!B241" display="Periodics!B241" xr:uid="{9922163E-64FA-4279-8D64-A35B21BEE7CD}"/>
    <hyperlink ref="J703" location="Periodics!B183" display="Periodics!B183" xr:uid="{D2BB2696-974B-49D4-A9AA-B4AB87EDDC14}"/>
    <hyperlink ref="J702" location="Periodics!B125" display="Hard Floorcare/Strip and Wax" xr:uid="{6A1FE6EA-1A80-4996-AC09-0DB8ACF8827C}"/>
    <hyperlink ref="J701" location="Periodics!B67" display="Periodics!B67" xr:uid="{E49ADC93-44A4-4A89-82BC-B27978F3C6B9}"/>
    <hyperlink ref="J700" location="Periodics!B10" display="Periodics!B10" xr:uid="{D3E191E2-60EB-413E-9C62-C68F6FB57C72}"/>
    <hyperlink ref="J706" location="Periodics!B357" display="Periodics!B357" xr:uid="{981626A4-3284-489F-BEF5-62E7DFD952B5}"/>
    <hyperlink ref="L702" location="Periodics!B531" display="Periodics!B531" xr:uid="{54F818B7-DB25-4432-9479-6F3B0C1BE643}"/>
    <hyperlink ref="L701" location="Periodics!B473" display="Periodics!B473" xr:uid="{86C3200C-CA50-41A7-A0D3-A878BB505925}"/>
    <hyperlink ref="L700" location="Periodics!B415" display="Periodics!B415" xr:uid="{F025CACD-AFCC-488A-9712-E37DE35D8573}"/>
    <hyperlink ref="L703" location="Periodics!B589" display="Periodics!B589" xr:uid="{51C7CD94-3B41-4E58-9F74-C754FBDC9BAD}"/>
    <hyperlink ref="L704" location="Periodics!B647" display="Periodics!B647" xr:uid="{FC8B9C18-C537-464E-A9F1-E86DE6ADCC71}"/>
    <hyperlink ref="L705" location="Periodics!B705" display="Periodics!B705" xr:uid="{967AF491-E83D-407E-A5A9-75A814D67319}"/>
    <hyperlink ref="L706" location="Periodics!B531" display="Periodics!B531" xr:uid="{AB5FAFB7-864F-4292-8457-D59E25E6F3CD}"/>
    <hyperlink ref="L707" location="Periodics!B821" display="Periodics!B821" xr:uid="{AC4A101E-C601-4C59-A42A-BEFFCE98EEFA}"/>
    <hyperlink ref="L708" location="Periodics!B879" display="Periodics!B879" xr:uid="{FAA9EB3C-6A84-4ADD-8F91-477298C34C30}"/>
    <hyperlink ref="L709" location="Periodics!B937" display="Periodics!B937" xr:uid="{D9D3E3B5-1CEE-4BEC-9B5D-B0C8D2D7BFCF}"/>
    <hyperlink ref="J589" location="Periodics!B299" display="Periodics!B299" xr:uid="{A204CE3E-AF81-44E3-A02B-B9DB199C3272}"/>
    <hyperlink ref="J588" location="Periodics!B241" display="Periodics!B241" xr:uid="{D1B02296-DE12-416F-A043-0FE774FD0840}"/>
    <hyperlink ref="J587" location="Periodics!B183" display="Periodics!B183" xr:uid="{058A0651-112D-40F1-B638-64A940E8EEE8}"/>
    <hyperlink ref="J586" location="Periodics!B125" display="Hard Floorcare/Strip and Wax" xr:uid="{162FCB85-2C45-47C6-A94C-F5E06C468080}"/>
    <hyperlink ref="J585" location="Periodics!B67" display="Periodics!B67" xr:uid="{4E2B01ED-943D-4FC2-AF05-B570C10A4C3E}"/>
    <hyperlink ref="J584" location="Periodics!B10" display="Periodics!B10" xr:uid="{40C7F963-A8BB-4581-941B-2E7747C7E66D}"/>
    <hyperlink ref="J590" location="Periodics!B357" display="Periodics!B357" xr:uid="{42F21511-ECFA-4486-A159-B4CDBF7E137E}"/>
    <hyperlink ref="L586" location="Periodics!B531" display="Periodics!B531" xr:uid="{E6E2FA3D-6244-4F79-B71E-FEA1740DA9F1}"/>
    <hyperlink ref="L585" location="Periodics!B473" display="Periodics!B473" xr:uid="{73F31122-B44C-4914-866D-9D9C9C76B1A8}"/>
    <hyperlink ref="L584" location="Periodics!B415" display="Periodics!B415" xr:uid="{9FB1A71A-008C-42B9-BCE9-42375ED1B964}"/>
    <hyperlink ref="L587" location="Periodics!B589" display="Periodics!B589" xr:uid="{49A33BBF-8240-44AC-B1E2-41E3C0AAD1B5}"/>
    <hyperlink ref="L588" location="Periodics!B647" display="Periodics!B647" xr:uid="{C364ED8A-5D16-436B-B344-A3339CD297BB}"/>
    <hyperlink ref="L589" location="Periodics!B705" display="Periodics!B705" xr:uid="{A124A24B-9E6B-4226-AE93-89EA1C3DA648}"/>
    <hyperlink ref="L590" location="Periodics!B531" display="Periodics!B531" xr:uid="{1A353B47-CB42-4D61-9EF2-D42F610529D6}"/>
    <hyperlink ref="L591" location="Periodics!B821" display="Periodics!B821" xr:uid="{5CDBFA18-5B7E-4E38-8564-C887D6FF2CAD}"/>
    <hyperlink ref="L592" location="Periodics!B879" display="Periodics!B879" xr:uid="{B3F92340-86B1-45B9-941D-D46BC61B1C97}"/>
    <hyperlink ref="L593" location="Periodics!B937" display="Periodics!B937" xr:uid="{9206703C-5F3F-4FCB-9ECA-8551D2F5CAC2}"/>
    <hyperlink ref="J531" location="Periodics!B299" display="Periodics!B299" xr:uid="{858E6A39-E439-4C31-883B-C84E8C09219F}"/>
    <hyperlink ref="J530" location="Periodics!B241" display="Periodics!B241" xr:uid="{376A67EA-8532-4767-A64A-8FD7378681B2}"/>
    <hyperlink ref="J529" location="Periodics!B183" display="Periodics!B183" xr:uid="{EFC6E01C-71D3-4555-A904-706D2E2DAE4B}"/>
    <hyperlink ref="J528" location="Periodics!B125" display="Hard Floorcare/Strip and Wax" xr:uid="{8E1C0A30-4464-4FA6-ABC0-6EF5A74DF70F}"/>
    <hyperlink ref="J527" location="Periodics!B67" display="Periodics!B67" xr:uid="{23AEF4D7-9259-4296-9E43-6B168E872AE6}"/>
    <hyperlink ref="J526" location="Periodics!B10" display="Periodics!B10" xr:uid="{9391D1F3-8123-424A-BF1D-9DF67E7E975A}"/>
    <hyperlink ref="J532" location="Periodics!B357" display="Periodics!B357" xr:uid="{5B9D0490-E526-4FEF-892B-DA5C4945A5D1}"/>
    <hyperlink ref="L528" location="Periodics!B531" display="Periodics!B531" xr:uid="{02CE2602-C4B9-49AF-9BC3-E710FBFEB514}"/>
    <hyperlink ref="L527" location="Periodics!B473" display="Periodics!B473" xr:uid="{F97FEC10-A943-4747-B5C3-4F51CF587FA8}"/>
    <hyperlink ref="L526" location="Periodics!B415" display="Periodics!B415" xr:uid="{7BE8E944-EC0C-4101-9F69-1A550C8AD8C4}"/>
    <hyperlink ref="L529" location="Periodics!B589" display="Periodics!B589" xr:uid="{FD284CB8-800B-469B-AFB1-B00D1B64501E}"/>
    <hyperlink ref="L530" location="Periodics!B647" display="Periodics!B647" xr:uid="{71CF898E-3FD1-4A34-BB32-E3FAB8B0F792}"/>
    <hyperlink ref="L531" location="Periodics!B705" display="Periodics!B705" xr:uid="{ED1EBD48-A70E-451E-839F-458643C6B940}"/>
    <hyperlink ref="L532" location="Periodics!B531" display="Periodics!B531" xr:uid="{06B1A891-74CA-4656-A01E-F988E400A5DD}"/>
    <hyperlink ref="L533" location="Periodics!B821" display="Periodics!B821" xr:uid="{16934044-DAE7-47EE-BAE2-6CB1DB0F4F1F}"/>
    <hyperlink ref="L534" location="Periodics!B879" display="Periodics!B879" xr:uid="{8CCAAC97-CBCF-4C53-B258-981A94F6C26E}"/>
    <hyperlink ref="L535" location="Periodics!B937" display="Periodics!B937" xr:uid="{91ED9FBF-B410-41A2-9FDF-132B9136B52D}"/>
    <hyperlink ref="J473" location="Periodics!B299" display="Periodics!B299" xr:uid="{ACD6293B-E2A0-4E16-A5B0-65E5F8EA1B5F}"/>
    <hyperlink ref="J472" location="Periodics!B241" display="Periodics!B241" xr:uid="{5DFA7E73-4B1E-4458-84BF-1C4B71867D59}"/>
    <hyperlink ref="J471" location="Periodics!B183" display="Periodics!B183" xr:uid="{F59B0D59-464C-4206-94D6-B0B95EC6D3C2}"/>
    <hyperlink ref="J470" location="Periodics!B125" display="Hard Floorcare/Strip and Wax" xr:uid="{4C43A30A-3A97-4658-B2ED-A5BA3125374B}"/>
    <hyperlink ref="J469" location="Periodics!B67" display="Periodics!B67" xr:uid="{02976AD5-E23C-4650-A0CB-C652D24EEE86}"/>
    <hyperlink ref="J468" location="Periodics!B10" display="Periodics!B10" xr:uid="{D9232D62-2334-4C7C-973C-2853E97E2E03}"/>
    <hyperlink ref="J474" location="Periodics!B357" display="Periodics!B357" xr:uid="{47BA9E4B-072E-4301-9BD5-F6C01B678A99}"/>
    <hyperlink ref="L470" location="Periodics!B531" display="Periodics!B531" xr:uid="{7B9980CC-D538-4D70-9743-914DBB9B8D79}"/>
    <hyperlink ref="L469" location="Periodics!B473" display="Periodics!B473" xr:uid="{E11B376A-6BEE-45A8-BEAD-1B8EFE15D4BC}"/>
    <hyperlink ref="L468" location="Periodics!B415" display="Periodics!B415" xr:uid="{6EC0D42E-7686-4675-B43A-0430919B8D0D}"/>
    <hyperlink ref="L471" location="Periodics!B589" display="Periodics!B589" xr:uid="{E54EF85E-8A39-4274-8B24-2254A22AFF56}"/>
    <hyperlink ref="L472" location="Periodics!B647" display="Periodics!B647" xr:uid="{333C0C00-7275-4F23-A64A-B7E2627DC11C}"/>
    <hyperlink ref="L473" location="Periodics!B705" display="Periodics!B705" xr:uid="{31DDF020-2652-48CA-B1C0-2643373653AA}"/>
    <hyperlink ref="L474" location="Periodics!B531" display="Periodics!B531" xr:uid="{85535979-98A2-4D28-B4F7-4F4C9E659B92}"/>
    <hyperlink ref="L475" location="Periodics!B821" display="Periodics!B821" xr:uid="{0EABE4FE-968C-4181-9B8D-C8E368B6909B}"/>
    <hyperlink ref="L476" location="Periodics!B879" display="Periodics!B879" xr:uid="{0AAB3ECB-DA52-4A86-82C4-ED6E35EE15E6}"/>
    <hyperlink ref="L477" location="Periodics!B937" display="Periodics!B937" xr:uid="{AAE0D9D6-819B-451D-B5F9-ED6C97AC9E0C}"/>
    <hyperlink ref="J415" location="Periodics!B299" display="Periodics!B299" xr:uid="{97D030D6-6097-4792-AC4A-13633431635D}"/>
    <hyperlink ref="J414" location="Periodics!B241" display="Periodics!B241" xr:uid="{0DDEFA1F-FF42-413C-92A7-0C81198B1B24}"/>
    <hyperlink ref="J413" location="Periodics!B183" display="Periodics!B183" xr:uid="{2670B575-5CCD-4AF4-8353-5969AF6AE1CE}"/>
    <hyperlink ref="J412" location="Periodics!B125" display="Hard Floorcare/Strip and Wax" xr:uid="{10AE2960-A8CD-407B-8E63-043211DD87EF}"/>
    <hyperlink ref="J411" location="Periodics!B67" display="Periodics!B67" xr:uid="{66132DF2-9FBD-431A-82E2-E651FCB99F3D}"/>
    <hyperlink ref="J410" location="Periodics!B10" display="Periodics!B10" xr:uid="{EDA6A7CC-63AD-41AF-8587-1AA80021DF2A}"/>
    <hyperlink ref="J416" location="Periodics!B357" display="Periodics!B357" xr:uid="{F457F978-CEC5-4006-855B-AE85724345FB}"/>
    <hyperlink ref="L412" location="Periodics!B531" display="Periodics!B531" xr:uid="{10515BEF-B28D-411F-A0E7-C78802A9EB4A}"/>
    <hyperlink ref="L411" location="Periodics!B473" display="Periodics!B473" xr:uid="{8C2A6ECF-9F9A-41CC-AFAF-2A66AC8C5FE7}"/>
    <hyperlink ref="L410" location="Periodics!B415" display="Periodics!B415" xr:uid="{4381E830-3BB0-429B-92EB-FF6FC0A0C254}"/>
    <hyperlink ref="L413" location="Periodics!B589" display="Periodics!B589" xr:uid="{0E834787-DA7A-4816-B1A8-F9B6C8CC79C1}"/>
    <hyperlink ref="L414" location="Periodics!B647" display="Periodics!B647" xr:uid="{ED95B361-781B-431D-BCF7-4254BFE60378}"/>
    <hyperlink ref="L415" location="Periodics!B705" display="Periodics!B705" xr:uid="{3A64B574-8A0D-4252-B902-75929557253E}"/>
    <hyperlink ref="L416" location="Periodics!B531" display="Periodics!B531" xr:uid="{3E2E5E5E-B2D5-48B2-A70E-D2FAA5E05197}"/>
    <hyperlink ref="L417" location="Periodics!B821" display="Periodics!B821" xr:uid="{B1184A0D-6677-4398-B71D-4CE86695C832}"/>
    <hyperlink ref="L418" location="Periodics!B879" display="Periodics!B879" xr:uid="{F47C1820-B9CD-44D5-A190-736B53BF6559}"/>
    <hyperlink ref="L419" location="Periodics!B937" display="Periodics!B937" xr:uid="{6ED4E357-FCD6-4F7C-AE60-E086D31F55C2}"/>
    <hyperlink ref="J357" location="Periodics!B299" display="Periodics!B299" xr:uid="{1100361F-2468-42CF-9A4E-E52A16559E83}"/>
    <hyperlink ref="J356" location="Periodics!B241" display="Periodics!B241" xr:uid="{6279BB1F-5546-4032-93B3-EF2CF3C435C6}"/>
    <hyperlink ref="J355" location="Periodics!B183" display="Periodics!B183" xr:uid="{8C408FC4-2F25-44B3-BA5D-A57CA9D2809B}"/>
    <hyperlink ref="J354" location="Periodics!B125" display="Hard Floorcare/Strip and Wax" xr:uid="{C018F5E2-3EA5-447E-8DEC-BB7DC4DCB7CA}"/>
    <hyperlink ref="J353" location="Periodics!B67" display="Periodics!B67" xr:uid="{A374C7C0-F3A6-4D3B-ADA3-545179E4D512}"/>
    <hyperlink ref="J352" location="Periodics!B10" display="Periodics!B10" xr:uid="{24F3C197-9361-4A1E-B0A8-55FACBBF0247}"/>
    <hyperlink ref="J358" location="Periodics!B357" display="Periodics!B357" xr:uid="{7E5BBE5D-98BB-4390-A34C-564AABC60AB8}"/>
    <hyperlink ref="L354" location="Periodics!B531" display="Periodics!B531" xr:uid="{AF7270BE-890B-470F-9BB3-706E8E435922}"/>
    <hyperlink ref="L353" location="Periodics!B473" display="Periodics!B473" xr:uid="{F15D5E01-9823-4F24-A3C0-D57ADC19E1BC}"/>
    <hyperlink ref="L352" location="Periodics!B415" display="Periodics!B415" xr:uid="{6041A82B-3331-4A70-AFB3-D2DC387B2FB9}"/>
    <hyperlink ref="L355" location="Periodics!B589" display="Periodics!B589" xr:uid="{1F058D5A-23C2-403F-8776-4DD218CB6F2C}"/>
    <hyperlink ref="L356" location="Periodics!B647" display="Periodics!B647" xr:uid="{A5548DA4-BCC8-49AB-84B8-17B3A8F66729}"/>
    <hyperlink ref="L357" location="Periodics!B705" display="Periodics!B705" xr:uid="{5B0F2912-442F-4FD3-9F46-A373F14D7E72}"/>
    <hyperlink ref="L358" location="Periodics!B531" display="Periodics!B531" xr:uid="{411C7FBC-EA61-460E-8478-181C6F6C230F}"/>
    <hyperlink ref="L359" location="Periodics!B821" display="Periodics!B821" xr:uid="{1AFADEB0-235C-43C9-A77F-1945469C3C21}"/>
    <hyperlink ref="L360" location="Periodics!B879" display="Periodics!B879" xr:uid="{0D5D1139-2B82-40C4-A7E2-6CD16EAD9858}"/>
    <hyperlink ref="L361" location="Periodics!B937" display="Periodics!B937" xr:uid="{1A9C4A84-05A7-4384-BC3D-BBF23DA4812D}"/>
    <hyperlink ref="J299" location="Periodics!B299" display="Periodics!B299" xr:uid="{FB5D97A8-7FA3-412E-B3D9-9F2BDC00F2D3}"/>
    <hyperlink ref="J298" location="Periodics!B241" display="Periodics!B241" xr:uid="{7D15B704-08D3-49A2-A58C-1EE6CCED7C4F}"/>
    <hyperlink ref="J297" location="Periodics!B183" display="Periodics!B183" xr:uid="{E5A386C4-71C6-4794-82C9-DF4C50F1CF76}"/>
    <hyperlink ref="J296" location="Periodics!B125" display="Hard Floorcare/Strip and Wax" xr:uid="{152C561C-AE04-468A-90C9-2F0025A4F3E0}"/>
    <hyperlink ref="J295" location="Periodics!B67" display="Periodics!B67" xr:uid="{0E1950E0-0BCC-42EC-AB18-5723E280EF23}"/>
    <hyperlink ref="J294" location="Periodics!B10" display="Periodics!B10" xr:uid="{D380284E-7230-415A-8105-3426BB19A3AA}"/>
    <hyperlink ref="J300" location="Periodics!B357" display="Periodics!B357" xr:uid="{6615DACD-9FD1-4547-98E2-A373D13CD86E}"/>
    <hyperlink ref="L296" location="Periodics!B531" display="Periodics!B531" xr:uid="{CCE32BC7-9A77-416F-97C9-8D28BAF8FD83}"/>
    <hyperlink ref="L295" location="Periodics!B473" display="Periodics!B473" xr:uid="{BEDBC307-CF66-405D-9649-26B54704C1A3}"/>
    <hyperlink ref="L294" location="Periodics!B415" display="Periodics!B415" xr:uid="{186C7EAC-0EBE-49E6-A2E6-4906C9055E87}"/>
    <hyperlink ref="L297" location="Periodics!B589" display="Periodics!B589" xr:uid="{C2871BC5-53B5-405D-86D5-50AE75C80068}"/>
    <hyperlink ref="L298" location="Periodics!B647" display="Periodics!B647" xr:uid="{04E1C3FB-9719-4EE6-AC4B-E7A5296F19DB}"/>
    <hyperlink ref="L299" location="Periodics!B705" display="Periodics!B705" xr:uid="{12670BCF-3E45-496B-8120-18334700EC1A}"/>
    <hyperlink ref="L300" location="Periodics!B531" display="Periodics!B531" xr:uid="{8FDEC58C-AB4A-4153-B06F-7C34332FE7A4}"/>
    <hyperlink ref="L301" location="Periodics!B821" display="Periodics!B821" xr:uid="{3001E417-27A3-415D-88F0-0C5F957EDEB9}"/>
    <hyperlink ref="L302" location="Periodics!B879" display="Periodics!B879" xr:uid="{FBD29685-BAF4-424B-AD0A-EFE2C8E5681A}"/>
    <hyperlink ref="L303" location="Periodics!B937" display="Periodics!B937" xr:uid="{2FF5D370-8379-4886-9F13-35828EF46845}"/>
    <hyperlink ref="J241" location="Periodics!B299" display="Periodics!B299" xr:uid="{B00A18E8-751C-4C5D-BE36-E5F52E461A4E}"/>
    <hyperlink ref="J240" location="Periodics!B241" display="Periodics!B241" xr:uid="{B9024DD7-74FB-4D4B-8315-FA81023D0E9C}"/>
    <hyperlink ref="J239" location="Periodics!B183" display="Periodics!B183" xr:uid="{7738E36D-7858-4BBE-A93B-4F3A78D3A49E}"/>
    <hyperlink ref="J238" location="Periodics!B125" display="Hard Floorcare/Strip and Wax" xr:uid="{9B839244-4B3C-4E75-BBC9-AB1F0520BED6}"/>
    <hyperlink ref="J237" location="Periodics!B67" display="Periodics!B67" xr:uid="{06BC659F-952E-45BC-A06C-E61A4D5FEA00}"/>
    <hyperlink ref="J236" location="Periodics!B10" display="Periodics!B10" xr:uid="{18AC1549-D5E1-411F-A3A8-FD46759480BE}"/>
    <hyperlink ref="J242" location="Periodics!B357" display="Periodics!B357" xr:uid="{DD21E0A8-2A97-4EB1-A914-143035DDA336}"/>
    <hyperlink ref="L238" location="Periodics!B531" display="Periodics!B531" xr:uid="{B8B04C88-8BF7-4BA8-8285-4C6C53E8A770}"/>
    <hyperlink ref="L237" location="Periodics!B473" display="Periodics!B473" xr:uid="{82DBD2D3-BECE-482E-BEB9-BDDB411E4FF8}"/>
    <hyperlink ref="L236" location="Periodics!B415" display="Periodics!B415" xr:uid="{4F838689-87A2-4D35-9942-220A349FA4B9}"/>
    <hyperlink ref="L239" location="Periodics!B589" display="Periodics!B589" xr:uid="{E698AA7A-A2E6-42B0-9D0B-22AC1307AB2B}"/>
    <hyperlink ref="L240" location="Periodics!B647" display="Periodics!B647" xr:uid="{FFCED19F-BFD1-4106-B15D-1DF98E5C17A9}"/>
    <hyperlink ref="L241" location="Periodics!B705" display="Periodics!B705" xr:uid="{95C52F79-569A-4E40-9816-A03B3A444B80}"/>
    <hyperlink ref="L242" location="Periodics!B531" display="Periodics!B531" xr:uid="{F833FB71-108E-46BA-93E2-80BEB394EB69}"/>
    <hyperlink ref="L243" location="Periodics!B821" display="Periodics!B821" xr:uid="{0A59777F-9FF0-427B-AB12-19AB4BF50327}"/>
    <hyperlink ref="L244" location="Periodics!B879" display="Periodics!B879" xr:uid="{62992C2B-095C-483C-81AB-F6691D7DF340}"/>
    <hyperlink ref="L245" location="Periodics!B937" display="Periodics!B937" xr:uid="{D6C2CB4D-DCAA-4E9B-AE10-145589AF96F4}"/>
    <hyperlink ref="J183" location="Periodics!B299" display="Periodics!B299" xr:uid="{1068B602-9048-4A4C-8E3E-4B27B469CC58}"/>
    <hyperlink ref="J182" location="Periodics!B241" display="Periodics!B241" xr:uid="{BF747E36-D8B1-4CB2-A32F-912048EFE43E}"/>
    <hyperlink ref="J181" location="Periodics!B183" display="Periodics!B183" xr:uid="{DB731012-B8F9-435F-8E19-02A4F3269FCB}"/>
    <hyperlink ref="J180" location="Periodics!B125" display="Hard Floorcare/Strip and Wax" xr:uid="{42B3661A-305B-4175-A08A-2B5C583C572B}"/>
    <hyperlink ref="J179" location="Periodics!B67" display="Periodics!B67" xr:uid="{864A1E2A-D925-4E44-B62D-AC05F23D6255}"/>
    <hyperlink ref="J178" location="Periodics!B10" display="Periodics!B10" xr:uid="{24B4F269-8819-4D43-B18E-8ED847FCC51F}"/>
    <hyperlink ref="J184" location="Periodics!B357" display="Periodics!B357" xr:uid="{344E1832-4B5F-474C-B90C-BF16E8509907}"/>
    <hyperlink ref="L180" location="Periodics!B531" display="Periodics!B531" xr:uid="{8CBED562-2007-4FE1-9F74-AFD855CA79A3}"/>
    <hyperlink ref="L179" location="Periodics!B473" display="Periodics!B473" xr:uid="{7DCB4463-A822-4A26-BB0B-82BE25B89F49}"/>
    <hyperlink ref="L178" location="Periodics!B415" display="Periodics!B415" xr:uid="{85A96982-6EE7-4946-B016-00D436DB3E9F}"/>
    <hyperlink ref="L181" location="Periodics!B589" display="Periodics!B589" xr:uid="{585902E2-2505-44BD-8D49-D8C492D2F906}"/>
    <hyperlink ref="L182" location="Periodics!B647" display="Periodics!B647" xr:uid="{D01CCDF6-0886-4940-B5CF-92D09D244DE0}"/>
    <hyperlink ref="L183" location="Periodics!B705" display="Periodics!B705" xr:uid="{E268CAFE-921C-4AEF-B6F5-2F9472DD37E9}"/>
    <hyperlink ref="L184" location="Periodics!B531" display="Periodics!B531" xr:uid="{DD23E378-03AB-4633-BBA3-7F3DB6A8F2F2}"/>
    <hyperlink ref="L185" location="Periodics!B821" display="Periodics!B821" xr:uid="{BE98C728-EF2C-4E17-8033-54B071689823}"/>
    <hyperlink ref="L186" location="Periodics!B879" display="Periodics!B879" xr:uid="{012B360E-A03C-480A-AFDD-A54A32A841E3}"/>
    <hyperlink ref="L187" location="Periodics!B937" display="Periodics!B937" xr:uid="{8588B4C4-57F6-4514-8199-41773D1ED789}"/>
    <hyperlink ref="J125" location="Periodics!B299" display="Periodics!B299" xr:uid="{1D931B02-AA09-4B5C-8EFF-70FC0C67F628}"/>
    <hyperlink ref="J124" location="Periodics!B241" display="Periodics!B241" xr:uid="{C56783E4-2F61-4C17-8284-22A645850ADA}"/>
    <hyperlink ref="J123" location="Periodics!B183" display="Periodics!B183" xr:uid="{70F46D62-BA33-4410-A904-8628D78EEE70}"/>
    <hyperlink ref="J122" location="Periodics!B125" display="Hard Floorcare/Strip and Wax" xr:uid="{AC86760D-641A-4BFD-9861-1B87716D8DB2}"/>
    <hyperlink ref="J121" location="Periodics!B67" display="Periodics!B67" xr:uid="{E4A5E005-7432-4000-93C8-F561BA1BB38F}"/>
    <hyperlink ref="J120" location="Periodics!B10" display="Periodics!B10" xr:uid="{4BFBC1AF-E667-4067-9AD2-409E693CD964}"/>
    <hyperlink ref="J126" location="Periodics!B357" display="Periodics!B357" xr:uid="{AF0B0D52-DDB8-4C86-9C7A-85E0E453D87A}"/>
    <hyperlink ref="L122" location="Periodics!B531" display="Periodics!B531" xr:uid="{831A05DA-BCCE-4760-BF86-4D1565B6CBA9}"/>
    <hyperlink ref="L121" location="Periodics!B473" display="Periodics!B473" xr:uid="{E42EF453-955F-4B11-A39E-06E220F715A3}"/>
    <hyperlink ref="L120" location="Periodics!B415" display="Periodics!B415" xr:uid="{C710228D-C38D-48CF-96DD-2292B0123C7F}"/>
    <hyperlink ref="L123" location="Periodics!B589" display="Periodics!B589" xr:uid="{5667C7AA-689E-4FEA-B705-BE7854FB5900}"/>
    <hyperlink ref="L124" location="Periodics!B647" display="Periodics!B647" xr:uid="{60A5E485-4BF2-465E-8AB1-A242E5D17F62}"/>
    <hyperlink ref="L125" location="Periodics!B705" display="Periodics!B705" xr:uid="{C01E5DD1-354A-48DE-A307-CFDF33674CE4}"/>
    <hyperlink ref="L126" location="Periodics!B531" display="Periodics!B531" xr:uid="{24F325EE-C21D-47EF-9CAA-2C24F31BE8CE}"/>
    <hyperlink ref="L127" location="Periodics!B821" display="Periodics!B821" xr:uid="{0B3D1BB0-11FC-496A-AA72-766B74F1E0AC}"/>
    <hyperlink ref="L128" location="Periodics!B879" display="Periodics!B879" xr:uid="{8ADD97C7-C73D-4CB3-B100-2987A3E0C108}"/>
    <hyperlink ref="L129" location="Periodics!B937" display="Periodics!B937" xr:uid="{54966EC6-A1F8-4975-9398-1AE6109B0D31}"/>
    <hyperlink ref="J67" location="Periodics!B299" display="Periodics!B299" xr:uid="{F29BE0F9-2AC7-4DC3-AB23-AE4200F77089}"/>
    <hyperlink ref="J66" location="Periodics!B241" display="Periodics!B241" xr:uid="{D6DD74BB-FE9F-48EC-B755-B6FACF7DFE00}"/>
    <hyperlink ref="J65" location="Periodics!B183" display="Periodics!B183" xr:uid="{0D7324B9-7220-4F00-B878-EDE72C1D7C10}"/>
    <hyperlink ref="J64" location="Periodics!B125" display="Hard Floorcare/Strip and Wax" xr:uid="{BCF66615-A7A5-4D19-9BDE-FC41C9CA3EA7}"/>
    <hyperlink ref="J63" location="Periodics!B67" display="Periodics!B67" xr:uid="{1ED1D0B6-2497-4BC1-9729-096E8D1432D0}"/>
    <hyperlink ref="J62" location="Periodics!B10" display="Periodics!B10" xr:uid="{6D648C5E-BD5A-4691-A972-3570B636295F}"/>
    <hyperlink ref="J68" location="Periodics!B357" display="Periodics!B357" xr:uid="{3AC1DFD4-26C8-4F4C-894E-534DB4CC17BB}"/>
    <hyperlink ref="L64" location="Periodics!B531" display="Periodics!B531" xr:uid="{A05DC402-F743-4899-88A5-40CFF2C902F0}"/>
    <hyperlink ref="L63" location="Periodics!B473" display="Periodics!B473" xr:uid="{A8760BCA-5D92-4405-A168-BA729975BAA0}"/>
    <hyperlink ref="L62" location="Periodics!B415" display="Periodics!B415" xr:uid="{038690B0-6BB7-4E8E-9FB9-5BA33670D84E}"/>
    <hyperlink ref="L65" location="Periodics!B589" display="Periodics!B589" xr:uid="{1C958B30-DA71-447B-8583-B2561398C789}"/>
    <hyperlink ref="L66" location="Periodics!B647" display="Periodics!B647" xr:uid="{5EBBEF56-2A78-448A-B32C-48DA1A32CA8B}"/>
    <hyperlink ref="L67" location="Periodics!B705" display="Periodics!B705" xr:uid="{AB9B8F80-65B1-45C9-9E12-0BB2DE42EE52}"/>
    <hyperlink ref="L68" location="Periodics!B531" display="Periodics!B531" xr:uid="{5AEF9BF9-B322-4654-B404-1174A504B476}"/>
    <hyperlink ref="L69" location="Periodics!B821" display="Periodics!B821" xr:uid="{AD1262FD-4B62-41B4-9BC6-A62F8F6723C9}"/>
    <hyperlink ref="L70" location="Periodics!B879" display="Periodics!B879" xr:uid="{C07FEE23-44EB-44B4-9967-1FED566DA2AB}"/>
    <hyperlink ref="L71" location="Periodics!B937" display="Periodics!B937" xr:uid="{1F0A4405-5E58-431F-BE02-183BC7DBAD65}"/>
    <hyperlink ref="J10" location="Periodics!B299" display="Periodics!B299" xr:uid="{2E66F4EF-A7B5-4C0D-B23A-4FC568C7555E}"/>
    <hyperlink ref="J9" location="Periodics!B241" display="Periodics!B241" xr:uid="{4A7DCCC1-7EF2-4B86-8106-3111AD9D0266}"/>
    <hyperlink ref="J8" location="Periodics!B183" display="Periodics!B183" xr:uid="{D345BA6C-4C7A-4FD1-8C14-F573DA063566}"/>
    <hyperlink ref="J7" location="Periodics!B125" display="Hard Floorcare/Strip and Wax" xr:uid="{10CE7915-EACE-45C5-A9DE-25C9C762863D}"/>
    <hyperlink ref="J6" location="Periodics!B67" display="Periodics!B67" xr:uid="{EEB77D62-4954-4D64-AFEA-CD4564FFCE87}"/>
    <hyperlink ref="J5" location="Periodics!B10" display="Periodics!B10" xr:uid="{5EEB432A-BD82-4A82-9227-9863C5949069}"/>
    <hyperlink ref="J11" location="Periodics!B357" display="Periodics!B357" xr:uid="{342AE02E-C386-4CAA-BECF-4F1035E3314E}"/>
    <hyperlink ref="L7" location="Periodics!B531" display="Periodics!B531" xr:uid="{CD452983-6A9A-4D41-B6E6-E9FF9551A6A4}"/>
    <hyperlink ref="L6" location="Periodics!B473" display="Periodics!B473" xr:uid="{B7094F98-5110-4BF0-BD58-1819DCF6A366}"/>
    <hyperlink ref="L5" location="Periodics!B415" display="Periodics!B415" xr:uid="{39F56833-3064-4095-80FE-B1C3B517885F}"/>
    <hyperlink ref="L8" location="Periodics!B589" display="Periodics!B589" xr:uid="{8F857292-8FA9-4B64-BD71-1E2C25CE8E46}"/>
    <hyperlink ref="L9" location="Periodics!B647" display="Periodics!B647" xr:uid="{A6FC288D-FCD8-4613-B4C2-39FD171F663C}"/>
    <hyperlink ref="L10" location="Periodics!B705" display="Periodics!B705" xr:uid="{FAE7694D-EF7D-4D90-AF9B-B45CD3315DA5}"/>
    <hyperlink ref="L11" location="Periodics!B531" display="Periodics!B531" xr:uid="{310D4D51-B64D-4E4E-B4D8-8DFA335B88CD}"/>
    <hyperlink ref="L12" location="Periodics!B821" display="Periodics!B821" xr:uid="{168A516F-7039-4FEF-8766-C63256D2638C}"/>
    <hyperlink ref="L13" location="Periodics!B879" display="Periodics!B879" xr:uid="{58AE9FBD-9203-45AF-9582-6E3D57DCBEEA}"/>
    <hyperlink ref="L14" location="Periodics!B937" display="Periodics!B937" xr:uid="{1872FC32-8119-44E5-8221-C421FBE7E913}"/>
    <hyperlink ref="J647" location="Periodics!B299" display="Periodics!B299" xr:uid="{A5DE5C1E-9312-40E4-BEAB-DD994748350C}"/>
    <hyperlink ref="J646" location="Periodics!B241" display="Periodics!B241" xr:uid="{ECACE0C2-91CE-4C2A-8111-A5F90034606E}"/>
    <hyperlink ref="J645" location="Periodics!B183" display="Periodics!B183" xr:uid="{5E014C18-A4C8-4CA4-8D65-9563862E41EB}"/>
    <hyperlink ref="J644" location="Periodics!B125" display="Hard Floorcare/Strip and Wax" xr:uid="{A467D77E-7EE1-4529-B0C2-F9ADB2D5B162}"/>
    <hyperlink ref="J643" location="Periodics!B67" display="Periodics!B67" xr:uid="{52B4147C-37F5-481A-BCB7-935E46398B23}"/>
    <hyperlink ref="J642" location="Periodics!B10" display="Periodics!B10" xr:uid="{E48BCBEE-26D8-402F-87D7-756EAB0E0691}"/>
    <hyperlink ref="J648" location="Periodics!B357" display="Periodics!B357" xr:uid="{6BCDF5DA-6098-4FD7-A348-92BE8CE2B0BD}"/>
    <hyperlink ref="L644" location="Periodics!B531" display="Periodics!B531" xr:uid="{B927858A-E2C9-47AC-939E-34616C59FB3C}"/>
    <hyperlink ref="L643" location="Periodics!B473" display="Periodics!B473" xr:uid="{91A2FF06-BB71-4D56-8420-AAAC3ED5FC8C}"/>
    <hyperlink ref="L642" location="Periodics!B415" display="Periodics!B415" xr:uid="{1F528E91-48BD-44C9-958E-DCD092099C77}"/>
    <hyperlink ref="L645" location="Periodics!B589" display="Periodics!B589" xr:uid="{E2D03B57-8EA3-4A0F-BF18-B182DF37496F}"/>
    <hyperlink ref="L646" location="Periodics!B647" display="Periodics!B647" xr:uid="{EEEF7D00-FEB9-4E69-AC47-BBCCA73E1E06}"/>
    <hyperlink ref="L647" location="Periodics!B705" display="Periodics!B705" xr:uid="{C63B737C-2B23-4F10-A9DD-4B9159BFBD1E}"/>
    <hyperlink ref="L648" location="Periodics!B531" display="Periodics!B531" xr:uid="{546C5A81-AF58-48F6-A444-FBADA6BA7238}"/>
    <hyperlink ref="L649" location="Periodics!B821" display="Periodics!B821" xr:uid="{B34173C1-27FE-4662-A2DB-98AA78C79D32}"/>
    <hyperlink ref="L650" location="Periodics!B879" display="Periodics!B879" xr:uid="{C1F76BE5-3ED5-4778-8070-969CFB7EFCA2}"/>
    <hyperlink ref="L651" location="Periodics!B937" display="Periodics!B937" xr:uid="{29C77905-1716-4CAA-8AD8-9A95477B02E8}"/>
  </hyperlinks>
  <pageMargins left="0.7" right="0.7" top="0.75" bottom="0.75" header="0.3" footer="0.3"/>
  <pageSetup orientation="landscape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AA51A319-6158-46DE-A6EA-3B95D3C41411}">
          <x14:formula1>
            <xm:f>Transportation!$B$6:$B$16</xm:f>
          </x14:formula1>
          <xm:sqref>H50:H52 H630:H632 H108:H110 H224:H226 H166:H168 H340:H342 H282:H284 H572:H574 H456:H458 H514:H516 H398:H400 H746:H748 H688:H690 H804:H806 H862:H864 H920:H922 H978:H980</xm:sqref>
        </x14:dataValidation>
        <x14:dataValidation type="list" allowBlank="1" showInputMessage="1" showErrorMessage="1" xr:uid="{546F3CF1-572B-414D-9428-755B701F01BF}">
          <x14:formula1>
            <xm:f>Supplies!$B$13:$B$97</xm:f>
          </x14:formula1>
          <xm:sqref>B210:B229 B152:B171 B94:B113 B326:B345 B57 B616:B635 B268:B287 B558:B577 B442:B461 B500:B519 B36:B55 B384:B403 B732:B751 B674:B693 B790:B809 B848:B867 B906:B925 B964:B983</xm:sqref>
        </x14:dataValidation>
        <x14:dataValidation type="list" allowBlank="1" showInputMessage="1" showErrorMessage="1" xr:uid="{2F2478F8-22AC-48BA-A2B9-B08578E1AA8B}">
          <x14:formula1>
            <xm:f>'Equipment List'!$B$12:$B$96</xm:f>
          </x14:formula1>
          <xm:sqref>H384:H393 H152:H161 H210:H219 H326:H335 H36:H45 H268:H277 H558:H567 H442:H451 H500:H509 H616:H625 H732:H741 H674:H683 H94:H103 H790:H799 H848:H857 H906:H915 H964:H973</xm:sqref>
        </x14:dataValidation>
        <x14:dataValidation type="list" allowBlank="1" showInputMessage="1" showErrorMessage="1" xr:uid="{F30694FF-667C-4E70-9776-38B2CD113797}">
          <x14:formula1>
            <xm:f>Subcontractors!$B$15:$B$25</xm:f>
          </x14:formula1>
          <xm:sqref>M93:M94 H55:H56 M383:M384 H287:H288 H171:H172 M209:M210 H229:H230 M557:M558 M441:M442 H519:H520 H113:H114 M151:M152 H403:H405 M267:M268 H461:H462 M499:M500 H577:H578 M615:M616 M325:M326 H345:H346 H635:H636 M673:M674 H693:H694 M731:M732 H751:H752 M789:M790 H809:H810 M847:M848 H867:H868 M905:M906 H925:H926 M963:M964 H983:H984</xm:sqref>
        </x14:dataValidation>
        <x14:dataValidation type="list" allowBlank="1" showInputMessage="1" showErrorMessage="1" xr:uid="{CB2D47C7-E632-4163-993E-0577C7818DFC}">
          <x14:formula1>
            <xm:f>'Pay &amp; Benefits'!$B$64:$B$78</xm:f>
          </x14:formula1>
          <xm:sqref>B22:B31 B80:B89 B138:B147 B196:B205 B254:B263 B312:B321 B370:B379 B428:B437 B486:B495 B544:B553 B602:B611 B660:B669 B718:B727 B776:B785 B834:B843 B892:B901 B950:B959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K M D A A B Q S w M E F A A C A A g A R I D h V C A 4 H 2 e k A A A A 9 Q A A A B I A H A B D b 2 5 m a W c v U G F j a 2 F n Z S 5 4 b W w g o h g A K K A U A A A A A A A A A A A A A A A A A A A A A A A A A A A A h Y 8 x D o I w G I W v Q r r T 1 m o M k p 8 y u E p i Q j S u T a n Q C M X Q Y r m b g 0 f y C m I U d X N 8 3 / u G 9 + 7 X G 6 R D U w c X 1 V n d m g T N M E W B M r I t t C k T 1 L t j G K G U w 1 b I k y h V M M r G x o M t E l Q 5 d 4 4 J 8 d 5 j P 8 d t V x J G 6 Y w c s k 0 u K 9 U I 9 J H 1 f z n U x j p h p E I c 9 q 8 x n O H V E k c L h i m Q i U G m z b d n 4 9 x n + w N h 3 d e u 7 x R X J t z l Q K Y I 5 H 2 B P w B Q S w M E F A A C A A g A R I D h V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S A 4 V T 8 p q c G n Q A A A N Y A A A A T A B w A R m 9 y b X V s Y X M v U 2 V j d G l v b j E u b S C i G A A o o B Q A A A A A A A A A A A A A A A A A A A A A A A A A A A B t j T 0 L g z A Q h v d A / k N I F w s i 2 F W c Q t c u C h 3 E I d p r F W O u X C J Y x P / e 2 K x 9 l 4 P 3 4 z k H v R / R i i r e v O C M M z d o g o e o d W f g I k p h w H M m g i p c q I f g X N c e T K Y W I r D + j j R 1 i F N y 3 p q b n q G U c S n b v V F o f a i 0 a Q S c p B q 0 f R 3 w z x t k I P 2 q W U 3 a u i f S r N A s s z 1 C l 8 R v 6 b b J 6 O Y y F T 4 k w s P q 9 / 3 M 2 W j / Y o s v U E s B A i 0 A F A A C A A g A R I D h V C A 4 H 2 e k A A A A 9 Q A A A B I A A A A A A A A A A A A A A A A A A A A A A E N v b m Z p Z y 9 Q Y W N r Y W d l L n h t b F B L A Q I t A B Q A A g A I A E S A 4 V Q P y u m r p A A A A O k A A A A T A A A A A A A A A A A A A A A A A P A A A A B b Q 2 9 u d G V u d F 9 U e X B l c 1 0 u e G 1 s U E s B A i 0 A F A A C A A g A R I D h V P y m p w a d A A A A 1 g A A A B M A A A A A A A A A A A A A A A A A 4 Q E A A E Z v c m 1 1 b G F z L 1 N l Y 3 R p b 2 4 x L m 1 Q S w U G A A A A A A M A A w D C A A A A y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t Q c A A A A A A A C T B w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A x V D I x O j M 1 O j A x L j E w N j U 5 N z V a I i A v P j x F b n R y e S B U e X B l P S J G a W x s Q 2 9 s d W 1 u V H l w Z X M i I F Z h b H V l P S J z Q m c 9 P S I g L z 4 8 R W 5 0 c n k g V H l w Z T 0 i R m l s b E N v b H V t b k 5 h b W V z I i B W Y W x 1 Z T 0 i c 1 s m c X V v d D t D b 2 x 1 b W 4 x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y L 0 N o Y W 5 n Z W Q g V H l w Z S 5 7 Q 2 9 s d W 1 u M S w w f S Z x d W 9 0 O 1 0 s J n F 1 b 3 Q 7 Q 2 9 s d W 1 u Q 2 9 1 b n Q m c X V v d D s 6 M S w m c X V v d D t L Z X l D b 2 x 1 b W 5 O Y W 1 l c y Z x d W 9 0 O z p b X S w m c X V v d D t D b 2 x 1 b W 5 J Z G V u d G l 0 a W V z J n F 1 b 3 Q 7 O l s m c X V v d D t T Z W N 0 a W 9 u M S 9 U Y W J s Z T I v Q 2 h h b m d l Z C B U e X B l L n t D b 2 x 1 b W 4 x L D B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I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y L 0 N o Y W 5 n Z W Q l M j B U e X B l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I 0 s A M U 3 3 + 9 K t v 9 p M M P 2 O O 4 A A A A A A g A A A A A A A 2 Y A A M A A A A A Q A A A A e H d K k 6 i U 8 n t t D g A o y D 7 M X Q A A A A A E g A A A o A A A A B A A A A D K h y L r r I 9 e h 6 E W f A Q + 9 K I d U A A A A F 5 5 P d f Z 0 O 2 2 Z X 2 p g b W n 0 b G I F U w 6 s 5 U p Z x s z x n Z s B q B 2 g r L O 6 p j n J D i l 4 g i M r U 7 h D 5 + Z + C g g p i o S c o / 0 U f n c d r D x Y K e 2 Q C c M J y H Y x M T d S U e X F A A A A O r R 5 z Y k S u q S W W u S 3 o W J k w f 5 A L e s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ategory2 xmlns="61349e09-f723-44c2-8cf0-84395070165b">Qrf</Category2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200A837C2F294B9F010BD48494492B" ma:contentTypeVersion="4" ma:contentTypeDescription="Create a new document." ma:contentTypeScope="" ma:versionID="1954da095df514a858e187da01d7c4bc">
  <xsd:schema xmlns:xsd="http://www.w3.org/2001/XMLSchema" xmlns:xs="http://www.w3.org/2001/XMLSchema" xmlns:p="http://schemas.microsoft.com/office/2006/metadata/properties" xmlns:ns1="http://schemas.microsoft.com/sharepoint/v3" xmlns:ns2="61349e09-f723-44c2-8cf0-84395070165b" xmlns:ns3="c11a4dd1-9999-41de-ad6b-508521c3559d" targetNamespace="http://schemas.microsoft.com/office/2006/metadata/properties" ma:root="true" ma:fieldsID="d80e92cc4fdda429363b7aeb532a226d" ns1:_="" ns2:_="" ns3:_="">
    <xsd:import namespace="http://schemas.microsoft.com/sharepoint/v3"/>
    <xsd:import namespace="61349e09-f723-44c2-8cf0-84395070165b"/>
    <xsd:import namespace="c11a4dd1-9999-41de-ad6b-508521c3559d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Category2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349e09-f723-44c2-8cf0-84395070165b" elementFormDefault="qualified">
    <xsd:import namespace="http://schemas.microsoft.com/office/2006/documentManagement/types"/>
    <xsd:import namespace="http://schemas.microsoft.com/office/infopath/2007/PartnerControls"/>
    <xsd:element name="Category2" ma:index="10" nillable="true" ma:displayName="Category" ma:format="Dropdown" ma:internalName="Category2">
      <xsd:simpleType>
        <xsd:union memberTypes="dms:Text">
          <xsd:simpleType>
            <xsd:restriction base="dms:Choice">
              <xsd:enumeration value="Disaster"/>
              <xsd:enumeration value="General"/>
              <xsd:enumeration value="IT"/>
              <xsd:enumeration value="Orcpp"/>
              <xsd:enumeration value="Orpin"/>
              <xsd:enumeration value="Training"/>
              <xsd:enumeration value="Travel"/>
              <xsd:enumeration value="Qrf"/>
            </xsd:restriction>
          </xsd:simpleType>
        </xsd:un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1a4dd1-9999-41de-ad6b-508521c3559d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11A8DCA-93EF-4511-8353-16AE54D3DDE2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1F64A3E5-4F19-4444-84FD-204831ACD2BF}">
  <ds:schemaRefs>
    <ds:schemaRef ds:uri="http://schemas.microsoft.com/office/2006/metadata/properties"/>
    <ds:schemaRef ds:uri="http://schemas.microsoft.com/office/infopath/2007/PartnerControls"/>
    <ds:schemaRef ds:uri="61349e09-f723-44c2-8cf0-84395070165b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81F04E3A-D2A8-4B84-BD24-D23DDC766872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FCB431D-9BC0-4D75-AA80-1121D813B01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1349e09-f723-44c2-8cf0-84395070165b"/>
    <ds:schemaRef ds:uri="c11a4dd1-9999-41de-ad6b-508521c3559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09b73270-2993-4076-be47-9c78f42a1e84}" enabled="1" method="Privileged" siteId="{aa3f6932-fa7c-47b4-a0ce-a598cad161c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5</vt:i4>
      </vt:variant>
    </vt:vector>
  </HeadingPairs>
  <TitlesOfParts>
    <vt:vector size="18" baseType="lpstr">
      <vt:lpstr>kt info</vt:lpstr>
      <vt:lpstr>Pay &amp; Benefits</vt:lpstr>
      <vt:lpstr>Overhead &amp; Margin</vt:lpstr>
      <vt:lpstr>Supplies</vt:lpstr>
      <vt:lpstr>Equipment List</vt:lpstr>
      <vt:lpstr>Subcontractors</vt:lpstr>
      <vt:lpstr>Transportation</vt:lpstr>
      <vt:lpstr>Monthly Janitorial</vt:lpstr>
      <vt:lpstr>Periodics</vt:lpstr>
      <vt:lpstr>Except,Emer&amp;Day Porter</vt:lpstr>
      <vt:lpstr>Summary-pricing</vt:lpstr>
      <vt:lpstr>Price Approval</vt:lpstr>
      <vt:lpstr>OHCalc</vt:lpstr>
      <vt:lpstr>Margin</vt:lpstr>
      <vt:lpstr>'kt info'!Print_Area</vt:lpstr>
      <vt:lpstr>'Monthly Janitorial'!Print_Area</vt:lpstr>
      <vt:lpstr>Periodics!Print_Area</vt:lpstr>
      <vt:lpstr>'Price Approval'!Print_Area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Single Location Janitorial</dc:title>
  <dc:creator>PIERCE Darvin * DAS</dc:creator>
  <cp:lastModifiedBy>CATHERWOOD Lisa * DAS</cp:lastModifiedBy>
  <cp:lastPrinted>2025-05-16T23:43:31Z</cp:lastPrinted>
  <dcterms:created xsi:type="dcterms:W3CDTF">2022-05-09T17:48:56Z</dcterms:created>
  <dcterms:modified xsi:type="dcterms:W3CDTF">2025-10-24T15:56:02Z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9b73270-2993-4076-be47-9c78f42a1e84_Enabled">
    <vt:lpwstr>true</vt:lpwstr>
  </property>
  <property fmtid="{D5CDD505-2E9C-101B-9397-08002B2CF9AE}" pid="3" name="MSIP_Label_09b73270-2993-4076-be47-9c78f42a1e84_SetDate">
    <vt:lpwstr>2023-10-20T22:39:46Z</vt:lpwstr>
  </property>
  <property fmtid="{D5CDD505-2E9C-101B-9397-08002B2CF9AE}" pid="4" name="MSIP_Label_09b73270-2993-4076-be47-9c78f42a1e84_Method">
    <vt:lpwstr>Privileged</vt:lpwstr>
  </property>
  <property fmtid="{D5CDD505-2E9C-101B-9397-08002B2CF9AE}" pid="5" name="MSIP_Label_09b73270-2993-4076-be47-9c78f42a1e84_Name">
    <vt:lpwstr>Level 1 - Published (Items)</vt:lpwstr>
  </property>
  <property fmtid="{D5CDD505-2E9C-101B-9397-08002B2CF9AE}" pid="6" name="MSIP_Label_09b73270-2993-4076-be47-9c78f42a1e84_SiteId">
    <vt:lpwstr>aa3f6932-fa7c-47b4-a0ce-a598cad161cf</vt:lpwstr>
  </property>
  <property fmtid="{D5CDD505-2E9C-101B-9397-08002B2CF9AE}" pid="7" name="MSIP_Label_09b73270-2993-4076-be47-9c78f42a1e84_ActionId">
    <vt:lpwstr>461926be-928e-4687-b98c-ed551cce1d75</vt:lpwstr>
  </property>
  <property fmtid="{D5CDD505-2E9C-101B-9397-08002B2CF9AE}" pid="8" name="MSIP_Label_09b73270-2993-4076-be47-9c78f42a1e84_ContentBits">
    <vt:lpwstr>0</vt:lpwstr>
  </property>
  <property fmtid="{D5CDD505-2E9C-101B-9397-08002B2CF9AE}" pid="9" name="ContentTypeId">
    <vt:lpwstr>0x010100EA200A837C2F294B9F010BD48494492B</vt:lpwstr>
  </property>
</Properties>
</file>