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Default Extension="jpg" ContentType="image/jpe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omments2.xml" ContentType="application/vnd.openxmlformats-officedocument.spreadsheetml.comments+xml"/>
  <Override PartName="/xl/calcChain.xml" ContentType="application/vnd.openxmlformats-officedocument.spreadsheetml.calcChain+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FLT\Fleet_Mgmt\Web_Master_Docs\V-4\docs_to_upload\"/>
    </mc:Choice>
  </mc:AlternateContent>
  <bookViews>
    <workbookView xWindow="0" yWindow="0" windowWidth="25200" windowHeight="12270"/>
  </bookViews>
  <sheets>
    <sheet name="Summary Page" sheetId="9" r:id="rId1"/>
    <sheet name="EV Phase-in CBA " sheetId="2" r:id="rId2"/>
    <sheet name="Est Charger #'s and cost" sheetId="10" r:id="rId3"/>
    <sheet name="GHG emissions" sheetId="8" r:id="rId4"/>
    <sheet name="Veh Annual Costs" sheetId="11" r:id="rId5"/>
    <sheet name="2019 AEO Fuel Price" sheetId="6" r:id="rId6"/>
    <sheet name="Est Pollutant Costs" sheetId="4" r:id="rId7"/>
    <sheet name="Projected Veh Costs" sheetId="3" r:id="rId8"/>
  </sheets>
  <calcPr calcId="191029" iterate="1" iterateCount="1" iterateDelta="0.01"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10" i="6" l="1"/>
  <c r="G4" i="9" l="1"/>
  <c r="G5" i="9" s="1"/>
  <c r="G6" i="9" s="1"/>
  <c r="G7" i="9" s="1"/>
  <c r="G8" i="9" s="1"/>
  <c r="G9" i="9" s="1"/>
  <c r="G10" i="9" s="1"/>
  <c r="G11" i="9" s="1"/>
  <c r="C4" i="9"/>
  <c r="C5" i="9" s="1"/>
  <c r="C6" i="9" s="1"/>
  <c r="C7" i="9" s="1"/>
  <c r="C8" i="9" s="1"/>
  <c r="C9" i="9" s="1"/>
  <c r="C10" i="9" s="1"/>
  <c r="C11" i="9" s="1"/>
  <c r="F55" i="2" l="1"/>
  <c r="C16" i="11"/>
  <c r="C17" i="11" s="1"/>
  <c r="F52" i="2"/>
  <c r="E52" i="2"/>
  <c r="E55" i="2"/>
  <c r="M27" i="2"/>
  <c r="H5" i="2"/>
  <c r="I5" i="2"/>
  <c r="J5" i="2"/>
  <c r="K5" i="2"/>
  <c r="L5" i="2"/>
  <c r="M5" i="2"/>
  <c r="G5" i="2"/>
  <c r="E5" i="2"/>
  <c r="E43" i="2" l="1"/>
  <c r="E42" i="2"/>
  <c r="E20" i="2"/>
  <c r="G7" i="2"/>
  <c r="E7" i="2"/>
  <c r="P7" i="2" s="1"/>
  <c r="E26" i="2"/>
  <c r="F26" i="2"/>
  <c r="F10" i="2"/>
  <c r="F11" i="2" s="1"/>
  <c r="G10" i="2"/>
  <c r="G11" i="2" s="1"/>
  <c r="H10" i="2"/>
  <c r="H11" i="2" s="1"/>
  <c r="I10" i="2"/>
  <c r="I11" i="2" s="1"/>
  <c r="J10" i="2"/>
  <c r="J11" i="2" s="1"/>
  <c r="K10" i="2"/>
  <c r="K11" i="2" s="1"/>
  <c r="L10" i="2"/>
  <c r="L11" i="2" s="1"/>
  <c r="E10" i="2"/>
  <c r="E11" i="2" s="1"/>
  <c r="R7" i="2" l="1"/>
  <c r="G24" i="2"/>
  <c r="M12" i="2"/>
  <c r="M67" i="2" s="1"/>
  <c r="L12" i="2"/>
  <c r="L67" i="2" s="1"/>
  <c r="K12" i="2"/>
  <c r="K67" i="2" s="1"/>
  <c r="J12" i="2"/>
  <c r="J67" i="2" s="1"/>
  <c r="I12" i="2"/>
  <c r="I67" i="2" s="1"/>
  <c r="H12" i="2"/>
  <c r="H67" i="2" s="1"/>
  <c r="F12" i="2"/>
  <c r="F67" i="2" s="1"/>
  <c r="G12" i="2"/>
  <c r="G67" i="2" s="1"/>
  <c r="E12" i="2"/>
  <c r="E67" i="2" s="1"/>
  <c r="B37" i="9" l="1"/>
  <c r="B25" i="9"/>
  <c r="B38" i="9"/>
  <c r="B26" i="9"/>
  <c r="B35" i="9"/>
  <c r="B23" i="9"/>
  <c r="B34" i="9"/>
  <c r="B22" i="9"/>
  <c r="B31" i="9"/>
  <c r="B19" i="9"/>
  <c r="B33" i="9"/>
  <c r="B21" i="9"/>
  <c r="B36" i="9"/>
  <c r="B24" i="9"/>
  <c r="B20" i="9"/>
  <c r="B32" i="9"/>
  <c r="H24" i="2"/>
  <c r="G26" i="2"/>
  <c r="I24" i="2" l="1"/>
  <c r="H26" i="2"/>
  <c r="J24" i="2" l="1"/>
  <c r="I26" i="2"/>
  <c r="K24" i="2" l="1"/>
  <c r="J26" i="2"/>
  <c r="L24" i="2" l="1"/>
  <c r="L26" i="2" s="1"/>
  <c r="K26" i="2"/>
  <c r="B25" i="6" l="1"/>
  <c r="H26" i="6" s="1"/>
  <c r="G5" i="11" l="1"/>
  <c r="I13" i="2"/>
  <c r="N26" i="6"/>
  <c r="AC26" i="6"/>
  <c r="AC27" i="6" s="1"/>
  <c r="M26" i="6"/>
  <c r="AJ26" i="6"/>
  <c r="AJ27" i="6" s="1"/>
  <c r="T26" i="6"/>
  <c r="L26" i="6"/>
  <c r="D26" i="6"/>
  <c r="D27" i="6" s="1"/>
  <c r="AE26" i="6"/>
  <c r="AE27" i="6" s="1"/>
  <c r="O26" i="6"/>
  <c r="V26" i="6"/>
  <c r="V27" i="6" s="1"/>
  <c r="B26" i="6"/>
  <c r="U26" i="6"/>
  <c r="E26" i="6"/>
  <c r="AB26" i="6"/>
  <c r="AI26" i="6"/>
  <c r="AA26" i="6"/>
  <c r="S26" i="6"/>
  <c r="K26" i="6"/>
  <c r="C26" i="6"/>
  <c r="C30" i="6" s="1"/>
  <c r="W26" i="6"/>
  <c r="W27" i="6" s="1"/>
  <c r="G26" i="6"/>
  <c r="AD26" i="6"/>
  <c r="AD27" i="6" s="1"/>
  <c r="F26" i="6"/>
  <c r="AH26" i="6"/>
  <c r="Z26" i="6"/>
  <c r="R26" i="6"/>
  <c r="J26" i="6"/>
  <c r="AG26" i="6"/>
  <c r="AG27" i="6" s="1"/>
  <c r="Y26" i="6"/>
  <c r="Y27" i="6" s="1"/>
  <c r="Q26" i="6"/>
  <c r="I26" i="6"/>
  <c r="AF26" i="6"/>
  <c r="X26" i="6"/>
  <c r="P26" i="6"/>
  <c r="B27" i="6" l="1"/>
  <c r="B30" i="6"/>
  <c r="B31" i="6" s="1"/>
  <c r="X28" i="6"/>
  <c r="X27" i="6"/>
  <c r="Z28" i="6"/>
  <c r="Z27" i="6"/>
  <c r="AH28" i="6"/>
  <c r="AH27" i="6"/>
  <c r="AA28" i="6"/>
  <c r="AA27" i="6"/>
  <c r="AI28" i="6"/>
  <c r="AI27" i="6"/>
  <c r="AF28" i="6"/>
  <c r="AF27" i="6"/>
  <c r="AB28" i="6"/>
  <c r="AB27" i="6"/>
  <c r="S28" i="6"/>
  <c r="O28" i="6"/>
  <c r="I28" i="6"/>
  <c r="Q28" i="6"/>
  <c r="G28" i="6"/>
  <c r="T28" i="6"/>
  <c r="U28" i="6"/>
  <c r="J28" i="6"/>
  <c r="N28" i="6"/>
  <c r="AE28" i="6"/>
  <c r="Y28" i="6"/>
  <c r="E28" i="6"/>
  <c r="AG28" i="6"/>
  <c r="W28" i="6"/>
  <c r="C27" i="6"/>
  <c r="C28" i="6"/>
  <c r="M28" i="6"/>
  <c r="P28" i="6"/>
  <c r="R28" i="6"/>
  <c r="K28" i="6"/>
  <c r="V28" i="6"/>
  <c r="AC28" i="6"/>
  <c r="F28" i="6"/>
  <c r="D28" i="6"/>
  <c r="AD28" i="6"/>
  <c r="L28" i="6"/>
  <c r="H28" i="6"/>
  <c r="H5" i="11"/>
  <c r="J13" i="2"/>
  <c r="E5" i="11"/>
  <c r="G13" i="2"/>
  <c r="C5" i="11"/>
  <c r="C7" i="11" s="1"/>
  <c r="E13" i="2"/>
  <c r="P5" i="11"/>
  <c r="R13" i="2"/>
  <c r="K5" i="11"/>
  <c r="M13" i="2"/>
  <c r="G9" i="11"/>
  <c r="G8" i="11"/>
  <c r="G11" i="11"/>
  <c r="G7" i="11"/>
  <c r="G10" i="11"/>
  <c r="F5" i="11"/>
  <c r="H13" i="2"/>
  <c r="D5" i="11"/>
  <c r="F13" i="2"/>
  <c r="S5" i="11"/>
  <c r="S14" i="11" s="1"/>
  <c r="U13" i="2"/>
  <c r="T5" i="11"/>
  <c r="V13" i="2"/>
  <c r="I5" i="11"/>
  <c r="K13" i="2"/>
  <c r="B28" i="6"/>
  <c r="L5" i="11"/>
  <c r="N13" i="2"/>
  <c r="O5" i="11"/>
  <c r="Q13" i="2"/>
  <c r="Q5" i="11"/>
  <c r="S13" i="2"/>
  <c r="J5" i="11"/>
  <c r="L13" i="2"/>
  <c r="W13" i="2"/>
  <c r="R5" i="11"/>
  <c r="T13" i="2"/>
  <c r="N5" i="11"/>
  <c r="P13" i="2"/>
  <c r="M5" i="11"/>
  <c r="O13" i="2"/>
  <c r="B27" i="9"/>
  <c r="I11" i="10"/>
  <c r="C11" i="10"/>
  <c r="E11" i="10" s="1"/>
  <c r="F11" i="10" s="1"/>
  <c r="I10" i="10"/>
  <c r="C10" i="10"/>
  <c r="E10" i="10" s="1"/>
  <c r="F10" i="10" s="1"/>
  <c r="I9" i="10"/>
  <c r="C9" i="10"/>
  <c r="E9" i="10" s="1"/>
  <c r="F9" i="10" s="1"/>
  <c r="I8" i="10"/>
  <c r="C8" i="10"/>
  <c r="E8" i="10" s="1"/>
  <c r="F8" i="10" s="1"/>
  <c r="I7" i="10"/>
  <c r="C7" i="10"/>
  <c r="E7" i="10" s="1"/>
  <c r="F7" i="10" s="1"/>
  <c r="I6" i="10"/>
  <c r="C6" i="10"/>
  <c r="E6" i="10" s="1"/>
  <c r="F6" i="10" s="1"/>
  <c r="I5" i="10"/>
  <c r="C5" i="10"/>
  <c r="E5" i="10" s="1"/>
  <c r="F5" i="10" s="1"/>
  <c r="I4" i="10"/>
  <c r="C4" i="10"/>
  <c r="E4" i="10" s="1"/>
  <c r="F4" i="10" s="1"/>
  <c r="H29" i="6" l="1"/>
  <c r="H27" i="6" s="1"/>
  <c r="O29" i="6"/>
  <c r="O27" i="6" s="1"/>
  <c r="T29" i="6"/>
  <c r="T27" i="6" s="1"/>
  <c r="K29" i="6"/>
  <c r="K27" i="6" s="1"/>
  <c r="G29" i="6"/>
  <c r="G27" i="6" s="1"/>
  <c r="R29" i="6"/>
  <c r="R27" i="6" s="1"/>
  <c r="I29" i="6"/>
  <c r="I27" i="6" s="1"/>
  <c r="U29" i="6"/>
  <c r="U27" i="6" s="1"/>
  <c r="E29" i="6"/>
  <c r="E27" i="6" s="1"/>
  <c r="S29" i="6"/>
  <c r="S27" i="6" s="1"/>
  <c r="P29" i="6"/>
  <c r="P27" i="6" s="1"/>
  <c r="N29" i="6"/>
  <c r="N27" i="6" s="1"/>
  <c r="F29" i="6"/>
  <c r="F27" i="6" s="1"/>
  <c r="L29" i="6"/>
  <c r="L27" i="6" s="1"/>
  <c r="Q29" i="6"/>
  <c r="Q27" i="6" s="1"/>
  <c r="J29" i="6"/>
  <c r="J27" i="6" s="1"/>
  <c r="M29" i="6"/>
  <c r="M27" i="6" s="1"/>
  <c r="J5" i="10"/>
  <c r="J8" i="10"/>
  <c r="K9" i="10" s="1"/>
  <c r="J9" i="10"/>
  <c r="J10" i="10"/>
  <c r="J4" i="10"/>
  <c r="J6" i="10"/>
  <c r="N13" i="11"/>
  <c r="N11" i="11"/>
  <c r="N9" i="11"/>
  <c r="N10" i="11"/>
  <c r="N12" i="11"/>
  <c r="N14" i="11"/>
  <c r="O11" i="11"/>
  <c r="O14" i="11"/>
  <c r="O13" i="11"/>
  <c r="O12" i="11"/>
  <c r="O10" i="11"/>
  <c r="I9" i="11"/>
  <c r="I13" i="11"/>
  <c r="I10" i="11"/>
  <c r="I7" i="11"/>
  <c r="I8" i="11"/>
  <c r="I12" i="11"/>
  <c r="I11" i="11"/>
  <c r="J12" i="11"/>
  <c r="J8" i="11"/>
  <c r="J13" i="11"/>
  <c r="J11" i="11"/>
  <c r="J14" i="11"/>
  <c r="J7" i="11"/>
  <c r="J9" i="11"/>
  <c r="J10" i="11"/>
  <c r="R14" i="11"/>
  <c r="R13" i="11"/>
  <c r="L10" i="11"/>
  <c r="L13" i="11"/>
  <c r="L8" i="11"/>
  <c r="L11" i="11"/>
  <c r="L7" i="11"/>
  <c r="L12" i="11"/>
  <c r="L9" i="11"/>
  <c r="L14" i="11"/>
  <c r="F8" i="11"/>
  <c r="F10" i="11"/>
  <c r="F9" i="11"/>
  <c r="F7" i="11"/>
  <c r="K7" i="11"/>
  <c r="K8" i="11"/>
  <c r="K9" i="11"/>
  <c r="K13" i="11"/>
  <c r="K12" i="11"/>
  <c r="K11" i="11"/>
  <c r="K14" i="11"/>
  <c r="K10" i="11"/>
  <c r="M13" i="11"/>
  <c r="M8" i="11"/>
  <c r="M11" i="11"/>
  <c r="M9" i="11"/>
  <c r="M12" i="11"/>
  <c r="M10" i="11"/>
  <c r="M14" i="11"/>
  <c r="Q14" i="11"/>
  <c r="Q13" i="11"/>
  <c r="Q12" i="11"/>
  <c r="E7" i="11"/>
  <c r="E9" i="11"/>
  <c r="E8" i="11"/>
  <c r="P14" i="11"/>
  <c r="P13" i="11"/>
  <c r="P12" i="11"/>
  <c r="P11" i="11"/>
  <c r="D8" i="11"/>
  <c r="D7" i="11"/>
  <c r="H12" i="11"/>
  <c r="H10" i="11"/>
  <c r="H7" i="11"/>
  <c r="H8" i="11"/>
  <c r="H9" i="11"/>
  <c r="H11" i="11"/>
  <c r="J7" i="10"/>
  <c r="K7" i="10" s="1"/>
  <c r="J11" i="10"/>
  <c r="K5" i="10"/>
  <c r="K11" i="10" l="1"/>
  <c r="V12" i="11"/>
  <c r="V11" i="11"/>
  <c r="V14" i="11"/>
  <c r="V7" i="11"/>
  <c r="V9" i="11"/>
  <c r="V13" i="11"/>
  <c r="V10" i="11"/>
  <c r="V8" i="11"/>
  <c r="E27" i="8"/>
  <c r="E28" i="8"/>
  <c r="E29" i="8"/>
  <c r="E26" i="8"/>
  <c r="C27" i="8"/>
  <c r="E11" i="8"/>
  <c r="E10" i="8"/>
  <c r="C65" i="2" l="1"/>
  <c r="E31" i="2" l="1"/>
  <c r="E29" i="2"/>
  <c r="C27" i="11" s="1"/>
  <c r="E6" i="2"/>
  <c r="E8" i="2" s="1"/>
  <c r="E16" i="2" s="1"/>
  <c r="C38" i="11" l="1"/>
  <c r="C29" i="11"/>
  <c r="E33" i="2"/>
  <c r="C47" i="11"/>
  <c r="C48" i="11" s="1"/>
  <c r="E65" i="2"/>
  <c r="F5" i="2"/>
  <c r="F42" i="2"/>
  <c r="F7" i="2" l="1"/>
  <c r="F43" i="2"/>
  <c r="F32" i="2"/>
  <c r="G32" i="2" s="1"/>
  <c r="H32" i="2" s="1"/>
  <c r="I32" i="2" s="1"/>
  <c r="J32" i="2" s="1"/>
  <c r="K32" i="2" s="1"/>
  <c r="L32" i="2" s="1"/>
  <c r="M32" i="2" s="1"/>
  <c r="N32" i="2" s="1"/>
  <c r="O32" i="2" s="1"/>
  <c r="P32" i="2" s="1"/>
  <c r="Q32" i="2" s="1"/>
  <c r="R32" i="2" s="1"/>
  <c r="S32" i="2" s="1"/>
  <c r="T32" i="2" s="1"/>
  <c r="U32" i="2" s="1"/>
  <c r="V32" i="2" s="1"/>
  <c r="F29" i="2"/>
  <c r="E25" i="2"/>
  <c r="E3" i="2"/>
  <c r="F3" i="2"/>
  <c r="G3" i="2"/>
  <c r="H3" i="2"/>
  <c r="I3" i="2"/>
  <c r="J3" i="2"/>
  <c r="K3" i="2"/>
  <c r="L3" i="2"/>
  <c r="G29" i="2" l="1"/>
  <c r="D27" i="11"/>
  <c r="E27" i="2"/>
  <c r="E28" i="2" s="1"/>
  <c r="E69" i="2" s="1"/>
  <c r="Q7" i="2"/>
  <c r="H39" i="2"/>
  <c r="G42" i="2"/>
  <c r="E44" i="2"/>
  <c r="E46" i="2" s="1"/>
  <c r="F44" i="2"/>
  <c r="G40" i="2"/>
  <c r="F23" i="2"/>
  <c r="G23" i="2" s="1"/>
  <c r="H23" i="2" s="1"/>
  <c r="F15" i="2"/>
  <c r="D16" i="11" s="1"/>
  <c r="F20" i="2"/>
  <c r="F6" i="2"/>
  <c r="F8" i="2" s="1"/>
  <c r="E14" i="2"/>
  <c r="C31" i="9" l="1"/>
  <c r="C19" i="9"/>
  <c r="D38" i="11"/>
  <c r="D39" i="11"/>
  <c r="D29" i="11"/>
  <c r="D30" i="11"/>
  <c r="D18" i="11"/>
  <c r="D17" i="11"/>
  <c r="H29" i="2"/>
  <c r="E27" i="11"/>
  <c r="G43" i="2"/>
  <c r="F65" i="2"/>
  <c r="G6" i="2"/>
  <c r="G8" i="2" s="1"/>
  <c r="F16" i="2"/>
  <c r="I39" i="2"/>
  <c r="E21" i="2"/>
  <c r="E17" i="2"/>
  <c r="H40" i="2"/>
  <c r="G44" i="2"/>
  <c r="F25" i="2"/>
  <c r="G25" i="2"/>
  <c r="E30" i="2"/>
  <c r="D4" i="9" s="1"/>
  <c r="I23" i="2"/>
  <c r="H25" i="2"/>
  <c r="G15" i="2"/>
  <c r="E16" i="11" s="1"/>
  <c r="F31" i="2"/>
  <c r="G19" i="2"/>
  <c r="E40" i="11" l="1"/>
  <c r="E38" i="11"/>
  <c r="E30" i="11"/>
  <c r="E29" i="11"/>
  <c r="E31" i="11"/>
  <c r="E39" i="11"/>
  <c r="F33" i="2"/>
  <c r="D47" i="11"/>
  <c r="E17" i="11"/>
  <c r="E18" i="11"/>
  <c r="E19" i="11"/>
  <c r="I29" i="2"/>
  <c r="F27" i="11"/>
  <c r="D19" i="9"/>
  <c r="D31" i="9"/>
  <c r="G20" i="2"/>
  <c r="G52" i="2"/>
  <c r="G55" i="2"/>
  <c r="G27" i="2"/>
  <c r="F27" i="2"/>
  <c r="F28" i="2" s="1"/>
  <c r="F69" i="2" s="1"/>
  <c r="H27" i="2"/>
  <c r="G65" i="2"/>
  <c r="H43" i="2"/>
  <c r="J39" i="2"/>
  <c r="H6" i="2"/>
  <c r="G16" i="2"/>
  <c r="F46" i="2"/>
  <c r="I40" i="2"/>
  <c r="E34" i="2"/>
  <c r="E36" i="2" s="1"/>
  <c r="J23" i="2"/>
  <c r="I25" i="2"/>
  <c r="H15" i="2"/>
  <c r="F16" i="11" s="1"/>
  <c r="G31" i="2"/>
  <c r="H19" i="2"/>
  <c r="H52" i="2" s="1"/>
  <c r="G46" i="2"/>
  <c r="F14" i="2"/>
  <c r="C32" i="9" l="1"/>
  <c r="C20" i="9"/>
  <c r="G28" i="2"/>
  <c r="G69" i="2" s="1"/>
  <c r="D48" i="11"/>
  <c r="D49" i="11"/>
  <c r="G33" i="2"/>
  <c r="E47" i="11"/>
  <c r="F19" i="11"/>
  <c r="F20" i="11"/>
  <c r="F18" i="11"/>
  <c r="F17" i="11"/>
  <c r="F38" i="11"/>
  <c r="F30" i="11"/>
  <c r="F31" i="11"/>
  <c r="F32" i="11"/>
  <c r="F40" i="11"/>
  <c r="F39" i="11"/>
  <c r="F41" i="11"/>
  <c r="F29" i="11"/>
  <c r="J29" i="2"/>
  <c r="G27" i="11"/>
  <c r="H55" i="2"/>
  <c r="I55" i="2"/>
  <c r="I27" i="2"/>
  <c r="I28" i="2" s="1"/>
  <c r="I69" i="2" s="1"/>
  <c r="I6" i="2"/>
  <c r="H8" i="2"/>
  <c r="F30" i="2"/>
  <c r="H65" i="2"/>
  <c r="H28" i="2"/>
  <c r="H69" i="2" s="1"/>
  <c r="I43" i="2"/>
  <c r="H7" i="2"/>
  <c r="H20" i="2"/>
  <c r="H42" i="2"/>
  <c r="H44" i="2" s="1"/>
  <c r="K39" i="2"/>
  <c r="E47" i="2"/>
  <c r="E49" i="2" s="1"/>
  <c r="H4" i="9" s="1"/>
  <c r="F21" i="2"/>
  <c r="F17" i="2"/>
  <c r="J40" i="2"/>
  <c r="K23" i="2"/>
  <c r="J25" i="2"/>
  <c r="G30" i="2"/>
  <c r="D6" i="9" s="1"/>
  <c r="L7" i="9" s="1"/>
  <c r="I15" i="2"/>
  <c r="G16" i="11" s="1"/>
  <c r="H31" i="2"/>
  <c r="I19" i="2"/>
  <c r="I52" i="2" s="1"/>
  <c r="G14" i="2"/>
  <c r="G21" i="2" s="1"/>
  <c r="C23" i="9" l="1"/>
  <c r="D23" i="9" s="1"/>
  <c r="C35" i="9"/>
  <c r="D35" i="9" s="1"/>
  <c r="E48" i="11"/>
  <c r="E50" i="11"/>
  <c r="E49" i="11"/>
  <c r="G41" i="11"/>
  <c r="G30" i="11"/>
  <c r="G38" i="11"/>
  <c r="G31" i="11"/>
  <c r="G32" i="11"/>
  <c r="G29" i="11"/>
  <c r="G39" i="11"/>
  <c r="G42" i="11"/>
  <c r="G40" i="11"/>
  <c r="G33" i="11"/>
  <c r="C33" i="9"/>
  <c r="D33" i="9" s="1"/>
  <c r="C21" i="9"/>
  <c r="D21" i="9" s="1"/>
  <c r="E22" i="9" s="1"/>
  <c r="F22" i="9" s="1"/>
  <c r="C34" i="9"/>
  <c r="D34" i="9" s="1"/>
  <c r="C22" i="9"/>
  <c r="D22" i="9" s="1"/>
  <c r="H33" i="2"/>
  <c r="F47" i="11"/>
  <c r="G21" i="11"/>
  <c r="G20" i="11"/>
  <c r="G18" i="11"/>
  <c r="G19" i="11"/>
  <c r="G17" i="11"/>
  <c r="F34" i="2"/>
  <c r="F47" i="2" s="1"/>
  <c r="F49" i="2" s="1"/>
  <c r="H5" i="9" s="1"/>
  <c r="D5" i="9"/>
  <c r="L5" i="9" s="1"/>
  <c r="K29" i="2"/>
  <c r="H27" i="11"/>
  <c r="D20" i="9"/>
  <c r="D32" i="9"/>
  <c r="I4" i="9"/>
  <c r="J27" i="2"/>
  <c r="J6" i="2"/>
  <c r="I8" i="2"/>
  <c r="S7" i="2"/>
  <c r="H16" i="2"/>
  <c r="I65" i="2"/>
  <c r="I20" i="2"/>
  <c r="I7" i="2"/>
  <c r="I42" i="2"/>
  <c r="I44" i="2" s="1"/>
  <c r="L39" i="2"/>
  <c r="H46" i="2"/>
  <c r="G34" i="2"/>
  <c r="F36" i="2"/>
  <c r="G17" i="2"/>
  <c r="K40" i="2"/>
  <c r="L23" i="2"/>
  <c r="L25" i="2" s="1"/>
  <c r="K25" i="2"/>
  <c r="H30" i="2"/>
  <c r="D7" i="9" s="1"/>
  <c r="J15" i="2"/>
  <c r="H16" i="11" s="1"/>
  <c r="I31" i="2"/>
  <c r="J19" i="2"/>
  <c r="J52" i="2" s="1"/>
  <c r="H14" i="2"/>
  <c r="I5" i="9" l="1"/>
  <c r="J5" i="9" s="1"/>
  <c r="L29" i="2"/>
  <c r="I27" i="11"/>
  <c r="I33" i="2"/>
  <c r="G47" i="11"/>
  <c r="H32" i="11"/>
  <c r="H38" i="11"/>
  <c r="H29" i="11"/>
  <c r="H31" i="11"/>
  <c r="H40" i="11"/>
  <c r="H42" i="11"/>
  <c r="H43" i="11"/>
  <c r="H33" i="11"/>
  <c r="H30" i="11"/>
  <c r="H39" i="11"/>
  <c r="H34" i="11"/>
  <c r="H41" i="11"/>
  <c r="H18" i="11"/>
  <c r="H20" i="11"/>
  <c r="H19" i="11"/>
  <c r="H17" i="11"/>
  <c r="H21" i="11"/>
  <c r="H22" i="11"/>
  <c r="E20" i="9"/>
  <c r="F20" i="9" s="1"/>
  <c r="F50" i="11"/>
  <c r="F48" i="11"/>
  <c r="F49" i="11"/>
  <c r="F51" i="11"/>
  <c r="K55" i="2"/>
  <c r="J55" i="2"/>
  <c r="M5" i="9"/>
  <c r="N5" i="9" s="1"/>
  <c r="K27" i="2"/>
  <c r="L27" i="2"/>
  <c r="K6" i="2"/>
  <c r="J8" i="2"/>
  <c r="T7" i="2"/>
  <c r="I16" i="2"/>
  <c r="I46" i="2"/>
  <c r="J65" i="2"/>
  <c r="K43" i="2"/>
  <c r="J7" i="2"/>
  <c r="J20" i="2"/>
  <c r="J42" i="2"/>
  <c r="J43" i="2"/>
  <c r="J28" i="2"/>
  <c r="J69" i="2" s="1"/>
  <c r="M39" i="2"/>
  <c r="G47" i="2"/>
  <c r="G49" i="2" s="1"/>
  <c r="H6" i="9" s="1"/>
  <c r="H21" i="2"/>
  <c r="G36" i="2"/>
  <c r="L40" i="2"/>
  <c r="H17" i="2"/>
  <c r="H34" i="2"/>
  <c r="I30" i="2"/>
  <c r="D8" i="9" s="1"/>
  <c r="K15" i="2"/>
  <c r="I16" i="11" s="1"/>
  <c r="J31" i="2"/>
  <c r="K19" i="2"/>
  <c r="K52" i="2" s="1"/>
  <c r="I14" i="2"/>
  <c r="I21" i="2" s="1"/>
  <c r="G49" i="11" l="1"/>
  <c r="G48" i="11"/>
  <c r="G50" i="11"/>
  <c r="G52" i="11"/>
  <c r="G51" i="11"/>
  <c r="M29" i="2"/>
  <c r="J27" i="11"/>
  <c r="I21" i="11"/>
  <c r="I18" i="11"/>
  <c r="I23" i="11"/>
  <c r="I20" i="11"/>
  <c r="I17" i="11"/>
  <c r="I22" i="11"/>
  <c r="I19" i="11"/>
  <c r="J33" i="2"/>
  <c r="H47" i="11"/>
  <c r="C24" i="9"/>
  <c r="C36" i="9"/>
  <c r="I39" i="11"/>
  <c r="I33" i="11"/>
  <c r="I40" i="11"/>
  <c r="I43" i="11"/>
  <c r="I32" i="11"/>
  <c r="I31" i="11"/>
  <c r="I38" i="11"/>
  <c r="I35" i="11"/>
  <c r="I34" i="11"/>
  <c r="I41" i="11"/>
  <c r="I42" i="11"/>
  <c r="I29" i="11"/>
  <c r="I44" i="11"/>
  <c r="I30" i="11"/>
  <c r="L55" i="2"/>
  <c r="I6" i="9"/>
  <c r="L6" i="2"/>
  <c r="K8" i="2"/>
  <c r="U7" i="2"/>
  <c r="J16" i="2"/>
  <c r="J44" i="2"/>
  <c r="J46" i="2" s="1"/>
  <c r="K65" i="2"/>
  <c r="K20" i="2"/>
  <c r="K7" i="2"/>
  <c r="K42" i="2"/>
  <c r="K44" i="2" s="1"/>
  <c r="M40" i="2"/>
  <c r="L43" i="2"/>
  <c r="H47" i="2"/>
  <c r="H49" i="2" s="1"/>
  <c r="H7" i="9" s="1"/>
  <c r="I7" i="9" s="1"/>
  <c r="H36" i="2"/>
  <c r="I17" i="2"/>
  <c r="I34" i="2"/>
  <c r="J30" i="2"/>
  <c r="D9" i="9" s="1"/>
  <c r="L9" i="9" s="1"/>
  <c r="L15" i="2"/>
  <c r="J16" i="11" s="1"/>
  <c r="K31" i="2"/>
  <c r="L19" i="2"/>
  <c r="J14" i="2"/>
  <c r="J21" i="2" s="1"/>
  <c r="J42" i="11" l="1"/>
  <c r="J29" i="11"/>
  <c r="J34" i="11"/>
  <c r="J40" i="11"/>
  <c r="J36" i="11"/>
  <c r="J32" i="11"/>
  <c r="J45" i="11"/>
  <c r="J33" i="11"/>
  <c r="J35" i="11"/>
  <c r="J31" i="11"/>
  <c r="J44" i="11"/>
  <c r="J30" i="11"/>
  <c r="J39" i="11"/>
  <c r="J43" i="11"/>
  <c r="J38" i="11"/>
  <c r="J41" i="11"/>
  <c r="D36" i="9"/>
  <c r="N29" i="2"/>
  <c r="K27" i="11"/>
  <c r="D24" i="9"/>
  <c r="K33" i="2"/>
  <c r="I47" i="11"/>
  <c r="H52" i="11"/>
  <c r="H50" i="11"/>
  <c r="H51" i="11"/>
  <c r="H53" i="11"/>
  <c r="H48" i="11"/>
  <c r="H49" i="11"/>
  <c r="J18" i="11"/>
  <c r="J22" i="11"/>
  <c r="J23" i="11"/>
  <c r="J19" i="11"/>
  <c r="J24" i="11"/>
  <c r="J17" i="11"/>
  <c r="J21" i="11"/>
  <c r="J20" i="11"/>
  <c r="M19" i="2"/>
  <c r="L52" i="2"/>
  <c r="J7" i="9"/>
  <c r="M7" i="9"/>
  <c r="N7" i="9" s="1"/>
  <c r="M6" i="2"/>
  <c r="M65" i="2" s="1"/>
  <c r="L8" i="2"/>
  <c r="V7" i="2"/>
  <c r="K16" i="2"/>
  <c r="K46" i="2"/>
  <c r="L65" i="2"/>
  <c r="L20" i="2"/>
  <c r="L7" i="2"/>
  <c r="W28" i="2"/>
  <c r="W69" i="2" s="1"/>
  <c r="C49" i="9" s="1"/>
  <c r="L42" i="2"/>
  <c r="L44" i="2" s="1"/>
  <c r="K28" i="2"/>
  <c r="K69" i="2" s="1"/>
  <c r="I47" i="2"/>
  <c r="I49" i="2" s="1"/>
  <c r="H8" i="9" s="1"/>
  <c r="I36" i="2"/>
  <c r="J17" i="2"/>
  <c r="J34" i="2"/>
  <c r="M15" i="2"/>
  <c r="K16" i="11" s="1"/>
  <c r="L31" i="2"/>
  <c r="K14" i="2"/>
  <c r="E24" i="9" l="1"/>
  <c r="F24" i="9" s="1"/>
  <c r="K45" i="11"/>
  <c r="K35" i="11"/>
  <c r="K39" i="11"/>
  <c r="K36" i="11"/>
  <c r="K29" i="11"/>
  <c r="K31" i="11"/>
  <c r="K32" i="11"/>
  <c r="K44" i="11"/>
  <c r="K40" i="11"/>
  <c r="K41" i="11"/>
  <c r="K34" i="11"/>
  <c r="K43" i="11"/>
  <c r="K42" i="11"/>
  <c r="K33" i="11"/>
  <c r="K38" i="11"/>
  <c r="K30" i="11"/>
  <c r="K19" i="11"/>
  <c r="K22" i="11"/>
  <c r="K21" i="11"/>
  <c r="K23" i="11"/>
  <c r="K18" i="11"/>
  <c r="K17" i="11"/>
  <c r="K24" i="11"/>
  <c r="K20" i="11"/>
  <c r="C25" i="9"/>
  <c r="C37" i="9"/>
  <c r="O29" i="2"/>
  <c r="L27" i="11"/>
  <c r="L33" i="2"/>
  <c r="J47" i="11"/>
  <c r="I49" i="11"/>
  <c r="I52" i="11"/>
  <c r="I48" i="11"/>
  <c r="I51" i="11"/>
  <c r="I50" i="11"/>
  <c r="I54" i="11"/>
  <c r="I53" i="11"/>
  <c r="I8" i="9"/>
  <c r="K21" i="2"/>
  <c r="N6" i="2"/>
  <c r="O6" i="2" s="1"/>
  <c r="P6" i="2" s="1"/>
  <c r="Q6" i="2" s="1"/>
  <c r="R6" i="2" s="1"/>
  <c r="S6" i="2" s="1"/>
  <c r="T6" i="2" s="1"/>
  <c r="U6" i="2" s="1"/>
  <c r="V6" i="2" s="1"/>
  <c r="W6" i="2" s="1"/>
  <c r="M8" i="2"/>
  <c r="M16" i="2" s="1"/>
  <c r="W7" i="2"/>
  <c r="L16" i="2"/>
  <c r="K30" i="2"/>
  <c r="L46" i="2"/>
  <c r="M28" i="2"/>
  <c r="M69" i="2" s="1"/>
  <c r="C39" i="9" s="1"/>
  <c r="M20" i="2"/>
  <c r="X20" i="2" s="1"/>
  <c r="M7" i="2"/>
  <c r="M42" i="2"/>
  <c r="L28" i="2"/>
  <c r="L69" i="2" s="1"/>
  <c r="M43" i="2"/>
  <c r="M33" i="2"/>
  <c r="J47" i="2"/>
  <c r="J49" i="2" s="1"/>
  <c r="H9" i="9" s="1"/>
  <c r="I9" i="9" s="1"/>
  <c r="J36" i="2"/>
  <c r="K17" i="2"/>
  <c r="N15" i="2"/>
  <c r="L16" i="11" s="1"/>
  <c r="M31" i="2"/>
  <c r="K47" i="11" s="1"/>
  <c r="L14" i="2"/>
  <c r="L21" i="2" s="1"/>
  <c r="D37" i="9" l="1"/>
  <c r="D25" i="9"/>
  <c r="K34" i="2"/>
  <c r="D10" i="9"/>
  <c r="N65" i="2"/>
  <c r="C26" i="9"/>
  <c r="D26" i="9" s="1"/>
  <c r="C38" i="9"/>
  <c r="D38" i="9" s="1"/>
  <c r="K53" i="11"/>
  <c r="K52" i="11"/>
  <c r="K55" i="11"/>
  <c r="K51" i="11"/>
  <c r="K54" i="11"/>
  <c r="K50" i="11"/>
  <c r="K49" i="11"/>
  <c r="K48" i="11"/>
  <c r="L22" i="11"/>
  <c r="L18" i="11"/>
  <c r="L24" i="11"/>
  <c r="L21" i="11"/>
  <c r="L19" i="11"/>
  <c r="L23" i="11"/>
  <c r="L17" i="11"/>
  <c r="W17" i="11" s="1"/>
  <c r="X7" i="11" s="1"/>
  <c r="L20" i="11"/>
  <c r="L40" i="11"/>
  <c r="L29" i="11"/>
  <c r="V29" i="11" s="1"/>
  <c r="L38" i="11"/>
  <c r="V38" i="11" s="1"/>
  <c r="L34" i="11"/>
  <c r="L44" i="11"/>
  <c r="L41" i="11"/>
  <c r="L43" i="11"/>
  <c r="L31" i="11"/>
  <c r="L35" i="11"/>
  <c r="L30" i="11"/>
  <c r="L36" i="11"/>
  <c r="L33" i="11"/>
  <c r="L45" i="11"/>
  <c r="L39" i="11"/>
  <c r="L32" i="11"/>
  <c r="L42" i="11"/>
  <c r="J50" i="11"/>
  <c r="J55" i="11"/>
  <c r="J53" i="11"/>
  <c r="J51" i="11"/>
  <c r="J54" i="11"/>
  <c r="J48" i="11"/>
  <c r="J49" i="11"/>
  <c r="J52" i="11"/>
  <c r="P29" i="2"/>
  <c r="M27" i="11"/>
  <c r="M9" i="9"/>
  <c r="N9" i="9" s="1"/>
  <c r="J9" i="9"/>
  <c r="L30" i="2"/>
  <c r="M44" i="2"/>
  <c r="N8" i="2"/>
  <c r="N16" i="2" s="1"/>
  <c r="K47" i="2"/>
  <c r="K49" i="2" s="1"/>
  <c r="H10" i="9" s="1"/>
  <c r="K36" i="2"/>
  <c r="L17" i="2"/>
  <c r="N28" i="2"/>
  <c r="N69" i="2" s="1"/>
  <c r="C40" i="9" s="1"/>
  <c r="M30" i="2"/>
  <c r="O15" i="2"/>
  <c r="M16" i="11" s="1"/>
  <c r="N31" i="2"/>
  <c r="L47" i="11" s="1"/>
  <c r="N12" i="2"/>
  <c r="N67" i="2" s="1"/>
  <c r="M14" i="2"/>
  <c r="M21" i="2" s="1"/>
  <c r="M22" i="11" l="1"/>
  <c r="M24" i="11"/>
  <c r="M21" i="11"/>
  <c r="M20" i="11"/>
  <c r="M19" i="11"/>
  <c r="M23" i="11"/>
  <c r="M18" i="11"/>
  <c r="W18" i="11" s="1"/>
  <c r="X8" i="11" s="1"/>
  <c r="L34" i="2"/>
  <c r="L47" i="2" s="1"/>
  <c r="L49" i="2" s="1"/>
  <c r="H11" i="9" s="1"/>
  <c r="I11" i="9" s="1"/>
  <c r="D11" i="9"/>
  <c r="L11" i="9" s="1"/>
  <c r="Q29" i="2"/>
  <c r="N27" i="11"/>
  <c r="C27" i="9"/>
  <c r="M43" i="11"/>
  <c r="M41" i="11"/>
  <c r="M45" i="11"/>
  <c r="M40" i="11"/>
  <c r="M34" i="11"/>
  <c r="M31" i="11"/>
  <c r="M30" i="11"/>
  <c r="V30" i="11" s="1"/>
  <c r="M32" i="11"/>
  <c r="M35" i="11"/>
  <c r="M39" i="11"/>
  <c r="V39" i="11" s="1"/>
  <c r="M42" i="11"/>
  <c r="M36" i="11"/>
  <c r="M33" i="11"/>
  <c r="M44" i="11"/>
  <c r="B40" i="9"/>
  <c r="D40" i="9" s="1"/>
  <c r="B39" i="9"/>
  <c r="N33" i="2"/>
  <c r="E26" i="9"/>
  <c r="F26" i="9" s="1"/>
  <c r="D27" i="9"/>
  <c r="L48" i="11"/>
  <c r="W48" i="11" s="1"/>
  <c r="L53" i="11"/>
  <c r="L52" i="11"/>
  <c r="L49" i="11"/>
  <c r="L50" i="11"/>
  <c r="L54" i="11"/>
  <c r="L55" i="11"/>
  <c r="L51" i="11"/>
  <c r="I10" i="9"/>
  <c r="M46" i="2"/>
  <c r="X44" i="2"/>
  <c r="O65" i="2"/>
  <c r="O28" i="2"/>
  <c r="O69" i="2" s="1"/>
  <c r="C41" i="9" s="1"/>
  <c r="O8" i="2"/>
  <c r="O16" i="2" s="1"/>
  <c r="O12" i="2"/>
  <c r="L36" i="2"/>
  <c r="M17" i="2"/>
  <c r="N30" i="2"/>
  <c r="M34" i="2"/>
  <c r="P15" i="2"/>
  <c r="N16" i="11" s="1"/>
  <c r="O31" i="2"/>
  <c r="M47" i="11" s="1"/>
  <c r="N14" i="2"/>
  <c r="R29" i="2" l="1"/>
  <c r="O27" i="11"/>
  <c r="M51" i="11"/>
  <c r="M54" i="11"/>
  <c r="M53" i="11"/>
  <c r="M50" i="11"/>
  <c r="M52" i="11"/>
  <c r="M49" i="11"/>
  <c r="W49" i="11" s="1"/>
  <c r="M55" i="11"/>
  <c r="W38" i="11"/>
  <c r="X38" i="11" s="1"/>
  <c r="Z7" i="11" s="1"/>
  <c r="E56" i="2" s="1"/>
  <c r="E57" i="2" s="1"/>
  <c r="W29" i="11"/>
  <c r="X29" i="11" s="1"/>
  <c r="Y7" i="11" s="1"/>
  <c r="E53" i="2" s="1"/>
  <c r="E54" i="2" s="1"/>
  <c r="O33" i="2"/>
  <c r="D39" i="9"/>
  <c r="N45" i="11"/>
  <c r="N41" i="11"/>
  <c r="N31" i="11"/>
  <c r="V31" i="11" s="1"/>
  <c r="N43" i="11"/>
  <c r="N32" i="11"/>
  <c r="N44" i="11"/>
  <c r="N40" i="11"/>
  <c r="V40" i="11" s="1"/>
  <c r="N33" i="11"/>
  <c r="N36" i="11"/>
  <c r="N42" i="11"/>
  <c r="N35" i="11"/>
  <c r="N34" i="11"/>
  <c r="N20" i="11"/>
  <c r="N22" i="11"/>
  <c r="N23" i="11"/>
  <c r="N19" i="11"/>
  <c r="W19" i="11" s="1"/>
  <c r="X9" i="11" s="1"/>
  <c r="N24" i="11"/>
  <c r="N21" i="11"/>
  <c r="J11" i="9"/>
  <c r="J13" i="9" s="1"/>
  <c r="M11" i="9"/>
  <c r="N11" i="9" s="1"/>
  <c r="X53" i="2"/>
  <c r="X46" i="2"/>
  <c r="P12" i="2"/>
  <c r="O67" i="2"/>
  <c r="B41" i="9" s="1"/>
  <c r="D41" i="9" s="1"/>
  <c r="P28" i="2"/>
  <c r="P69" i="2" s="1"/>
  <c r="C42" i="9" s="1"/>
  <c r="R28" i="2"/>
  <c r="R69" i="2" s="1"/>
  <c r="C44" i="9" s="1"/>
  <c r="S28" i="2"/>
  <c r="S69" i="2" s="1"/>
  <c r="C45" i="9" s="1"/>
  <c r="V28" i="2"/>
  <c r="V69" i="2" s="1"/>
  <c r="Q28" i="2"/>
  <c r="Q69" i="2" s="1"/>
  <c r="C43" i="9" s="1"/>
  <c r="T28" i="2"/>
  <c r="T69" i="2" s="1"/>
  <c r="C46" i="9" s="1"/>
  <c r="U28" i="2"/>
  <c r="U69" i="2" s="1"/>
  <c r="C47" i="9" s="1"/>
  <c r="P65" i="2"/>
  <c r="P8" i="2"/>
  <c r="P16" i="2" s="1"/>
  <c r="M47" i="2"/>
  <c r="M49" i="2" s="1"/>
  <c r="M36" i="2"/>
  <c r="N17" i="2"/>
  <c r="N21" i="2" s="1"/>
  <c r="O30" i="2"/>
  <c r="N34" i="2"/>
  <c r="Q15" i="2"/>
  <c r="O16" i="11" s="1"/>
  <c r="P31" i="2"/>
  <c r="O14" i="2"/>
  <c r="C48" i="9" l="1"/>
  <c r="C50" i="9" s="1"/>
  <c r="X69" i="2"/>
  <c r="X70" i="2" s="1"/>
  <c r="S29" i="2"/>
  <c r="P27" i="11"/>
  <c r="W39" i="11"/>
  <c r="X39" i="11" s="1"/>
  <c r="Z8" i="11" s="1"/>
  <c r="F56" i="2" s="1"/>
  <c r="F57" i="2" s="1"/>
  <c r="W30" i="11"/>
  <c r="X30" i="11" s="1"/>
  <c r="Y8" i="11" s="1"/>
  <c r="F53" i="2" s="1"/>
  <c r="F54" i="2" s="1"/>
  <c r="O41" i="11"/>
  <c r="V41" i="11" s="1"/>
  <c r="O36" i="11"/>
  <c r="O33" i="11"/>
  <c r="O35" i="11"/>
  <c r="O32" i="11"/>
  <c r="V32" i="11" s="1"/>
  <c r="O45" i="11"/>
  <c r="O34" i="11"/>
  <c r="O43" i="11"/>
  <c r="O44" i="11"/>
  <c r="O42" i="11"/>
  <c r="P33" i="2"/>
  <c r="N47" i="11"/>
  <c r="O23" i="11"/>
  <c r="O24" i="11"/>
  <c r="O22" i="11"/>
  <c r="O20" i="11"/>
  <c r="W20" i="11" s="1"/>
  <c r="X10" i="11" s="1"/>
  <c r="O21" i="11"/>
  <c r="Q12" i="2"/>
  <c r="P67" i="2"/>
  <c r="B42" i="9" s="1"/>
  <c r="D42" i="9" s="1"/>
  <c r="Q65" i="2"/>
  <c r="R65" i="2"/>
  <c r="Q8" i="2"/>
  <c r="Q16" i="2" s="1"/>
  <c r="N47" i="2"/>
  <c r="N49" i="2" s="1"/>
  <c r="N36" i="2"/>
  <c r="O34" i="2"/>
  <c r="O17" i="2"/>
  <c r="O21" i="2" s="1"/>
  <c r="P30" i="2"/>
  <c r="R15" i="2"/>
  <c r="P16" i="11" s="1"/>
  <c r="Q31" i="2"/>
  <c r="P14" i="2"/>
  <c r="N54" i="11" l="1"/>
  <c r="N52" i="11"/>
  <c r="N53" i="11"/>
  <c r="N51" i="11"/>
  <c r="N55" i="11"/>
  <c r="N50" i="11"/>
  <c r="W50" i="11" s="1"/>
  <c r="P44" i="11"/>
  <c r="P36" i="11"/>
  <c r="P34" i="11"/>
  <c r="P42" i="11"/>
  <c r="V42" i="11" s="1"/>
  <c r="P33" i="11"/>
  <c r="V33" i="11" s="1"/>
  <c r="P35" i="11"/>
  <c r="P45" i="11"/>
  <c r="P43" i="11"/>
  <c r="T29" i="2"/>
  <c r="Q27" i="11"/>
  <c r="Q33" i="2"/>
  <c r="O47" i="11"/>
  <c r="P23" i="11"/>
  <c r="P21" i="11"/>
  <c r="W21" i="11" s="1"/>
  <c r="X11" i="11" s="1"/>
  <c r="P22" i="11"/>
  <c r="P24" i="11"/>
  <c r="R12" i="2"/>
  <c r="Q67" i="2"/>
  <c r="B43" i="9" s="1"/>
  <c r="D43" i="9" s="1"/>
  <c r="O47" i="2"/>
  <c r="O49" i="2" s="1"/>
  <c r="S65" i="2"/>
  <c r="R33" i="2"/>
  <c r="R8" i="2"/>
  <c r="R16" i="2" s="1"/>
  <c r="P17" i="2"/>
  <c r="P21" i="2" s="1"/>
  <c r="O36" i="2"/>
  <c r="Q30" i="2"/>
  <c r="P34" i="2"/>
  <c r="S15" i="2"/>
  <c r="Q16" i="11" s="1"/>
  <c r="R31" i="2"/>
  <c r="P47" i="11" s="1"/>
  <c r="Q14" i="2"/>
  <c r="U29" i="2" l="1"/>
  <c r="R27" i="11"/>
  <c r="P52" i="11"/>
  <c r="P55" i="11"/>
  <c r="P54" i="11"/>
  <c r="P53" i="11"/>
  <c r="Q24" i="11"/>
  <c r="Q22" i="11"/>
  <c r="W22" i="11" s="1"/>
  <c r="X12" i="11" s="1"/>
  <c r="Q23" i="11"/>
  <c r="O55" i="11"/>
  <c r="O54" i="11"/>
  <c r="O53" i="11"/>
  <c r="O51" i="11"/>
  <c r="W51" i="11" s="1"/>
  <c r="O52" i="11"/>
  <c r="Q43" i="11"/>
  <c r="V43" i="11" s="1"/>
  <c r="Q35" i="11"/>
  <c r="Q44" i="11"/>
  <c r="Q36" i="11"/>
  <c r="Q34" i="11"/>
  <c r="V34" i="11" s="1"/>
  <c r="Q45" i="11"/>
  <c r="W40" i="11"/>
  <c r="X40" i="11" s="1"/>
  <c r="Z9" i="11" s="1"/>
  <c r="G56" i="2" s="1"/>
  <c r="G57" i="2" s="1"/>
  <c r="W31" i="11"/>
  <c r="X31" i="11" s="1"/>
  <c r="Y9" i="11" s="1"/>
  <c r="G53" i="2" s="1"/>
  <c r="G54" i="2" s="1"/>
  <c r="S12" i="2"/>
  <c r="R67" i="2"/>
  <c r="B44" i="9" s="1"/>
  <c r="D44" i="9" s="1"/>
  <c r="T65" i="2"/>
  <c r="S8" i="2"/>
  <c r="S16" i="2" s="1"/>
  <c r="P47" i="2"/>
  <c r="P49" i="2" s="1"/>
  <c r="P36" i="2"/>
  <c r="Q17" i="2"/>
  <c r="Q21" i="2" s="1"/>
  <c r="R30" i="2"/>
  <c r="Q34" i="2"/>
  <c r="T15" i="2"/>
  <c r="R16" i="11" s="1"/>
  <c r="S31" i="2"/>
  <c r="R14" i="2"/>
  <c r="W41" i="11" l="1"/>
  <c r="X41" i="11" s="1"/>
  <c r="Z10" i="11" s="1"/>
  <c r="H56" i="2" s="1"/>
  <c r="H57" i="2" s="1"/>
  <c r="W32" i="11"/>
  <c r="X32" i="11" s="1"/>
  <c r="Y10" i="11" s="1"/>
  <c r="H53" i="2" s="1"/>
  <c r="H54" i="2" s="1"/>
  <c r="W52" i="11"/>
  <c r="S33" i="2"/>
  <c r="Q47" i="11"/>
  <c r="R44" i="11"/>
  <c r="V44" i="11" s="1"/>
  <c r="R36" i="11"/>
  <c r="R45" i="11"/>
  <c r="R35" i="11"/>
  <c r="V35" i="11" s="1"/>
  <c r="R24" i="11"/>
  <c r="R23" i="11"/>
  <c r="W23" i="11" s="1"/>
  <c r="X13" i="11" s="1"/>
  <c r="V29" i="2"/>
  <c r="S27" i="11"/>
  <c r="T12" i="2"/>
  <c r="S67" i="2"/>
  <c r="B45" i="9" s="1"/>
  <c r="D45" i="9" s="1"/>
  <c r="U65" i="2"/>
  <c r="T8" i="2"/>
  <c r="T16" i="2" s="1"/>
  <c r="Q47" i="2"/>
  <c r="Q49" i="2" s="1"/>
  <c r="Q36" i="2"/>
  <c r="R17" i="2"/>
  <c r="R21" i="2" s="1"/>
  <c r="S30" i="2"/>
  <c r="R34" i="2"/>
  <c r="U15" i="2"/>
  <c r="S16" i="11" s="1"/>
  <c r="S24" i="11" s="1"/>
  <c r="W24" i="11" s="1"/>
  <c r="X14" i="11" s="1"/>
  <c r="T31" i="2"/>
  <c r="S14" i="2"/>
  <c r="W29" i="2" l="1"/>
  <c r="W30" i="2" s="1"/>
  <c r="T27" i="11"/>
  <c r="T33" i="2"/>
  <c r="R47" i="11"/>
  <c r="W42" i="11"/>
  <c r="X42" i="11" s="1"/>
  <c r="Z11" i="11" s="1"/>
  <c r="I56" i="2" s="1"/>
  <c r="I57" i="2" s="1"/>
  <c r="W33" i="11"/>
  <c r="X33" i="11" s="1"/>
  <c r="Y11" i="11" s="1"/>
  <c r="I53" i="2" s="1"/>
  <c r="I54" i="2" s="1"/>
  <c r="Q55" i="11"/>
  <c r="Q53" i="11"/>
  <c r="W53" i="11" s="1"/>
  <c r="Q54" i="11"/>
  <c r="S45" i="11"/>
  <c r="V45" i="11" s="1"/>
  <c r="S36" i="11"/>
  <c r="V36" i="11" s="1"/>
  <c r="U12" i="2"/>
  <c r="T67" i="2"/>
  <c r="B46" i="9" s="1"/>
  <c r="D46" i="9" s="1"/>
  <c r="V65" i="2"/>
  <c r="U8" i="2"/>
  <c r="U16" i="2" s="1"/>
  <c r="R47" i="2"/>
  <c r="R49" i="2" s="1"/>
  <c r="R36" i="2"/>
  <c r="S17" i="2"/>
  <c r="S21" i="2" s="1"/>
  <c r="T30" i="2"/>
  <c r="S34" i="2"/>
  <c r="V15" i="2"/>
  <c r="U31" i="2"/>
  <c r="T14" i="2"/>
  <c r="R55" i="11" l="1"/>
  <c r="R54" i="11"/>
  <c r="W54" i="11" s="1"/>
  <c r="U33" i="2"/>
  <c r="S47" i="11"/>
  <c r="S55" i="11" s="1"/>
  <c r="W55" i="11" s="1"/>
  <c r="W43" i="11"/>
  <c r="X43" i="11" s="1"/>
  <c r="Z12" i="11" s="1"/>
  <c r="J56" i="2" s="1"/>
  <c r="J57" i="2" s="1"/>
  <c r="W34" i="11"/>
  <c r="X34" i="11" s="1"/>
  <c r="Y12" i="11" s="1"/>
  <c r="J53" i="2" s="1"/>
  <c r="J54" i="2" s="1"/>
  <c r="W15" i="2"/>
  <c r="T16" i="11"/>
  <c r="V12" i="2"/>
  <c r="U67" i="2"/>
  <c r="B47" i="9" s="1"/>
  <c r="D47" i="9" s="1"/>
  <c r="W65" i="2"/>
  <c r="X65" i="2" s="1"/>
  <c r="V8" i="2"/>
  <c r="V16" i="2" s="1"/>
  <c r="X16" i="2" s="1"/>
  <c r="S47" i="2"/>
  <c r="S49" i="2" s="1"/>
  <c r="S36" i="2"/>
  <c r="T17" i="2"/>
  <c r="T21" i="2" s="1"/>
  <c r="V30" i="2"/>
  <c r="U30" i="2"/>
  <c r="T34" i="2"/>
  <c r="V31" i="2"/>
  <c r="V14" i="2"/>
  <c r="U14" i="2"/>
  <c r="W45" i="11" l="1"/>
  <c r="X45" i="11" s="1"/>
  <c r="Z14" i="11" s="1"/>
  <c r="L56" i="2" s="1"/>
  <c r="L57" i="2" s="1"/>
  <c r="W36" i="11"/>
  <c r="X36" i="11" s="1"/>
  <c r="Y14" i="11" s="1"/>
  <c r="L53" i="2" s="1"/>
  <c r="L54" i="2" s="1"/>
  <c r="W44" i="11"/>
  <c r="X44" i="11" s="1"/>
  <c r="Z13" i="11" s="1"/>
  <c r="K56" i="2" s="1"/>
  <c r="K57" i="2" s="1"/>
  <c r="W35" i="11"/>
  <c r="X35" i="11" s="1"/>
  <c r="Y13" i="11" s="1"/>
  <c r="K53" i="2" s="1"/>
  <c r="K54" i="2" s="1"/>
  <c r="W31" i="2"/>
  <c r="W33" i="2" s="1"/>
  <c r="W34" i="2" s="1"/>
  <c r="T47" i="11"/>
  <c r="V33" i="2"/>
  <c r="V34" i="2" s="1"/>
  <c r="W12" i="2"/>
  <c r="V67" i="2"/>
  <c r="B48" i="9" s="1"/>
  <c r="W8" i="2"/>
  <c r="T47" i="2"/>
  <c r="T49" i="2" s="1"/>
  <c r="X30" i="2"/>
  <c r="V17" i="2"/>
  <c r="V21" i="2" s="1"/>
  <c r="T36" i="2"/>
  <c r="U17" i="2"/>
  <c r="U21" i="2" s="1"/>
  <c r="U34" i="2"/>
  <c r="D48" i="9" l="1"/>
  <c r="D50" i="9" s="1"/>
  <c r="B50" i="9"/>
  <c r="X33" i="2"/>
  <c r="X57" i="2" s="1"/>
  <c r="W14" i="2"/>
  <c r="X14" i="2" s="1"/>
  <c r="X55" i="2" s="1"/>
  <c r="X58" i="2" s="1"/>
  <c r="X59" i="2" s="1"/>
  <c r="W67" i="2"/>
  <c r="W16" i="2"/>
  <c r="X8" i="2"/>
  <c r="E39" i="4" s="1"/>
  <c r="V47" i="2"/>
  <c r="U47" i="2"/>
  <c r="U49" i="2" s="1"/>
  <c r="V36" i="2"/>
  <c r="X17" i="2"/>
  <c r="X22" i="2" s="1"/>
  <c r="X34" i="2"/>
  <c r="U36" i="2"/>
  <c r="X67" i="2" l="1"/>
  <c r="X68" i="2" s="1"/>
  <c r="B49" i="9"/>
  <c r="D49" i="9" s="1"/>
  <c r="X66" i="2"/>
  <c r="W17" i="2"/>
  <c r="W21" i="2" s="1"/>
  <c r="X21" i="2" s="1"/>
  <c r="V49" i="2"/>
  <c r="W36" i="2" l="1"/>
  <c r="X36" i="2" s="1"/>
  <c r="W47" i="2"/>
  <c r="W49" i="2" s="1"/>
</calcChain>
</file>

<file path=xl/comments1.xml><?xml version="1.0" encoding="utf-8"?>
<comments xmlns="http://schemas.openxmlformats.org/spreadsheetml/2006/main">
  <authors>
    <author>KING Brian * EAM</author>
  </authors>
  <commentList>
    <comment ref="D3" authorId="0" shapeId="0">
      <text>
        <r>
          <rPr>
            <b/>
            <sz val="9"/>
            <color indexed="81"/>
            <rFont val="Tahoma"/>
            <family val="2"/>
          </rPr>
          <t>KING Brian * EAM:</t>
        </r>
        <r>
          <rPr>
            <sz val="9"/>
            <color indexed="81"/>
            <rFont val="Tahoma"/>
            <family val="2"/>
          </rPr>
          <t xml:space="preserve">
Used estimated electricity cost form charger tab and subtracted estimated kWh cost from EV phase in and ROI to prevent double counting of electricity cost</t>
        </r>
      </text>
    </comment>
  </commentList>
</comments>
</file>

<file path=xl/comments2.xml><?xml version="1.0" encoding="utf-8"?>
<comments xmlns="http://schemas.openxmlformats.org/spreadsheetml/2006/main">
  <authors>
    <author>KING Brian * EAM</author>
  </authors>
  <commentList>
    <comment ref="C27" authorId="0" shapeId="0">
      <text>
        <r>
          <rPr>
            <b/>
            <sz val="9"/>
            <color indexed="81"/>
            <rFont val="Tahoma"/>
            <family val="2"/>
          </rPr>
          <t>KING Brian * EAM:</t>
        </r>
        <r>
          <rPr>
            <sz val="9"/>
            <color indexed="81"/>
            <rFont val="Tahoma"/>
            <family val="2"/>
          </rPr>
          <t xml:space="preserve">
used MWh from 2017 data and total CH4 pounds from 2014 EPA eGRID data to estimate pounds/MWh</t>
        </r>
      </text>
    </comment>
  </commentList>
</comments>
</file>

<file path=xl/sharedStrings.xml><?xml version="1.0" encoding="utf-8"?>
<sst xmlns="http://schemas.openxmlformats.org/spreadsheetml/2006/main" count="605" uniqueCount="401">
  <si>
    <t>Total Vehicle Cost =</t>
  </si>
  <si>
    <t>Total kWh Cost =</t>
  </si>
  <si>
    <t>kWh Cost =</t>
  </si>
  <si>
    <t>% kWh Cost Increase/yr =</t>
  </si>
  <si>
    <t>% Veh. Cost Increase/yr =</t>
  </si>
  <si>
    <t>Total Fuel Cost =</t>
  </si>
  <si>
    <t>Gasoline Price=</t>
  </si>
  <si>
    <t>Total Gallons =</t>
  </si>
  <si>
    <t>MPG =</t>
  </si>
  <si>
    <t>Totals</t>
  </si>
  <si>
    <t>ICE</t>
  </si>
  <si>
    <t>* AFLEET Background Data!D426</t>
  </si>
  <si>
    <t xml:space="preserve"> Maintenance Cost/mi =</t>
  </si>
  <si>
    <t>Maintenance Cost/mile increase/yr**=</t>
  </si>
  <si>
    <t>**AFLEET Backgoud Data!J786</t>
  </si>
  <si>
    <t>ICE Vehicle Cost =</t>
  </si>
  <si>
    <t>DAS LD sedans 15-17 Bienium =</t>
  </si>
  <si>
    <t>DAS LD Sedan Purchase =</t>
  </si>
  <si>
    <t>Percent Plug-in Purchase =</t>
  </si>
  <si>
    <t>Target for State Sedan Replacements/Bi =</t>
  </si>
  <si>
    <t>Current LD Sedan Purchase Target/Yr =</t>
  </si>
  <si>
    <t>Total Plug-ins =</t>
  </si>
  <si>
    <t>Vehicle Purchases</t>
  </si>
  <si>
    <t>Gallons/MY Veh =</t>
  </si>
  <si>
    <t>Gallons/MY Fleet =</t>
  </si>
  <si>
    <t>Total ICE Cost =</t>
  </si>
  <si>
    <t>Miles/kWh Efficiency Increase =</t>
  </si>
  <si>
    <t>Total Fleet kWh =</t>
  </si>
  <si>
    <t>Annual kWh/MY Fleet =</t>
  </si>
  <si>
    <t>Kwh Cost =</t>
  </si>
  <si>
    <t xml:space="preserve"> Maintenance Cost BEV/mi =</t>
  </si>
  <si>
    <t>Maintenance Cost BEV/mile =</t>
  </si>
  <si>
    <t>Maintenance Cost PHEV/mile =</t>
  </si>
  <si>
    <t xml:space="preserve"> Maintenance Cost PHEV/mi =</t>
  </si>
  <si>
    <t>Total BEV Maintenance Cost =</t>
  </si>
  <si>
    <t>Total Fuel &amp; Maint. Costs =</t>
  </si>
  <si>
    <t>Total BEV Fuel &amp; Maint. Cost =</t>
  </si>
  <si>
    <t>BOLT BEV Cost =</t>
  </si>
  <si>
    <t xml:space="preserve">BEV </t>
  </si>
  <si>
    <t>EV Fuel and Maintenance Cost Savings =</t>
  </si>
  <si>
    <t>% BEV Cost Decrease 2020 =</t>
  </si>
  <si>
    <t>% BEV Cost Decrease/yr(except as noted below) =</t>
  </si>
  <si>
    <t>% BEV Cost Decrease 2022 =</t>
  </si>
  <si>
    <t>% BEV Cost Decrease 2024=</t>
  </si>
  <si>
    <t xml:space="preserve">Fleet Purchase  </t>
  </si>
  <si>
    <t>50 % Bolt =</t>
  </si>
  <si>
    <t>Leaf BEV Cost =</t>
  </si>
  <si>
    <t>50% Leaf =</t>
  </si>
  <si>
    <t xml:space="preserve">Total BEV Fleet Purchase = </t>
  </si>
  <si>
    <t>Vehicle Cost Difference =</t>
  </si>
  <si>
    <t>http://newsroom.aaa.com/tag/driving-cost-per-mile/</t>
  </si>
  <si>
    <t>Total ICE Maint. Cost =</t>
  </si>
  <si>
    <t>Total ICE Maint. Cost</t>
  </si>
  <si>
    <t>Total ICE Fuel Cost</t>
  </si>
  <si>
    <t>Total ICE Fuel &amp; Maint.</t>
  </si>
  <si>
    <t>Total ICE Vehicle Cost</t>
  </si>
  <si>
    <t>Total ICE Vehicle, Fuel &amp; Maint. Costs</t>
  </si>
  <si>
    <t>Total BEV Fuel Cost</t>
  </si>
  <si>
    <t>Total BEV Maint. Cost</t>
  </si>
  <si>
    <t>Total BEV Fuel &amp; Maint. Cost</t>
  </si>
  <si>
    <t>Total BEV Vehicle Cost</t>
  </si>
  <si>
    <t>BEV Fuel Cost Savings</t>
  </si>
  <si>
    <t>BEV vs ICE Cumlative Difference Total =</t>
  </si>
  <si>
    <t>Fuel &amp; Maint. Savings =</t>
  </si>
  <si>
    <t>Total BEV Veh. Cost Differential From ICE</t>
  </si>
  <si>
    <t>Source: NADA Guides, ARK Investment Management LLC</t>
  </si>
  <si>
    <t>Bloomberg</t>
  </si>
  <si>
    <t>https://www.bloomberg.com/news/articles/2017-05-26/electric-cars-seen-cheaper-than-gasoline-models-within-a-decade</t>
  </si>
  <si>
    <t>2016 to 2019</t>
  </si>
  <si>
    <t>Increase ICE</t>
  </si>
  <si>
    <t>2019 to 2022</t>
  </si>
  <si>
    <t>2022 to 2025</t>
  </si>
  <si>
    <t>Fleet vehicles will still be less expensive as they are generally about $ 3,500 less expensive today than consumer vehicles</t>
  </si>
  <si>
    <t>CO</t>
  </si>
  <si>
    <t>Nox</t>
  </si>
  <si>
    <t>PM10</t>
  </si>
  <si>
    <t>PM2.5</t>
  </si>
  <si>
    <t>VOC</t>
  </si>
  <si>
    <t>Sox</t>
  </si>
  <si>
    <t xml:space="preserve">AFLEET LD Passenger ICE Annual Air Pollutants </t>
  </si>
  <si>
    <t>lbs, I Veh</t>
  </si>
  <si>
    <t xml:space="preserve"> Externality Costs</t>
  </si>
  <si>
    <t>Annual Air Pollutant</t>
  </si>
  <si>
    <t>Total</t>
  </si>
  <si>
    <t>Total ICE Air Pollutant Externality Costs</t>
  </si>
  <si>
    <t>https://ac.els-cdn.com/S2352146516305944/1-s2.0-S2352146516305944-main.pdf?_tid=a7dd7b44-11b5-11e8-88e2-00000aacb35d&amp;acdnat=1518633442_eff53f698c197024c3815f397f397064</t>
  </si>
  <si>
    <t>www.ce.utexas.edu/prof/kockelman/public_html/TRB08VehicleExternalities.pdf</t>
  </si>
  <si>
    <t>Table 2: External Cost Estimates by Vehicle Make and Model, per Mile Driven</t>
  </si>
  <si>
    <t>Veh Type</t>
  </si>
  <si>
    <t>Make &amp; Model</t>
  </si>
  <si>
    <t>GHG $</t>
  </si>
  <si>
    <t>Health</t>
  </si>
  <si>
    <t>Pickup</t>
  </si>
  <si>
    <t>F150</t>
  </si>
  <si>
    <t>Mid Size Car</t>
  </si>
  <si>
    <t>Taurus</t>
  </si>
  <si>
    <t>Project External Health Costs =</t>
  </si>
  <si>
    <t>From 2008 U of Texas Report</t>
  </si>
  <si>
    <r>
      <t>1,640.7 lbs CO</t>
    </r>
    <r>
      <rPr>
        <b/>
        <vertAlign val="subscript"/>
        <sz val="11"/>
        <color theme="1"/>
        <rFont val="Calibri"/>
        <family val="2"/>
        <scheme val="minor"/>
      </rPr>
      <t>2</t>
    </r>
    <r>
      <rPr>
        <b/>
        <sz val="11"/>
        <color theme="1"/>
        <rFont val="Calibri"/>
        <family val="2"/>
        <scheme val="minor"/>
      </rPr>
      <t>/MWh × (4.536 × 10</t>
    </r>
    <r>
      <rPr>
        <b/>
        <vertAlign val="superscript"/>
        <sz val="11"/>
        <color theme="1"/>
        <rFont val="Calibri"/>
        <family val="2"/>
        <scheme val="minor"/>
      </rPr>
      <t>-4</t>
    </r>
    <r>
      <rPr>
        <b/>
        <sz val="11"/>
        <color theme="1"/>
        <rFont val="Calibri"/>
        <family val="2"/>
        <scheme val="minor"/>
      </rPr>
      <t xml:space="preserve"> metric tons/lb) × 0.001 MWh/kWh = 7.44 × 10</t>
    </r>
    <r>
      <rPr>
        <b/>
        <vertAlign val="superscript"/>
        <sz val="11"/>
        <color theme="1"/>
        <rFont val="Calibri"/>
        <family val="2"/>
        <scheme val="minor"/>
      </rPr>
      <t>-4</t>
    </r>
    <r>
      <rPr>
        <b/>
        <sz val="11"/>
        <color theme="1"/>
        <rFont val="Calibri"/>
        <family val="2"/>
        <scheme val="minor"/>
      </rPr>
      <t xml:space="preserve"> metric tons CO</t>
    </r>
    <r>
      <rPr>
        <b/>
        <vertAlign val="subscript"/>
        <sz val="11"/>
        <color theme="1"/>
        <rFont val="Calibri"/>
        <family val="2"/>
        <scheme val="minor"/>
      </rPr>
      <t>2</t>
    </r>
    <r>
      <rPr>
        <b/>
        <sz val="11"/>
        <color theme="1"/>
        <rFont val="Calibri"/>
        <family val="2"/>
        <scheme val="minor"/>
      </rPr>
      <t>/kWh</t>
    </r>
  </si>
  <si>
    <r>
      <t>8,887 grams of CO</t>
    </r>
    <r>
      <rPr>
        <b/>
        <vertAlign val="subscript"/>
        <sz val="11"/>
        <color theme="1"/>
        <rFont val="Calibri"/>
        <family val="2"/>
        <scheme val="minor"/>
      </rPr>
      <t>2</t>
    </r>
    <r>
      <rPr>
        <b/>
        <sz val="11"/>
        <color theme="1"/>
        <rFont val="Calibri"/>
        <family val="2"/>
        <scheme val="minor"/>
      </rPr>
      <t>/gallon of gasoline = 8.887 × 10</t>
    </r>
    <r>
      <rPr>
        <b/>
        <vertAlign val="superscript"/>
        <sz val="11"/>
        <color theme="1"/>
        <rFont val="Calibri"/>
        <family val="2"/>
        <scheme val="minor"/>
      </rPr>
      <t>-3</t>
    </r>
    <r>
      <rPr>
        <b/>
        <sz val="11"/>
        <color theme="1"/>
        <rFont val="Calibri"/>
        <family val="2"/>
        <scheme val="minor"/>
      </rPr>
      <t xml:space="preserve"> metric tons CO</t>
    </r>
    <r>
      <rPr>
        <b/>
        <vertAlign val="subscript"/>
        <sz val="11"/>
        <color theme="1"/>
        <rFont val="Calibri"/>
        <family val="2"/>
        <scheme val="minor"/>
      </rPr>
      <t>2</t>
    </r>
    <r>
      <rPr>
        <b/>
        <sz val="11"/>
        <color theme="1"/>
        <rFont val="Calibri"/>
        <family val="2"/>
        <scheme val="minor"/>
      </rPr>
      <t>/gallon of gasoline</t>
    </r>
  </si>
  <si>
    <t>https://www.epa.gov/energy/greenhouse-gases-equivalencies-calculator-calculations-and-references</t>
  </si>
  <si>
    <t>https://www.epa.gov/sites/production/files/2015-07/documents/emission-factors_2014.pdf</t>
  </si>
  <si>
    <t>gCH4/gal</t>
  </si>
  <si>
    <t>gN2O/gal</t>
  </si>
  <si>
    <t>kgCO2/gal</t>
  </si>
  <si>
    <t>1 metric ton = 2204.62 pounds</t>
  </si>
  <si>
    <t>2 metric ton = 1,000,000 grams</t>
  </si>
  <si>
    <t>1 metric ton = 1,000 kilograms</t>
  </si>
  <si>
    <t>1 gram = .00220462 pounds</t>
  </si>
  <si>
    <t>pounds CH4/gal</t>
  </si>
  <si>
    <t>pounds N2O/gal</t>
  </si>
  <si>
    <t>pounds CO2/MWh</t>
  </si>
  <si>
    <t>1MWh = 1000 kWh</t>
  </si>
  <si>
    <t>pounds N2O/MWh</t>
  </si>
  <si>
    <t>from EPA data for Oregon</t>
  </si>
  <si>
    <t>pounds CH4/ MWh</t>
  </si>
  <si>
    <t>https://www.eia.gov/electricity/state/oregon/</t>
  </si>
  <si>
    <t>pounds SO2/MWh</t>
  </si>
  <si>
    <t>2016 data</t>
  </si>
  <si>
    <t>Gasoline</t>
  </si>
  <si>
    <t>Electricity power generation factors for Oregon</t>
  </si>
  <si>
    <t>17.6 pounds of CO2 per gallon of E10</t>
  </si>
  <si>
    <t>Per kWh</t>
  </si>
  <si>
    <t>2014/2016 data</t>
  </si>
  <si>
    <t>Biennium costs</t>
  </si>
  <si>
    <t>2017-19</t>
  </si>
  <si>
    <t>2019-21</t>
  </si>
  <si>
    <t>2021-23</t>
  </si>
  <si>
    <t>2023-25</t>
  </si>
  <si>
    <t>Updated February 2018</t>
  </si>
  <si>
    <t>cost/kWh</t>
  </si>
  <si>
    <t>Est kWh/chrger/yr</t>
  </si>
  <si>
    <t>Cummulative chargers in use</t>
  </si>
  <si>
    <t>total kWh</t>
  </si>
  <si>
    <t>Electricity cost total</t>
  </si>
  <si>
    <t>Install cost/charger</t>
  </si>
  <si>
    <t>Chargers installed/yr</t>
  </si>
  <si>
    <t>Install Cost Total</t>
  </si>
  <si>
    <t>Estimated total EV Charger Infrastructure costs</t>
  </si>
  <si>
    <t>17-19</t>
  </si>
  <si>
    <t>19-21</t>
  </si>
  <si>
    <t>21-23</t>
  </si>
  <si>
    <t>23-25</t>
  </si>
  <si>
    <t>Year</t>
  </si>
  <si>
    <t>Estimated purchase cost and operational cost differential between EV's and ICE's</t>
  </si>
  <si>
    <t>Year totals</t>
  </si>
  <si>
    <t>EV Infrastructure</t>
  </si>
  <si>
    <t>EV Purchase and Operation</t>
  </si>
  <si>
    <t>Estimated GHG Reduction</t>
  </si>
  <si>
    <t>totals</t>
  </si>
  <si>
    <t>GHG Impacts</t>
  </si>
  <si>
    <t>EV Vehicle and Infrastructure Impacts</t>
  </si>
  <si>
    <t>Cost for employee and visitor infrastructure costs will also be mostly recovered but over 10 to 20 years so the full installation cost is accounted for in each year the installation occurs</t>
  </si>
  <si>
    <r>
      <rPr>
        <b/>
        <u/>
        <sz val="11"/>
        <color theme="1"/>
        <rFont val="Calibri"/>
        <family val="2"/>
        <scheme val="minor"/>
      </rPr>
      <t>Note!</t>
    </r>
    <r>
      <rPr>
        <sz val="11"/>
        <color theme="1"/>
        <rFont val="Calibri"/>
        <family val="2"/>
        <scheme val="minor"/>
      </rPr>
      <t xml:space="preserve"> Estimated that all of electricity cost for employee and visitor chargers will be recovered through fees to end users. </t>
    </r>
  </si>
  <si>
    <t xml:space="preserve">However, those fees will come in as a revenue. Therefore, all the cost for electricity supplied to employees and visitors needs to be counted as an expenditure in agency budgets </t>
  </si>
  <si>
    <t>even though  total costs will ultimately be offset by revenue collected</t>
  </si>
  <si>
    <t>State EV's purchased per year</t>
  </si>
  <si>
    <t>Charger and installation cost total</t>
  </si>
  <si>
    <t>Estimated employee, visitor, and state vehicle chargers installed/yr</t>
  </si>
  <si>
    <t>ref2018.d121317a</t>
  </si>
  <si>
    <t>Report</t>
  </si>
  <si>
    <t>Annual Energy Outlook 2018</t>
  </si>
  <si>
    <t>Scenario</t>
  </si>
  <si>
    <t>ref2018</t>
  </si>
  <si>
    <t>Reference case</t>
  </si>
  <si>
    <t>Datekey</t>
  </si>
  <si>
    <t>d121317a</t>
  </si>
  <si>
    <t>Release Date</t>
  </si>
  <si>
    <t>3. Energy Prices by Sector and Source</t>
  </si>
  <si>
    <t>(2017 dollars per million Btu, unless otherwise noted)</t>
  </si>
  <si>
    <t/>
  </si>
  <si>
    <t>2017-</t>
  </si>
  <si>
    <t xml:space="preserve"> Sector and Source</t>
  </si>
  <si>
    <t xml:space="preserve"> Transportation</t>
  </si>
  <si>
    <t xml:space="preserve">   Propane</t>
  </si>
  <si>
    <t xml:space="preserve">   E85 3/</t>
  </si>
  <si>
    <t xml:space="preserve">   Motor Gasoline 4/</t>
  </si>
  <si>
    <t xml:space="preserve">   Jet Fuel 5/</t>
  </si>
  <si>
    <t xml:space="preserve">   Diesel Fuel (distillate fuel oil) 6/</t>
  </si>
  <si>
    <t xml:space="preserve">   Residual Fuel Oil</t>
  </si>
  <si>
    <t xml:space="preserve">   Natural Gas 7/</t>
  </si>
  <si>
    <t xml:space="preserve">   Electricity</t>
  </si>
  <si>
    <t xml:space="preserve"> https://www.eia.gov/outlooks/aeo/</t>
  </si>
  <si>
    <t>E10 Btu =</t>
  </si>
  <si>
    <t>Gallons/1,000,000 btu =</t>
  </si>
  <si>
    <t>$/gallon =</t>
  </si>
  <si>
    <t>Total VMT</t>
  </si>
  <si>
    <t>Total Year VMT =</t>
  </si>
  <si>
    <t>Bolt kWh/mile =</t>
  </si>
  <si>
    <t>Leaf kWh/mile =</t>
  </si>
  <si>
    <t>Bolt Annual kWh/Veh MY =</t>
  </si>
  <si>
    <t>Leaf Annual kWh/Veh MY =</t>
  </si>
  <si>
    <t>Total Fuel &amp; Maintenance Savings</t>
  </si>
  <si>
    <t>Projected Annual Veh. Purchases =</t>
  </si>
  <si>
    <t>New Plug-in Purchases (St. Fis. Yr) =</t>
  </si>
  <si>
    <t>Total GHG Emissions ICE =</t>
  </si>
  <si>
    <t>Carbon Intensity Gasoline, E10 =</t>
  </si>
  <si>
    <t>lbs. CO2e/GGE</t>
  </si>
  <si>
    <t>Total New  Purchase Veh. VMT Year =</t>
  </si>
  <si>
    <t>Total Vehicle Cost Difference</t>
  </si>
  <si>
    <t>BEV Maintenance Savings</t>
  </si>
  <si>
    <t>BEV Maint. &amp; Fuel Savings</t>
  </si>
  <si>
    <t>BEV Project Savings</t>
  </si>
  <si>
    <t>Annual VMT</t>
  </si>
  <si>
    <t>year vehicle life</t>
  </si>
  <si>
    <t>MY Bolt Cost Difference =</t>
  </si>
  <si>
    <t>MY Leaf Cost Difference =</t>
  </si>
  <si>
    <t>10 Year Fuel &amp; Maint Savings =</t>
  </si>
  <si>
    <t>Fuel $/gal</t>
  </si>
  <si>
    <t>gallons</t>
  </si>
  <si>
    <t>Total Fuel</t>
  </si>
  <si>
    <t>Model Year</t>
  </si>
  <si>
    <t>ICE Maint/mi</t>
  </si>
  <si>
    <t>Annual VMT =</t>
  </si>
  <si>
    <t>MY</t>
  </si>
  <si>
    <t>10 year F&amp;M</t>
  </si>
  <si>
    <t>$/kWh</t>
  </si>
  <si>
    <t>Bolt kWh/yr</t>
  </si>
  <si>
    <t>Leaf kWh/yr</t>
  </si>
  <si>
    <t>BEV Maint./mi</t>
  </si>
  <si>
    <t>Bolt Savings</t>
  </si>
  <si>
    <t>Leaf Savings</t>
  </si>
  <si>
    <t>Maintenance</t>
  </si>
  <si>
    <t>Bolt</t>
  </si>
  <si>
    <t>Leaf</t>
  </si>
  <si>
    <t>BEV Maint.</t>
  </si>
  <si>
    <t>Bolt Fuel</t>
  </si>
  <si>
    <t xml:space="preserve"> Bolt Life-Cycle Cost Difference =</t>
  </si>
  <si>
    <t>Leaf Life-Cycle Cost Difference =</t>
  </si>
  <si>
    <t>2018 CFP Averaged Carbon Intensity of OR Electricity =</t>
  </si>
  <si>
    <t>gCO2e/MJ</t>
  </si>
  <si>
    <t>lbCO2e/kWh</t>
  </si>
  <si>
    <t>lbsCO2e</t>
  </si>
  <si>
    <t>MTCO2e</t>
  </si>
  <si>
    <t>Electricity cost total for employee and visitor only- state vehicle electricity costs are accounted for in column F</t>
  </si>
  <si>
    <t>550 Building charger sees a high of 500kWh/month of use = 6000 kWh/yr</t>
  </si>
  <si>
    <t>Lifecycle GHG Impacts</t>
  </si>
  <si>
    <t>Estimated EV GHG emissions (lbCO2e/kWh)</t>
  </si>
  <si>
    <t>Estimated ICE GHG emissions (lbs. CO2e/GGE)</t>
  </si>
  <si>
    <t>Estimated EV GHG emissions (lbs. CO2e/kWh)</t>
  </si>
  <si>
    <t>Estimated GHG Reduction (lbs. CO2e)</t>
  </si>
  <si>
    <t>Cummulative Chargers in use</t>
  </si>
  <si>
    <t>Cummulative state EV's in use</t>
  </si>
  <si>
    <t>Estimated biennium EV related total additional expenditures</t>
  </si>
  <si>
    <t>EIA</t>
  </si>
  <si>
    <t>https://www.eia.gov/outlooks/aeo/pdf/appa.pdf</t>
  </si>
  <si>
    <t>Includes energy for combined heat and power plants that have a non-regulatory status, and small on-site generating systems.</t>
  </si>
  <si>
    <r>
      <t>2</t>
    </r>
    <r>
      <rPr>
        <sz val="9"/>
        <color theme="1"/>
        <rFont val="Calibri"/>
        <family val="2"/>
        <scheme val="minor"/>
      </rPr>
      <t xml:space="preserve"> Excludes use for lease and plant fuel and fuel used for liquefaction in export facilities.</t>
    </r>
  </si>
  <si>
    <r>
      <t>3</t>
    </r>
    <r>
      <rPr>
        <sz val="9"/>
        <color theme="1"/>
        <rFont val="Calibri"/>
        <family val="2"/>
        <scheme val="minor"/>
      </rPr>
      <t xml:space="preserve"> E85 refers to a blend of 85 percent ethanol (renewable) and 15 percent motor gasoline (nonrenewable). To address cold starting issues,</t>
    </r>
  </si>
  <si>
    <t>the percentage of ethanol varies seasonally. The annual average ethanol content of 74 percent is used for these projections.</t>
  </si>
  <si>
    <r>
      <t>4</t>
    </r>
    <r>
      <rPr>
        <sz val="9"/>
        <color theme="1"/>
        <rFont val="Calibri"/>
        <family val="2"/>
        <scheme val="minor"/>
      </rPr>
      <t xml:space="preserve"> Sales weighted-average price for all grades. Includes Federal, State, and local taxes.</t>
    </r>
  </si>
  <si>
    <r>
      <t>5</t>
    </r>
    <r>
      <rPr>
        <sz val="9"/>
        <color theme="1"/>
        <rFont val="Calibri"/>
        <family val="2"/>
        <scheme val="minor"/>
      </rPr>
      <t xml:space="preserve"> Kerosene-type jet fuel. Includes Federal and State taxes while excluding county and local taxes.</t>
    </r>
  </si>
  <si>
    <r>
      <t>6</t>
    </r>
    <r>
      <rPr>
        <sz val="9"/>
        <color theme="1"/>
        <rFont val="Calibri"/>
        <family val="2"/>
        <scheme val="minor"/>
      </rPr>
      <t xml:space="preserve"> Diesel fuel for on-road use. Includes Federal and State taxes while excluding county and local taxes.</t>
    </r>
  </si>
  <si>
    <r>
      <t>7</t>
    </r>
    <r>
      <rPr>
        <sz val="9"/>
        <color theme="1"/>
        <rFont val="Calibri"/>
        <family val="2"/>
        <scheme val="minor"/>
      </rPr>
      <t xml:space="preserve"> Natural gas used as fuel in motor vehicles, trains, and ships. Price includes estimated motor vehicle fuel taxes</t>
    </r>
  </si>
  <si>
    <t>and estimated dispensing costs or charges.</t>
  </si>
  <si>
    <r>
      <t>8</t>
    </r>
    <r>
      <rPr>
        <sz val="9"/>
        <color theme="1"/>
        <rFont val="Calibri"/>
        <family val="2"/>
        <scheme val="minor"/>
      </rPr>
      <t xml:space="preserve"> Includes electricity-only and combined heat and power plants that have a regulatory status.</t>
    </r>
  </si>
  <si>
    <r>
      <t>9</t>
    </r>
    <r>
      <rPr>
        <sz val="9"/>
        <color theme="1"/>
        <rFont val="Calibri"/>
        <family val="2"/>
        <scheme val="minor"/>
      </rPr>
      <t xml:space="preserve"> Weighted averages of end-use fuel prices are derived from the prices shown in each sector and the corresponding sectoral consumption.</t>
    </r>
  </si>
  <si>
    <t>Btu = British thermal unit.</t>
  </si>
  <si>
    <t>- - = Not applicable.</t>
  </si>
  <si>
    <t>Note: Data for 2017 are model results and may differ from official EIA data reports.</t>
  </si>
  <si>
    <t>Sources: 2017 prices for motor gasoline, distillate fuel oil, and jet fuel are based on prices in the</t>
  </si>
  <si>
    <t>U.S. Energy Information Administration (EIA), Petroleum Marketing Monthly, July 2018. 2017 residential and commercial</t>
  </si>
  <si>
    <t>natural gas delivered prices: EIA, Natural Gas Annual 2017. 2017 industrial natural gas delivered prices</t>
  </si>
  <si>
    <t>based on: EIA, Manufacturing Energy Consumption Survey, 2002-2014. 2017 transportation sector</t>
  </si>
  <si>
    <t>natural gas delivered prices derived from: U.S. Department of Energy, Clean Cities Alternative Fuel Price Report. 2017</t>
  </si>
  <si>
    <t>electric power sector distillate and residual fuel oil prices: EIA, Monthly Energy Review, September 2018. 2017 electric</t>
  </si>
  <si>
    <t>power sector natural gas prices derived from: EIA, Electric Power Monthly, July 2018, Table 4.13.B. 2017 coal prices based on:</t>
  </si>
  <si>
    <t>EIA, Quarterly Coal Report, October-December 2017 and EIA, AEO2019 National Energy Modeling System.</t>
  </si>
  <si>
    <t>2017 electricity prices: EIA, Monthly Energy Review, September 2018. 2017 E85 prices</t>
  </si>
  <si>
    <t>derived from: U.S. Department of Energy, Clean Cities Alternative Fuel Price Report.</t>
  </si>
  <si>
    <t>2018: EIA, Short-Term Energy Outlook, October 2018 and EIA, AEO2019 National Energy Modeling System.</t>
  </si>
  <si>
    <t>Projections: EIA, AEO2019 National Energy Modeling System.</t>
  </si>
  <si>
    <t>CANCEL</t>
  </si>
  <si>
    <t>Publications</t>
  </si>
  <si>
    <t>Annual Energy Outlook 2019</t>
  </si>
  <si>
    <t>Annual Energy Outlook 2017</t>
  </si>
  <si>
    <t>International Energy Outlook 2017</t>
  </si>
  <si>
    <t>Annual Energy Outlook 2016</t>
  </si>
  <si>
    <t>Annual Energy Outlook 2015</t>
  </si>
  <si>
    <t>International Energy Outlook 2016</t>
  </si>
  <si>
    <t>Effects of Removing Restrictions on U.S. Crude Oil Exports</t>
  </si>
  <si>
    <t>Analysis of the Impacts of the Clean Power Plan</t>
  </si>
  <si>
    <t>Annual Energy Outlook 2014</t>
  </si>
  <si>
    <t>Effect of Increased LNG Exports on U.S. Energy Markets</t>
  </si>
  <si>
    <t>International Energy Outlook 2014</t>
  </si>
  <si>
    <t>Annual Energy Outlook 2014 Early Release</t>
  </si>
  <si>
    <t>Annual Energy Outlook 2013</t>
  </si>
  <si>
    <t>International Energy Outlook 2013</t>
  </si>
  <si>
    <t>Annual Energy Outlook 2013 Supplement</t>
  </si>
  <si>
    <t>Annual Energy Outlook 2013 Early Release</t>
  </si>
  <si>
    <t>Annual Energy Outlook 2012</t>
  </si>
  <si>
    <t>Annual Energy Outlook 2012 Early Release</t>
  </si>
  <si>
    <t>Analysis of Impacts of the Clean Energy Standard Act of 2012</t>
  </si>
  <si>
    <t>Annual Energy Outlook 2011</t>
  </si>
  <si>
    <t>Effect of Increased Natural Gas Exports on Domestic Energy Markets</t>
  </si>
  <si>
    <t>Analysis of Impacts of a CES - Hall</t>
  </si>
  <si>
    <t>Analysis of Impacts of a CES - Bingaman</t>
  </si>
  <si>
    <t>International Energy Outlook 2011</t>
  </si>
  <si>
    <t>Energy Market and Economic Impacts of the American Power Act of 2010</t>
  </si>
  <si>
    <t>Annual Energy Outlook 2010</t>
  </si>
  <si>
    <t>Tables</t>
  </si>
  <si>
    <r>
      <t xml:space="preserve">Browse: </t>
    </r>
    <r>
      <rPr>
        <b/>
        <sz val="12"/>
        <color theme="1"/>
        <rFont val="Arial"/>
        <family val="2"/>
      </rPr>
      <t>By Subject</t>
    </r>
    <r>
      <rPr>
        <b/>
        <sz val="8"/>
        <color theme="1"/>
        <rFont val="Arial"/>
        <family val="2"/>
      </rPr>
      <t xml:space="preserve"> | All Tables</t>
    </r>
  </si>
  <si>
    <t>Market Overview and Cross-Cutting Topics</t>
  </si>
  <si>
    <t>Total Energy Supply, Disposition, and Price Summary</t>
  </si>
  <si>
    <t>Energy Consumption by Sector and Source</t>
  </si>
  <si>
    <t>Energy Prices by Sector and Source</t>
  </si>
  <si>
    <t>Energy-Related Carbon Dioxide Emissions by Sector and Source</t>
  </si>
  <si>
    <t>Macroeconomic Indicators</t>
  </si>
  <si>
    <t>International Petroleum and Other Liquids Supply, Disposition, and Prices</t>
  </si>
  <si>
    <t>Conversion Factors</t>
  </si>
  <si>
    <t>Employment and Shipments by Industry, and Income and Employment by Region</t>
  </si>
  <si>
    <t>Energy Consumption</t>
  </si>
  <si>
    <t>Residential Sector Key Indicators and Consumption</t>
  </si>
  <si>
    <t>Commercial Sector Key Indicators and Consumption</t>
  </si>
  <si>
    <t>Industrial Sector Key Indicators and Consumption</t>
  </si>
  <si>
    <t>Transportation Sector Key Indicators and Delivered Energy Consumption</t>
  </si>
  <si>
    <t>Renewable Energy Consumption by Sector and Source</t>
  </si>
  <si>
    <t>Petroleum and Other Liquids Supply and Disposition</t>
  </si>
  <si>
    <t>Natural Gas Supply, Disposition, and Prices</t>
  </si>
  <si>
    <t>Coal Supply, Disposition, and Prices</t>
  </si>
  <si>
    <t>Commercial Sector Energy Consumption, Floorspace, and Equipment Efficiency, and Distributed Generation</t>
  </si>
  <si>
    <t>Refining Industry Energy Consumption</t>
  </si>
  <si>
    <t>Food Industry Energy Consumption</t>
  </si>
  <si>
    <t>Paper Industry Energy Consumption</t>
  </si>
  <si>
    <t>Bulk Chemical Industry Energy Consumption</t>
  </si>
  <si>
    <t>Glass Industry Energy Consumption</t>
  </si>
  <si>
    <t>Cement and Lime Industry Energy Consumption</t>
  </si>
  <si>
    <t>Iron and Steel Industry Energy Consumption</t>
  </si>
  <si>
    <t>Aluminum Industry Energy Consumption</t>
  </si>
  <si>
    <t>Metal Based Durables Industry Energy Consumption</t>
  </si>
  <si>
    <t>Other Manufacturing Industry Energy Consumption</t>
  </si>
  <si>
    <t>Nonmanufacturing Sector Energy Consumption</t>
  </si>
  <si>
    <t>Transportation Sector Energy Use by Mode and Type</t>
  </si>
  <si>
    <t>Transportation Sector Energy Use by Fuel Type Within a Mode</t>
  </si>
  <si>
    <t>Light-Duty Vehicle Energy Consumption by Technology Type and Fuel Type</t>
  </si>
  <si>
    <t>Transportation Fleet Car and Truck Fuel Consumption by Type and Technology</t>
  </si>
  <si>
    <t>Air Travel Energy Use</t>
  </si>
  <si>
    <t>Freight Transportation Energy Use</t>
  </si>
  <si>
    <t>Renewable Energy Generation by Fuel</t>
  </si>
  <si>
    <t>Natural Gas Consumption by End-Use Sector and Census Division</t>
  </si>
  <si>
    <t>Energy Prices</t>
  </si>
  <si>
    <t>Electricity Supply, Disposition, Prices, and Emissions</t>
  </si>
  <si>
    <t>Petroleum and Other Liquids Prices</t>
  </si>
  <si>
    <t>Electric Power Projections by Electricity Market Module Region</t>
  </si>
  <si>
    <t>Components of Selected Petroleum Product Prices</t>
  </si>
  <si>
    <t>Lower 48 Crude Oil Production and Wellhead Prices by Supply Region</t>
  </si>
  <si>
    <t>Lower 48 Natural Gas Production and Supply Prices by Supply Region</t>
  </si>
  <si>
    <t>Natural Gas Delivered Prices by End-Use Sector and Census Division</t>
  </si>
  <si>
    <t>Natural Gas Imports and Exports</t>
  </si>
  <si>
    <t>Coal Production and Minemouth Prices by Region</t>
  </si>
  <si>
    <t>Coal Minemouth Prices by Region and Type</t>
  </si>
  <si>
    <t>Oil and Gas Supply</t>
  </si>
  <si>
    <t>Environmental and Emissions</t>
  </si>
  <si>
    <t>Energy-Related Carbon Dioxide Emissions by End Use</t>
  </si>
  <si>
    <t>Macroeconomic</t>
  </si>
  <si>
    <t>Industrial Sector Macroeconomic Indicators</t>
  </si>
  <si>
    <t>Electric Power Sector</t>
  </si>
  <si>
    <t>Electricity Generating Capacity</t>
  </si>
  <si>
    <t>Electricity Generation by Electricity Market Module Region and Source</t>
  </si>
  <si>
    <t>Electricity Generation Capacity by Electricity Market Module Region and Source</t>
  </si>
  <si>
    <t>Renewable Energy Generating Capacity and Generation</t>
  </si>
  <si>
    <t>Electricity Trade</t>
  </si>
  <si>
    <t>Coal Supply and Prices</t>
  </si>
  <si>
    <t>Coal Production by Region and Type</t>
  </si>
  <si>
    <t>World Steam Coal Flows By Importing Regions and Exporting Countries</t>
  </si>
  <si>
    <t>World Metallurgical Coal Flows By Importing Regions and Exporting Countries</t>
  </si>
  <si>
    <t>World Total Coal Flows By Importing Regions and Exporting Countries</t>
  </si>
  <si>
    <t>Liquids and Natural Gas Supply and Prices</t>
  </si>
  <si>
    <t>Primary Natural Gas Flows Entering Natural Gas Market Module Region from Neighboring Regions</t>
  </si>
  <si>
    <t>Liquids Refining and Prices</t>
  </si>
  <si>
    <t>Renewable Energy</t>
  </si>
  <si>
    <t>International</t>
  </si>
  <si>
    <t>Aircraft Stock</t>
  </si>
  <si>
    <t>Residential Sector</t>
  </si>
  <si>
    <t>Residential Sector Equipment Stock and Efficiency, and Distributed Generation</t>
  </si>
  <si>
    <t>Commercial Sector</t>
  </si>
  <si>
    <t>Industrial Sector</t>
  </si>
  <si>
    <t>Transportation Sector</t>
  </si>
  <si>
    <t>Light-Duty Vehicle Sales by Technology Type</t>
  </si>
  <si>
    <t>Light-Duty Vehicle Stock by Technology Type</t>
  </si>
  <si>
    <t>Light-Duty Vehicle Miles per Gallon by Technology Type</t>
  </si>
  <si>
    <t>Light-Duty Vehicle Miles Traveled by Technology Type</t>
  </si>
  <si>
    <t>Summary of New Light-Duty Vehicle Size Class Attributes</t>
  </si>
  <si>
    <t>Transportation Fleet Car and Truck Sales by Type and Technology</t>
  </si>
  <si>
    <t>Transportation Fleet Car and Truck Stock by Type and Technology</t>
  </si>
  <si>
    <t>Transportation Fleet Car and Truck Vehicle Miles Traveled by Type and Technology</t>
  </si>
  <si>
    <t>Technology Market Penetration in Light-Duty Vehicles</t>
  </si>
  <si>
    <t>New Light-Duty Vehicle Fuel Economy</t>
  </si>
  <si>
    <t>New Light-Duty Vehicle Prices</t>
  </si>
  <si>
    <t>New Light-Duty Vehicle Range</t>
  </si>
  <si>
    <t>Region-Specific Table Versions Available</t>
  </si>
  <si>
    <t>Regional Details in a Single Table</t>
  </si>
  <si>
    <r>
      <t xml:space="preserve"> </t>
    </r>
    <r>
      <rPr>
        <sz val="11"/>
        <rFont val="Calibri"/>
        <family val="2"/>
        <scheme val="minor"/>
      </rPr>
      <t>Fuel Cost 2019 AEO</t>
    </r>
    <r>
      <rPr>
        <u/>
        <sz val="11"/>
        <color theme="10"/>
        <rFont val="Calibri"/>
        <family val="2"/>
        <scheme val="minor"/>
      </rPr>
      <t xml:space="preserve"> https://www.eia.gov/outlooks/aeo</t>
    </r>
  </si>
  <si>
    <t xml:space="preserve"> February 2019</t>
  </si>
  <si>
    <t>https://www.eia.gov/outlooks/aeo/data/browser/#/?id=3-AEO2019&amp;region=1-0&amp;cases=ref2019&amp;start=2017&amp;end=2050&amp;f=A&amp;linechart=ref2019-d111618a.3-3-AEO2019.1-0~ref2019-d111618a.28-3-AEO2019.1-0&amp;map=ref2019-d111618a.4-3-AEO2019.1-0&amp;ctype=linechart&amp;sourcekey=0</t>
  </si>
  <si>
    <t>DEQ Btu Gasoline =</t>
  </si>
  <si>
    <t>LPG to gge =</t>
  </si>
  <si>
    <t>Btu LPG =</t>
  </si>
  <si>
    <t>Biennium totals (lbsCO2e)</t>
  </si>
  <si>
    <t>Biennium Totals (MTCo2e)</t>
  </si>
  <si>
    <t>Sedan Average VMT/Year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</si>
</sst>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_(&quot;$&quot;* #,##0.000_);_(&quot;$&quot;* \(#,##0.000\);_(&quot;$&quot;* &quot;-&quot;??_);_(@_)"/>
    <numFmt numFmtId="168" formatCode="_(&quot;$&quot;* #,##0.0000_);_(&quot;$&quot;* \(#,##0.0000\);_(&quot;$&quot;* &quot;-&quot;??_);_(@_)"/>
    <numFmt numFmtId="169" formatCode="&quot;$&quot;#,##0.000_);[Red]\(&quot;$&quot;#,##0.000\)"/>
    <numFmt numFmtId="170" formatCode="0.0"/>
    <numFmt numFmtId="171" formatCode="&quot;$&quot;#,##0.00"/>
    <numFmt numFmtId="172" formatCode="&quot;$&quot;#,##0"/>
  </numFmts>
  <fonts count="28" x14ac:knownFonts="1">
    <font>
      <sz val="11"/>
      <color theme="1"/>
      <name val="Calibri"/>
      <family val="2"/>
      <scheme val="minor"/>
    </font>
    <font>
      <sz val="11"/>
      <color theme="1"/>
      <name val="Calibri"/>
      <family val="2"/>
      <scheme val="minor"/>
    </font>
    <font>
      <b/>
      <sz val="9"/>
      <color indexed="81"/>
      <name val="Tahoma"/>
      <family val="2"/>
    </font>
    <font>
      <sz val="9"/>
      <color indexed="81"/>
      <name val="Tahoma"/>
      <family val="2"/>
    </font>
    <font>
      <b/>
      <sz val="11"/>
      <color theme="1"/>
      <name val="Calibri"/>
      <family val="2"/>
      <scheme val="minor"/>
    </font>
    <font>
      <u/>
      <sz val="11"/>
      <color theme="10"/>
      <name val="Calibri"/>
      <family val="2"/>
      <scheme val="minor"/>
    </font>
    <font>
      <sz val="11"/>
      <name val="Calibri"/>
      <family val="2"/>
      <scheme val="minor"/>
    </font>
    <font>
      <b/>
      <sz val="11"/>
      <name val="Calibri"/>
      <family val="2"/>
      <scheme val="minor"/>
    </font>
    <font>
      <sz val="10"/>
      <name val="Calibri"/>
      <family val="2"/>
      <scheme val="minor"/>
    </font>
    <font>
      <sz val="9"/>
      <color rgb="FF000000"/>
      <name val="Calibri"/>
      <family val="2"/>
      <scheme val="minor"/>
    </font>
    <font>
      <sz val="14"/>
      <color rgb="FF3C3C3C"/>
      <name val="Georgia"/>
      <family val="1"/>
    </font>
    <font>
      <b/>
      <vertAlign val="subscript"/>
      <sz val="11"/>
      <color theme="1"/>
      <name val="Calibri"/>
      <family val="2"/>
      <scheme val="minor"/>
    </font>
    <font>
      <b/>
      <vertAlign val="superscript"/>
      <sz val="11"/>
      <color theme="1"/>
      <name val="Calibri"/>
      <family val="2"/>
      <scheme val="minor"/>
    </font>
    <font>
      <b/>
      <sz val="12"/>
      <color theme="1"/>
      <name val="Calibri"/>
      <family val="2"/>
      <scheme val="minor"/>
    </font>
    <font>
      <b/>
      <sz val="14"/>
      <color theme="1"/>
      <name val="Calibri"/>
      <family val="2"/>
      <scheme val="minor"/>
    </font>
    <font>
      <b/>
      <u/>
      <sz val="11"/>
      <color theme="1"/>
      <name val="Calibri"/>
      <family val="2"/>
      <scheme val="minor"/>
    </font>
    <font>
      <sz val="12"/>
      <color theme="1"/>
      <name val="Calibri"/>
      <family val="2"/>
      <scheme val="minor"/>
    </font>
    <font>
      <sz val="9"/>
      <color indexed="8"/>
      <name val="Calibri"/>
      <family val="2"/>
    </font>
    <font>
      <b/>
      <sz val="9"/>
      <color indexed="8"/>
      <name val="Calibri"/>
      <family val="2"/>
    </font>
    <font>
      <sz val="10"/>
      <color indexed="8"/>
      <name val="Arial"/>
      <family val="2"/>
    </font>
    <font>
      <b/>
      <sz val="12"/>
      <color indexed="30"/>
      <name val="Calibri"/>
      <family val="2"/>
    </font>
    <font>
      <sz val="11"/>
      <color rgb="FFFF0000"/>
      <name val="Calibri"/>
      <family val="2"/>
      <scheme val="minor"/>
    </font>
    <font>
      <sz val="11"/>
      <color rgb="FF1F497D"/>
      <name val="Calibri"/>
      <family val="2"/>
      <scheme val="minor"/>
    </font>
    <font>
      <sz val="9"/>
      <color theme="1"/>
      <name val="Calibri"/>
      <family val="2"/>
      <scheme val="minor"/>
    </font>
    <font>
      <vertAlign val="superscript"/>
      <sz val="9"/>
      <color theme="1"/>
      <name val="Calibri"/>
      <family val="2"/>
      <scheme val="minor"/>
    </font>
    <font>
      <sz val="11"/>
      <color rgb="FF189BD7"/>
      <name val="Calibri"/>
      <family val="2"/>
      <scheme val="minor"/>
    </font>
    <font>
      <b/>
      <sz val="12"/>
      <color theme="1"/>
      <name val="Arial"/>
      <family val="2"/>
    </font>
    <font>
      <b/>
      <sz val="8"/>
      <color theme="1"/>
      <name val="Arial"/>
      <family val="2"/>
    </font>
  </fonts>
  <fills count="17">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9" tint="0.79998168889431442"/>
        <bgColor indexed="64"/>
      </patternFill>
    </fill>
  </fills>
  <borders count="8">
    <border>
      <left/>
      <right/>
      <top/>
      <bottom/>
      <diagonal/>
    </border>
    <border>
      <left/>
      <right/>
      <top/>
      <bottom style="medium">
        <color indexed="64"/>
      </bottom>
      <diagonal/>
    </border>
    <border>
      <left/>
      <right/>
      <top/>
      <bottom style="thick">
        <color rgb="FF0096D7"/>
      </bottom>
      <diagonal/>
    </border>
    <border>
      <left/>
      <right/>
      <top/>
      <bottom style="thin">
        <color rgb="FFBFBFBF"/>
      </bottom>
      <diagonal/>
    </border>
    <border>
      <left/>
      <right/>
      <top/>
      <bottom style="dashed">
        <color rgb="FFBFBFBF"/>
      </bottom>
      <diagonal/>
    </border>
    <border>
      <left style="medium">
        <color rgb="FFCCCCCC"/>
      </left>
      <right style="medium">
        <color rgb="FFCCCCCC"/>
      </right>
      <top/>
      <bottom style="medium">
        <color rgb="FFCCCCCC"/>
      </bottom>
      <diagonal/>
    </border>
    <border>
      <left/>
      <right/>
      <top/>
      <bottom style="medium">
        <color rgb="FFCCCCCC"/>
      </bottom>
      <diagonal/>
    </border>
    <border>
      <left style="thick">
        <color rgb="FF189BD7"/>
      </left>
      <right style="medium">
        <color rgb="FFCCCCCC"/>
      </right>
      <top/>
      <bottom style="medium">
        <color rgb="FFCCCCCC"/>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0" fontId="5" fillId="0" borderId="0" applyNumberFormat="0" applyFill="0" applyBorder="0" applyAlignment="0" applyProtection="0"/>
    <xf numFmtId="0" fontId="17" fillId="0" borderId="0" applyNumberFormat="0" applyFill="0" applyBorder="0" applyAlignment="0" applyProtection="0"/>
    <xf numFmtId="0" fontId="18" fillId="0" borderId="2" applyNumberFormat="0" applyProtection="0">
      <alignment wrapText="1"/>
    </xf>
    <xf numFmtId="0" fontId="20" fillId="0" borderId="0" applyNumberFormat="0" applyProtection="0">
      <alignment horizontal="left"/>
    </xf>
    <xf numFmtId="0" fontId="18" fillId="0" borderId="3" applyNumberFormat="0" applyProtection="0">
      <alignment wrapText="1"/>
    </xf>
    <xf numFmtId="0" fontId="17" fillId="0" borderId="4" applyNumberFormat="0" applyFont="0" applyProtection="0">
      <alignment wrapText="1"/>
    </xf>
  </cellStyleXfs>
  <cellXfs count="141">
    <xf numFmtId="0" fontId="0" fillId="0" borderId="0" xfId="0"/>
    <xf numFmtId="164" fontId="0" fillId="0" borderId="0" xfId="0" applyNumberFormat="1"/>
    <xf numFmtId="0" fontId="0" fillId="0" borderId="0" xfId="0" applyAlignment="1">
      <alignment horizontal="right"/>
    </xf>
    <xf numFmtId="164" fontId="0" fillId="0" borderId="0" xfId="2" applyNumberFormat="1" applyFont="1"/>
    <xf numFmtId="2" fontId="0" fillId="0" borderId="0" xfId="0" applyNumberFormat="1"/>
    <xf numFmtId="6" fontId="0" fillId="0" borderId="0" xfId="0" applyNumberFormat="1"/>
    <xf numFmtId="8" fontId="0" fillId="0" borderId="0" xfId="0" applyNumberFormat="1" applyAlignment="1">
      <alignment horizontal="right"/>
    </xf>
    <xf numFmtId="8" fontId="0" fillId="0" borderId="0" xfId="0" applyNumberFormat="1"/>
    <xf numFmtId="165" fontId="0" fillId="0" borderId="0" xfId="0" applyNumberFormat="1"/>
    <xf numFmtId="10" fontId="0" fillId="0" borderId="0" xfId="0" applyNumberFormat="1"/>
    <xf numFmtId="165" fontId="0" fillId="0" borderId="0" xfId="1" applyNumberFormat="1" applyFont="1"/>
    <xf numFmtId="3" fontId="0" fillId="0" borderId="0" xfId="0" applyNumberFormat="1"/>
    <xf numFmtId="44" fontId="0" fillId="0" borderId="0" xfId="2" applyFont="1"/>
    <xf numFmtId="9" fontId="0" fillId="0" borderId="0" xfId="0" applyNumberFormat="1"/>
    <xf numFmtId="9" fontId="0" fillId="0" borderId="0" xfId="0" applyNumberFormat="1" applyAlignment="1">
      <alignment horizontal="right"/>
    </xf>
    <xf numFmtId="1" fontId="0" fillId="0" borderId="0" xfId="0" applyNumberFormat="1"/>
    <xf numFmtId="0" fontId="0" fillId="0" borderId="0" xfId="1" applyNumberFormat="1" applyFont="1"/>
    <xf numFmtId="166" fontId="0" fillId="0" borderId="0" xfId="0" applyNumberFormat="1"/>
    <xf numFmtId="0" fontId="6" fillId="0" borderId="0" xfId="0" applyFont="1" applyAlignment="1">
      <alignment horizontal="right"/>
    </xf>
    <xf numFmtId="0" fontId="7" fillId="0" borderId="0" xfId="0" applyFont="1" applyAlignment="1">
      <alignment horizontal="right"/>
    </xf>
    <xf numFmtId="167" fontId="0" fillId="0" borderId="0" xfId="2" applyNumberFormat="1" applyFont="1"/>
    <xf numFmtId="168" fontId="0" fillId="0" borderId="0" xfId="2" applyNumberFormat="1" applyFont="1"/>
    <xf numFmtId="0" fontId="4" fillId="0" borderId="0" xfId="0" applyFont="1" applyAlignment="1"/>
    <xf numFmtId="169" fontId="0" fillId="0" borderId="0" xfId="0" applyNumberFormat="1"/>
    <xf numFmtId="167" fontId="1" fillId="0" borderId="0" xfId="2" applyNumberFormat="1" applyFont="1"/>
    <xf numFmtId="0" fontId="5" fillId="0" borderId="0" xfId="3" applyAlignment="1">
      <alignment horizontal="right"/>
    </xf>
    <xf numFmtId="8" fontId="0" fillId="0" borderId="0" xfId="2" applyNumberFormat="1" applyFont="1"/>
    <xf numFmtId="0" fontId="0" fillId="2" borderId="0" xfId="0" applyFill="1"/>
    <xf numFmtId="0" fontId="6" fillId="2" borderId="0" xfId="0" applyFont="1" applyFill="1" applyAlignment="1">
      <alignment horizontal="right"/>
    </xf>
    <xf numFmtId="0" fontId="0" fillId="4" borderId="0" xfId="0" applyFill="1"/>
    <xf numFmtId="0" fontId="0" fillId="5" borderId="0" xfId="0" applyFill="1"/>
    <xf numFmtId="0" fontId="0" fillId="6" borderId="0" xfId="0" applyFill="1"/>
    <xf numFmtId="0" fontId="0" fillId="7" borderId="0" xfId="0" applyFill="1"/>
    <xf numFmtId="0" fontId="6" fillId="7" borderId="0" xfId="0" applyFont="1" applyFill="1" applyAlignment="1">
      <alignment horizontal="right"/>
    </xf>
    <xf numFmtId="1" fontId="0" fillId="7" borderId="0" xfId="0" applyNumberFormat="1" applyFill="1"/>
    <xf numFmtId="0" fontId="0" fillId="4" borderId="0" xfId="0" applyFill="1" applyAlignment="1">
      <alignment horizontal="right"/>
    </xf>
    <xf numFmtId="0" fontId="0" fillId="5" borderId="0" xfId="0" applyFill="1" applyAlignment="1">
      <alignment horizontal="right"/>
    </xf>
    <xf numFmtId="164" fontId="0" fillId="5" borderId="0" xfId="2" applyNumberFormat="1" applyFont="1" applyFill="1"/>
    <xf numFmtId="0" fontId="0" fillId="8" borderId="0" xfId="0" applyFill="1"/>
    <xf numFmtId="0" fontId="0" fillId="8" borderId="0" xfId="0" applyFill="1" applyAlignment="1">
      <alignment horizontal="right"/>
    </xf>
    <xf numFmtId="164" fontId="0" fillId="8" borderId="0" xfId="2" applyNumberFormat="1" applyFont="1" applyFill="1"/>
    <xf numFmtId="164" fontId="4" fillId="0" borderId="0" xfId="0" applyNumberFormat="1" applyFont="1"/>
    <xf numFmtId="0" fontId="0" fillId="9" borderId="0" xfId="0" applyFill="1"/>
    <xf numFmtId="0" fontId="0" fillId="10" borderId="0" xfId="0" applyFill="1"/>
    <xf numFmtId="0" fontId="0" fillId="11" borderId="0" xfId="0" applyFill="1"/>
    <xf numFmtId="0" fontId="0" fillId="11" borderId="0" xfId="0" applyFill="1" applyAlignment="1">
      <alignment horizontal="right"/>
    </xf>
    <xf numFmtId="164" fontId="0" fillId="11" borderId="0" xfId="0" applyNumberFormat="1" applyFill="1"/>
    <xf numFmtId="3" fontId="0" fillId="9" borderId="0" xfId="0" applyNumberFormat="1" applyFill="1" applyAlignment="1">
      <alignment horizontal="right"/>
    </xf>
    <xf numFmtId="6" fontId="0" fillId="9" borderId="0" xfId="0" applyNumberFormat="1" applyFill="1"/>
    <xf numFmtId="0" fontId="7" fillId="10" borderId="0" xfId="0" applyFont="1" applyFill="1" applyAlignment="1">
      <alignment horizontal="right"/>
    </xf>
    <xf numFmtId="164" fontId="0" fillId="10" borderId="0" xfId="0" applyNumberFormat="1" applyFill="1"/>
    <xf numFmtId="6" fontId="4" fillId="0" borderId="0" xfId="0" applyNumberFormat="1" applyFont="1"/>
    <xf numFmtId="0" fontId="4" fillId="13" borderId="0" xfId="0" applyFont="1" applyFill="1" applyAlignment="1"/>
    <xf numFmtId="0" fontId="0" fillId="13" borderId="0" xfId="0" applyFont="1" applyFill="1" applyAlignment="1"/>
    <xf numFmtId="164" fontId="0" fillId="13" borderId="0" xfId="2" applyNumberFormat="1" applyFont="1" applyFill="1"/>
    <xf numFmtId="0" fontId="0" fillId="12" borderId="0" xfId="0" applyFill="1"/>
    <xf numFmtId="0" fontId="0" fillId="12" borderId="0" xfId="0" applyFill="1" applyAlignment="1">
      <alignment horizontal="right"/>
    </xf>
    <xf numFmtId="164" fontId="0" fillId="12" borderId="0" xfId="0" applyNumberFormat="1" applyFill="1"/>
    <xf numFmtId="164" fontId="0" fillId="4" borderId="0" xfId="0" applyNumberFormat="1" applyFill="1"/>
    <xf numFmtId="0" fontId="0" fillId="14" borderId="0" xfId="0" applyFill="1" applyAlignment="1">
      <alignment horizontal="right"/>
    </xf>
    <xf numFmtId="164" fontId="0" fillId="14" borderId="0" xfId="2" applyNumberFormat="1" applyFont="1" applyFill="1"/>
    <xf numFmtId="0" fontId="0" fillId="15" borderId="0" xfId="0" applyFill="1" applyAlignment="1">
      <alignment horizontal="right"/>
    </xf>
    <xf numFmtId="164" fontId="0" fillId="15" borderId="0" xfId="2" applyNumberFormat="1" applyFont="1" applyFill="1"/>
    <xf numFmtId="0" fontId="0" fillId="3" borderId="0" xfId="0" applyFill="1" applyAlignment="1">
      <alignment horizontal="right"/>
    </xf>
    <xf numFmtId="164" fontId="0" fillId="3" borderId="0" xfId="2" applyNumberFormat="1" applyFont="1" applyFill="1"/>
    <xf numFmtId="164" fontId="0" fillId="3" borderId="0" xfId="0" applyNumberFormat="1" applyFill="1"/>
    <xf numFmtId="0" fontId="0" fillId="6" borderId="0" xfId="0" applyFill="1" applyAlignment="1">
      <alignment horizontal="right"/>
    </xf>
    <xf numFmtId="164" fontId="0" fillId="6" borderId="0" xfId="0" applyNumberFormat="1" applyFill="1"/>
    <xf numFmtId="0" fontId="8" fillId="0" borderId="0" xfId="0" applyFont="1" applyAlignment="1">
      <alignment horizontal="left" vertical="center" readingOrder="1"/>
    </xf>
    <xf numFmtId="0" fontId="9" fillId="0" borderId="0" xfId="0" applyFont="1" applyAlignment="1">
      <alignment horizontal="left" vertical="center" readingOrder="1"/>
    </xf>
    <xf numFmtId="0" fontId="10" fillId="0" borderId="0" xfId="0" applyFont="1"/>
    <xf numFmtId="0" fontId="5" fillId="0" borderId="0" xfId="3"/>
    <xf numFmtId="0" fontId="4" fillId="0" borderId="0" xfId="0" applyFont="1"/>
    <xf numFmtId="0" fontId="0" fillId="0" borderId="0" xfId="0" applyAlignment="1">
      <alignment wrapText="1"/>
    </xf>
    <xf numFmtId="0" fontId="0" fillId="0" borderId="0" xfId="0" applyAlignment="1">
      <alignment horizontal="center"/>
    </xf>
    <xf numFmtId="0" fontId="13" fillId="0" borderId="0" xfId="0" applyFont="1"/>
    <xf numFmtId="0" fontId="0" fillId="12" borderId="0" xfId="0" applyFill="1" applyAlignment="1">
      <alignment wrapText="1"/>
    </xf>
    <xf numFmtId="0" fontId="0" fillId="7" borderId="0" xfId="0" applyFill="1" applyAlignment="1">
      <alignment wrapText="1"/>
    </xf>
    <xf numFmtId="6" fontId="0" fillId="12" borderId="0" xfId="0" applyNumberFormat="1" applyFill="1" applyAlignment="1">
      <alignment wrapText="1"/>
    </xf>
    <xf numFmtId="6" fontId="0" fillId="0" borderId="0" xfId="0" applyNumberFormat="1" applyAlignment="1">
      <alignment wrapText="1"/>
    </xf>
    <xf numFmtId="6" fontId="0" fillId="7" borderId="0" xfId="0" applyNumberFormat="1" applyFill="1" applyAlignment="1">
      <alignment wrapText="1"/>
    </xf>
    <xf numFmtId="0" fontId="4" fillId="0" borderId="0" xfId="0" applyFont="1" applyAlignment="1">
      <alignment wrapText="1"/>
    </xf>
    <xf numFmtId="6" fontId="0" fillId="0" borderId="0" xfId="0" applyNumberFormat="1" applyAlignment="1">
      <alignment horizontal="center" vertical="center"/>
    </xf>
    <xf numFmtId="3" fontId="0" fillId="0" borderId="0" xfId="0" applyNumberFormat="1" applyAlignment="1">
      <alignment horizontal="center"/>
    </xf>
    <xf numFmtId="3" fontId="0" fillId="0" borderId="1" xfId="0" applyNumberFormat="1" applyBorder="1" applyAlignment="1">
      <alignment horizontal="center"/>
    </xf>
    <xf numFmtId="3" fontId="4" fillId="0" borderId="0" xfId="0" applyNumberFormat="1" applyFont="1" applyAlignment="1">
      <alignment horizontal="center"/>
    </xf>
    <xf numFmtId="0" fontId="4" fillId="13" borderId="0" xfId="0" applyFont="1" applyFill="1" applyAlignment="1">
      <alignment wrapText="1"/>
    </xf>
    <xf numFmtId="0" fontId="0" fillId="13" borderId="0" xfId="0" applyFill="1" applyAlignment="1">
      <alignment horizontal="center" vertical="center"/>
    </xf>
    <xf numFmtId="6" fontId="0" fillId="13" borderId="0" xfId="0" applyNumberFormat="1" applyFill="1" applyAlignment="1">
      <alignment horizontal="center" vertical="center" wrapText="1"/>
    </xf>
    <xf numFmtId="0" fontId="4" fillId="16" borderId="0" xfId="0" applyFont="1" applyFill="1" applyAlignment="1">
      <alignment wrapText="1"/>
    </xf>
    <xf numFmtId="1" fontId="0" fillId="16" borderId="0" xfId="0" applyNumberFormat="1" applyFill="1" applyAlignment="1">
      <alignment horizontal="center" vertical="center"/>
    </xf>
    <xf numFmtId="6" fontId="0" fillId="16" borderId="0" xfId="0" applyNumberFormat="1" applyFill="1" applyAlignment="1">
      <alignment horizontal="center" vertical="center" wrapText="1"/>
    </xf>
    <xf numFmtId="0" fontId="14" fillId="0" borderId="0" xfId="0" applyFont="1"/>
    <xf numFmtId="0" fontId="17" fillId="0" borderId="0" xfId="4" applyFont="1"/>
    <xf numFmtId="0" fontId="18" fillId="0" borderId="2" xfId="5" applyFont="1" applyFill="1" applyBorder="1" applyAlignment="1">
      <alignment wrapText="1"/>
    </xf>
    <xf numFmtId="0" fontId="19" fillId="0" borderId="0" xfId="0" applyFont="1"/>
    <xf numFmtId="0" fontId="20" fillId="0" borderId="0" xfId="6" applyFont="1" applyFill="1" applyBorder="1" applyAlignment="1">
      <alignment horizontal="left"/>
    </xf>
    <xf numFmtId="0" fontId="0" fillId="0" borderId="0" xfId="0" applyAlignment="1" applyProtection="1">
      <alignment horizontal="left"/>
    </xf>
    <xf numFmtId="0" fontId="18" fillId="0" borderId="3" xfId="7" applyFont="1" applyFill="1" applyBorder="1" applyAlignment="1">
      <alignment wrapText="1"/>
    </xf>
    <xf numFmtId="0" fontId="0" fillId="0" borderId="4" xfId="8" applyFont="1" applyFill="1" applyBorder="1" applyAlignment="1">
      <alignment wrapText="1"/>
    </xf>
    <xf numFmtId="4" fontId="0" fillId="0" borderId="4" xfId="8" applyNumberFormat="1" applyFont="1" applyFill="1" applyAlignment="1">
      <alignment horizontal="right" wrapText="1"/>
    </xf>
    <xf numFmtId="0" fontId="0" fillId="0" borderId="0" xfId="8" applyFont="1" applyFill="1" applyBorder="1" applyAlignment="1">
      <alignment horizontal="right" wrapText="1"/>
    </xf>
    <xf numFmtId="170" fontId="0" fillId="7" borderId="0" xfId="0" applyNumberFormat="1" applyFill="1"/>
    <xf numFmtId="165" fontId="0" fillId="0" borderId="0" xfId="0" applyNumberFormat="1" applyAlignment="1"/>
    <xf numFmtId="170" fontId="0" fillId="2" borderId="0" xfId="0" applyNumberFormat="1" applyFill="1"/>
    <xf numFmtId="171" fontId="0" fillId="3" borderId="0" xfId="0" applyNumberFormat="1" applyFill="1" applyBorder="1"/>
    <xf numFmtId="2" fontId="0" fillId="2" borderId="0" xfId="0" applyNumberFormat="1" applyFill="1"/>
    <xf numFmtId="165" fontId="4" fillId="0" borderId="0" xfId="0" applyNumberFormat="1" applyFont="1"/>
    <xf numFmtId="0" fontId="6" fillId="14" borderId="0" xfId="0" applyFont="1" applyFill="1"/>
    <xf numFmtId="0" fontId="6" fillId="14" borderId="0" xfId="0" applyFont="1" applyFill="1" applyAlignment="1">
      <alignment horizontal="right"/>
    </xf>
    <xf numFmtId="164" fontId="6" fillId="14" borderId="0" xfId="2" applyNumberFormat="1" applyFont="1" applyFill="1"/>
    <xf numFmtId="44" fontId="0" fillId="0" borderId="0" xfId="0" applyNumberFormat="1"/>
    <xf numFmtId="0" fontId="0" fillId="0" borderId="0" xfId="0" applyBorder="1"/>
    <xf numFmtId="172" fontId="4" fillId="3" borderId="0" xfId="0" applyNumberFormat="1" applyFont="1" applyFill="1" applyBorder="1"/>
    <xf numFmtId="0" fontId="4" fillId="0" borderId="0" xfId="0" applyFont="1" applyAlignment="1">
      <alignment horizontal="right"/>
    </xf>
    <xf numFmtId="1" fontId="4" fillId="0" borderId="0" xfId="0" applyNumberFormat="1" applyFont="1"/>
    <xf numFmtId="0" fontId="0" fillId="16" borderId="0" xfId="0" applyFill="1"/>
    <xf numFmtId="0" fontId="0" fillId="16" borderId="0" xfId="0" applyFill="1" applyAlignment="1">
      <alignment horizontal="right"/>
    </xf>
    <xf numFmtId="164" fontId="0" fillId="16" borderId="0" xfId="0" applyNumberFormat="1" applyFill="1"/>
    <xf numFmtId="164" fontId="21" fillId="16" borderId="0" xfId="0" applyNumberFormat="1" applyFont="1" applyFill="1"/>
    <xf numFmtId="6" fontId="0" fillId="16" borderId="0" xfId="0" applyNumberFormat="1" applyFill="1"/>
    <xf numFmtId="6" fontId="6" fillId="16" borderId="0" xfId="0" applyNumberFormat="1" applyFont="1" applyFill="1"/>
    <xf numFmtId="3" fontId="0" fillId="0" borderId="0" xfId="0" applyNumberFormat="1" applyBorder="1" applyAlignment="1">
      <alignment horizontal="center"/>
    </xf>
    <xf numFmtId="3" fontId="0" fillId="0" borderId="0" xfId="0" applyNumberFormat="1" applyBorder="1"/>
    <xf numFmtId="0" fontId="22" fillId="0" borderId="0" xfId="0" applyFont="1" applyAlignment="1">
      <alignment vertical="center"/>
    </xf>
    <xf numFmtId="0" fontId="23" fillId="0" borderId="0" xfId="0" applyFont="1" applyAlignment="1">
      <alignment vertical="center"/>
    </xf>
    <xf numFmtId="0" fontId="24" fillId="0" borderId="0" xfId="0" applyFont="1" applyAlignment="1">
      <alignment vertical="center"/>
    </xf>
    <xf numFmtId="0" fontId="25" fillId="0" borderId="5" xfId="0" applyFont="1" applyBorder="1" applyAlignment="1">
      <alignment horizontal="right" vertical="center" indent="15"/>
    </xf>
    <xf numFmtId="0" fontId="0" fillId="0" borderId="0" xfId="0" applyAlignment="1">
      <alignment horizontal="right" vertical="center" indent="2"/>
    </xf>
    <xf numFmtId="0" fontId="26" fillId="0" borderId="6" xfId="0" applyFont="1" applyBorder="1" applyAlignment="1">
      <alignment horizontal="left" vertical="center" indent="1"/>
    </xf>
    <xf numFmtId="0" fontId="0" fillId="0" borderId="0" xfId="0" applyAlignment="1">
      <alignment horizontal="left" vertical="center" indent="1"/>
    </xf>
    <xf numFmtId="0" fontId="27" fillId="0" borderId="7" xfId="0" applyFont="1" applyBorder="1" applyAlignment="1">
      <alignment horizontal="left" vertical="center" indent="1"/>
    </xf>
    <xf numFmtId="0" fontId="0" fillId="0" borderId="7" xfId="0" applyBorder="1" applyAlignment="1">
      <alignment horizontal="left" vertical="center" indent="2"/>
    </xf>
    <xf numFmtId="0" fontId="0" fillId="0" borderId="7" xfId="0" applyBorder="1" applyAlignment="1">
      <alignment horizontal="left" vertical="center" indent="3"/>
    </xf>
    <xf numFmtId="0" fontId="25" fillId="0" borderId="7" xfId="0" applyFont="1" applyBorder="1" applyAlignment="1">
      <alignment horizontal="left" vertical="center" indent="3"/>
    </xf>
    <xf numFmtId="170" fontId="0" fillId="0" borderId="0" xfId="0" applyNumberFormat="1"/>
    <xf numFmtId="0" fontId="6" fillId="0" borderId="0" xfId="0" applyFont="1" applyAlignment="1">
      <alignment horizontal="right" vertical="center"/>
    </xf>
    <xf numFmtId="0" fontId="13" fillId="16" borderId="0" xfId="0" applyFont="1" applyFill="1" applyBorder="1" applyAlignment="1">
      <alignment horizontal="center"/>
    </xf>
    <xf numFmtId="0" fontId="0" fillId="0" borderId="0" xfId="0" applyAlignment="1"/>
    <xf numFmtId="0" fontId="13" fillId="13" borderId="0" xfId="0" applyFont="1" applyFill="1" applyBorder="1" applyAlignment="1">
      <alignment horizontal="center"/>
    </xf>
    <xf numFmtId="0" fontId="16" fillId="13" borderId="0" xfId="0" applyFont="1" applyFill="1" applyBorder="1" applyAlignment="1">
      <alignment horizontal="center"/>
    </xf>
  </cellXfs>
  <cellStyles count="9">
    <cellStyle name="Body: normal cell" xfId="8"/>
    <cellStyle name="Comma" xfId="1" builtinId="3"/>
    <cellStyle name="Currency" xfId="2" builtinId="4"/>
    <cellStyle name="Font: Calibri, 9pt regular" xfId="4"/>
    <cellStyle name="Header: bottom row" xfId="5"/>
    <cellStyle name="Hyperlink" xfId="3" builtinId="8"/>
    <cellStyle name="Normal" xfId="0" builtinId="0"/>
    <cellStyle name="Parent row" xfId="7"/>
    <cellStyle name="Table title"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1A-5CC6-11CF-8D67-00AA00BDCE1D}" ax:persistence="persistStream" r:id="rId1"/>
</file>

<file path=xl/drawings/_rels/drawing1.xml.rels><?xml version="1.0" encoding="UTF-8" standalone="yes"?>
<Relationships xmlns="http://schemas.openxmlformats.org/package/2006/relationships"><Relationship Id="rId1" Type="http://schemas.openxmlformats.org/officeDocument/2006/relationships/image" Target="../media/image2.gif"/></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jp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92</xdr:row>
          <xdr:rowOff>76200</xdr:rowOff>
        </xdr:from>
        <xdr:to>
          <xdr:col>0</xdr:col>
          <xdr:colOff>914400</xdr:colOff>
          <xdr:row>93</xdr:row>
          <xdr:rowOff>114300</xdr:rowOff>
        </xdr:to>
        <xdr:sp macro="" textlink="">
          <xdr:nvSpPr>
            <xdr:cNvPr id="21505" name="Control 1" hidden="1">
              <a:extLst>
                <a:ext uri="{63B3BB69-23CF-44E3-9099-C40C66FF867C}">
                  <a14:compatExt spid="_x0000_s21505"/>
                </a:ext>
                <a:ext uri="{FF2B5EF4-FFF2-40B4-BE49-F238E27FC236}">
                  <a16:creationId xmlns:a16="http://schemas.microsoft.com/office/drawing/2014/main" id="{00000000-0008-0000-0500-0000015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0</xdr:col>
      <xdr:colOff>0</xdr:colOff>
      <xdr:row>93</xdr:row>
      <xdr:rowOff>0</xdr:rowOff>
    </xdr:from>
    <xdr:to>
      <xdr:col>0</xdr:col>
      <xdr:colOff>95250</xdr:colOff>
      <xdr:row>93</xdr:row>
      <xdr:rowOff>95250</xdr:rowOff>
    </xdr:to>
    <xdr:pic>
      <xdr:nvPicPr>
        <xdr:cNvPr id="3" name="Picture 2" descr="https://www.eia.gov/outlooks/aeo/data/browser/css/images/img_trans.gif">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030825"/>
          <a:ext cx="9525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102</xdr:row>
      <xdr:rowOff>0</xdr:rowOff>
    </xdr:from>
    <xdr:to>
      <xdr:col>0</xdr:col>
      <xdr:colOff>95250</xdr:colOff>
      <xdr:row>102</xdr:row>
      <xdr:rowOff>95250</xdr:rowOff>
    </xdr:to>
    <xdr:pic>
      <xdr:nvPicPr>
        <xdr:cNvPr id="4" name="Picture 3" descr="https://www.eia.gov/outlooks/aeo/data/browser/css/images/img_trans.gif">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831050"/>
          <a:ext cx="9525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132</xdr:row>
      <xdr:rowOff>0</xdr:rowOff>
    </xdr:from>
    <xdr:to>
      <xdr:col>0</xdr:col>
      <xdr:colOff>95250</xdr:colOff>
      <xdr:row>132</xdr:row>
      <xdr:rowOff>95250</xdr:rowOff>
    </xdr:to>
    <xdr:pic>
      <xdr:nvPicPr>
        <xdr:cNvPr id="5" name="Picture 4" descr="https://www.eia.gov/outlooks/aeo/data/browser/css/images/img_trans.gif">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831800"/>
          <a:ext cx="9525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148</xdr:row>
      <xdr:rowOff>0</xdr:rowOff>
    </xdr:from>
    <xdr:to>
      <xdr:col>0</xdr:col>
      <xdr:colOff>95250</xdr:colOff>
      <xdr:row>148</xdr:row>
      <xdr:rowOff>95250</xdr:rowOff>
    </xdr:to>
    <xdr:pic>
      <xdr:nvPicPr>
        <xdr:cNvPr id="6" name="Picture 5" descr="https://www.eia.gov/outlooks/aeo/data/browser/css/images/img_trans.gif">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032200"/>
          <a:ext cx="9525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153</xdr:row>
      <xdr:rowOff>0</xdr:rowOff>
    </xdr:from>
    <xdr:to>
      <xdr:col>0</xdr:col>
      <xdr:colOff>95250</xdr:colOff>
      <xdr:row>153</xdr:row>
      <xdr:rowOff>95250</xdr:rowOff>
    </xdr:to>
    <xdr:pic>
      <xdr:nvPicPr>
        <xdr:cNvPr id="7" name="Picture 6" descr="https://www.eia.gov/outlooks/aeo/data/browser/css/images/img_trans.gif">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032325"/>
          <a:ext cx="9525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158</xdr:row>
      <xdr:rowOff>0</xdr:rowOff>
    </xdr:from>
    <xdr:to>
      <xdr:col>0</xdr:col>
      <xdr:colOff>95250</xdr:colOff>
      <xdr:row>158</xdr:row>
      <xdr:rowOff>95250</xdr:rowOff>
    </xdr:to>
    <xdr:pic>
      <xdr:nvPicPr>
        <xdr:cNvPr id="8" name="Picture 7" descr="https://www.eia.gov/outlooks/aeo/data/browser/css/images/img_trans.gif">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032450"/>
          <a:ext cx="9525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171</xdr:row>
      <xdr:rowOff>0</xdr:rowOff>
    </xdr:from>
    <xdr:to>
      <xdr:col>0</xdr:col>
      <xdr:colOff>95250</xdr:colOff>
      <xdr:row>171</xdr:row>
      <xdr:rowOff>95250</xdr:rowOff>
    </xdr:to>
    <xdr:pic>
      <xdr:nvPicPr>
        <xdr:cNvPr id="9" name="Picture 8" descr="https://www.eia.gov/outlooks/aeo/data/browser/css/images/img_trans.gif">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632775"/>
          <a:ext cx="9525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180</xdr:row>
      <xdr:rowOff>0</xdr:rowOff>
    </xdr:from>
    <xdr:to>
      <xdr:col>0</xdr:col>
      <xdr:colOff>95250</xdr:colOff>
      <xdr:row>180</xdr:row>
      <xdr:rowOff>95250</xdr:rowOff>
    </xdr:to>
    <xdr:pic>
      <xdr:nvPicPr>
        <xdr:cNvPr id="10" name="Picture 9" descr="https://www.eia.gov/outlooks/aeo/data/browser/css/images/img_trans.gif">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5433000"/>
          <a:ext cx="9525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194</xdr:row>
      <xdr:rowOff>0</xdr:rowOff>
    </xdr:from>
    <xdr:to>
      <xdr:col>0</xdr:col>
      <xdr:colOff>95250</xdr:colOff>
      <xdr:row>194</xdr:row>
      <xdr:rowOff>95250</xdr:rowOff>
    </xdr:to>
    <xdr:pic>
      <xdr:nvPicPr>
        <xdr:cNvPr id="11" name="Picture 10" descr="https://www.eia.gov/outlooks/aeo/data/browser/css/images/img_trans.gif">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233350"/>
          <a:ext cx="9525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200</xdr:row>
      <xdr:rowOff>0</xdr:rowOff>
    </xdr:from>
    <xdr:to>
      <xdr:col>0</xdr:col>
      <xdr:colOff>95250</xdr:colOff>
      <xdr:row>200</xdr:row>
      <xdr:rowOff>95250</xdr:rowOff>
    </xdr:to>
    <xdr:pic>
      <xdr:nvPicPr>
        <xdr:cNvPr id="12" name="Picture 11" descr="https://www.eia.gov/outlooks/aeo/data/browser/css/images/img_trans.gif">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433500"/>
          <a:ext cx="9525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206</xdr:row>
      <xdr:rowOff>0</xdr:rowOff>
    </xdr:from>
    <xdr:to>
      <xdr:col>0</xdr:col>
      <xdr:colOff>95250</xdr:colOff>
      <xdr:row>206</xdr:row>
      <xdr:rowOff>95250</xdr:rowOff>
    </xdr:to>
    <xdr:pic>
      <xdr:nvPicPr>
        <xdr:cNvPr id="13" name="Picture 12" descr="https://www.eia.gov/outlooks/aeo/data/browser/css/images/img_trans.gif">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633650"/>
          <a:ext cx="9525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218</xdr:row>
      <xdr:rowOff>0</xdr:rowOff>
    </xdr:from>
    <xdr:to>
      <xdr:col>0</xdr:col>
      <xdr:colOff>95250</xdr:colOff>
      <xdr:row>218</xdr:row>
      <xdr:rowOff>95250</xdr:rowOff>
    </xdr:to>
    <xdr:pic>
      <xdr:nvPicPr>
        <xdr:cNvPr id="14" name="Picture 13" descr="https://www.eia.gov/outlooks/aeo/data/browser/css/images/img_trans.gif">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3033950"/>
          <a:ext cx="9525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235</xdr:row>
      <xdr:rowOff>0</xdr:rowOff>
    </xdr:from>
    <xdr:to>
      <xdr:col>0</xdr:col>
      <xdr:colOff>95250</xdr:colOff>
      <xdr:row>235</xdr:row>
      <xdr:rowOff>95250</xdr:rowOff>
    </xdr:to>
    <xdr:pic>
      <xdr:nvPicPr>
        <xdr:cNvPr id="15" name="Picture 14" descr="https://www.eia.gov/outlooks/aeo/data/browser/css/images/img_trans.gif">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434375"/>
          <a:ext cx="9525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251</xdr:row>
      <xdr:rowOff>0</xdr:rowOff>
    </xdr:from>
    <xdr:to>
      <xdr:col>0</xdr:col>
      <xdr:colOff>95250</xdr:colOff>
      <xdr:row>251</xdr:row>
      <xdr:rowOff>95250</xdr:rowOff>
    </xdr:to>
    <xdr:pic>
      <xdr:nvPicPr>
        <xdr:cNvPr id="16" name="Picture 15" descr="https://www.eia.gov/outlooks/aeo/data/browser/css/images/img_trans.gif">
          <a:extLst>
            <a:ext uri="{FF2B5EF4-FFF2-40B4-BE49-F238E27FC236}">
              <a16:creationId xmlns:a16="http://schemas.microsoft.com/office/drawing/2014/main" id="{00000000-0008-0000-05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634775"/>
          <a:ext cx="9525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280</xdr:row>
      <xdr:rowOff>0</xdr:rowOff>
    </xdr:from>
    <xdr:to>
      <xdr:col>0</xdr:col>
      <xdr:colOff>95250</xdr:colOff>
      <xdr:row>280</xdr:row>
      <xdr:rowOff>95250</xdr:rowOff>
    </xdr:to>
    <xdr:pic>
      <xdr:nvPicPr>
        <xdr:cNvPr id="17" name="Picture 16" descr="https://www.eia.gov/outlooks/aeo/data/browser/css/images/img_trans.gif">
          <a:extLst>
            <a:ext uri="{FF2B5EF4-FFF2-40B4-BE49-F238E27FC236}">
              <a16:creationId xmlns:a16="http://schemas.microsoft.com/office/drawing/2014/main" id="{00000000-0008-0000-0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435500"/>
          <a:ext cx="9525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314</xdr:row>
      <xdr:rowOff>0</xdr:rowOff>
    </xdr:from>
    <xdr:to>
      <xdr:col>0</xdr:col>
      <xdr:colOff>95250</xdr:colOff>
      <xdr:row>314</xdr:row>
      <xdr:rowOff>95250</xdr:rowOff>
    </xdr:to>
    <xdr:pic>
      <xdr:nvPicPr>
        <xdr:cNvPr id="18" name="Picture 17" descr="https://www.eia.gov/outlooks/aeo/data/browser/css/images/img_trans.gif">
          <a:extLst>
            <a:ext uri="{FF2B5EF4-FFF2-40B4-BE49-F238E27FC236}">
              <a16:creationId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236350"/>
          <a:ext cx="9525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322</xdr:row>
      <xdr:rowOff>0</xdr:rowOff>
    </xdr:from>
    <xdr:to>
      <xdr:col>0</xdr:col>
      <xdr:colOff>95250</xdr:colOff>
      <xdr:row>322</xdr:row>
      <xdr:rowOff>95250</xdr:rowOff>
    </xdr:to>
    <xdr:pic>
      <xdr:nvPicPr>
        <xdr:cNvPr id="19" name="Picture 18" descr="https://www.eia.gov/outlooks/aeo/data/browser/css/images/img_trans.gif">
          <a:extLst>
            <a:ext uri="{FF2B5EF4-FFF2-40B4-BE49-F238E27FC236}">
              <a16:creationId xmlns:a16="http://schemas.microsoft.com/office/drawing/2014/main" id="{00000000-0008-0000-05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836550"/>
          <a:ext cx="95250" cy="9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580281</xdr:colOff>
      <xdr:row>16</xdr:row>
      <xdr:rowOff>75881</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609600" y="571500"/>
          <a:ext cx="5952381" cy="2552381"/>
        </a:xfrm>
        <a:prstGeom prst="rect">
          <a:avLst/>
        </a:prstGeom>
      </xdr:spPr>
    </xdr:pic>
    <xdr:clientData/>
  </xdr:twoCellAnchor>
  <xdr:twoCellAnchor editAs="oneCell">
    <xdr:from>
      <xdr:col>1</xdr:col>
      <xdr:colOff>0</xdr:colOff>
      <xdr:row>18</xdr:row>
      <xdr:rowOff>0</xdr:rowOff>
    </xdr:from>
    <xdr:to>
      <xdr:col>9</xdr:col>
      <xdr:colOff>256471</xdr:colOff>
      <xdr:row>29</xdr:row>
      <xdr:rowOff>47357</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609600" y="3429000"/>
          <a:ext cx="5628571" cy="21428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9</xdr:col>
      <xdr:colOff>197257</xdr:colOff>
      <xdr:row>15</xdr:row>
      <xdr:rowOff>96664</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381000"/>
          <a:ext cx="5074057" cy="2611264"/>
        </a:xfrm>
        <a:prstGeom prst="rect">
          <a:avLst/>
        </a:prstGeom>
      </xdr:spPr>
    </xdr:pic>
    <xdr:clientData/>
  </xdr:twoCellAnchor>
  <xdr:twoCellAnchor editAs="oneCell">
    <xdr:from>
      <xdr:col>1</xdr:col>
      <xdr:colOff>0</xdr:colOff>
      <xdr:row>17</xdr:row>
      <xdr:rowOff>0</xdr:rowOff>
    </xdr:from>
    <xdr:to>
      <xdr:col>7</xdr:col>
      <xdr:colOff>472436</xdr:colOff>
      <xdr:row>30</xdr:row>
      <xdr:rowOff>96419</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3238500"/>
          <a:ext cx="4130036" cy="2572919"/>
        </a:xfrm>
        <a:prstGeom prst="rect">
          <a:avLst/>
        </a:prstGeom>
      </xdr:spPr>
    </xdr:pic>
    <xdr:clientData/>
  </xdr:twoCellAnchor>
  <xdr:oneCellAnchor>
    <xdr:from>
      <xdr:col>10</xdr:col>
      <xdr:colOff>161925</xdr:colOff>
      <xdr:row>2</xdr:row>
      <xdr:rowOff>114300</xdr:rowOff>
    </xdr:from>
    <xdr:ext cx="5181600" cy="847725"/>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6257925" y="495300"/>
          <a:ext cx="5181600"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b="0" i="0">
              <a:solidFill>
                <a:schemeClr val="tx1"/>
              </a:solidFill>
              <a:effectLst/>
              <a:latin typeface="+mn-lt"/>
              <a:ea typeface="+mn-ea"/>
              <a:cs typeface="+mn-cs"/>
            </a:rPr>
            <a:t>Now research from Bloomberg New Energy Finance indicates that falling battery costs </a:t>
          </a:r>
        </a:p>
        <a:p>
          <a:r>
            <a:rPr lang="en-US" sz="1100" b="0" i="0">
              <a:solidFill>
                <a:schemeClr val="tx1"/>
              </a:solidFill>
              <a:effectLst/>
              <a:latin typeface="+mn-lt"/>
              <a:ea typeface="+mn-ea"/>
              <a:cs typeface="+mn-cs"/>
            </a:rPr>
            <a:t>will mean electric vehicles will also be cheaper to buy in the U.S. and Europe as soon as</a:t>
          </a:r>
        </a:p>
        <a:p>
          <a:r>
            <a:rPr lang="en-US" sz="1100" b="0" i="0">
              <a:solidFill>
                <a:schemeClr val="tx1"/>
              </a:solidFill>
              <a:effectLst/>
              <a:latin typeface="+mn-lt"/>
              <a:ea typeface="+mn-ea"/>
              <a:cs typeface="+mn-cs"/>
            </a:rPr>
            <a:t>2025. Batteries currently account for about half the cost of EVs, and their prices will fall</a:t>
          </a:r>
        </a:p>
        <a:p>
          <a:r>
            <a:rPr lang="en-US" sz="1100" b="0" i="0">
              <a:solidFill>
                <a:schemeClr val="tx1"/>
              </a:solidFill>
              <a:effectLst/>
              <a:latin typeface="+mn-lt"/>
              <a:ea typeface="+mn-ea"/>
              <a:cs typeface="+mn-cs"/>
            </a:rPr>
            <a:t>by about 77 percent between 2016 and 2030, the London-based researcher said.  </a:t>
          </a:r>
          <a:endParaRPr lang="en-US" sz="1100"/>
        </a:p>
      </xdr:txBody>
    </xdr:sp>
    <xdr:clientData/>
  </xdr:oneCellAnchor>
  <xdr:twoCellAnchor editAs="oneCell">
    <xdr:from>
      <xdr:col>10</xdr:col>
      <xdr:colOff>400050</xdr:colOff>
      <xdr:row>7</xdr:row>
      <xdr:rowOff>102632</xdr:rowOff>
    </xdr:from>
    <xdr:to>
      <xdr:col>20</xdr:col>
      <xdr:colOff>190500</xdr:colOff>
      <xdr:row>25</xdr:row>
      <xdr:rowOff>180975</xdr:rowOff>
    </xdr:to>
    <xdr:pic>
      <xdr:nvPicPr>
        <xdr:cNvPr id="6" name="Picture 5" descr="https://assets.bwbx.io/images/users/iqjWHBFdfxIU/iHYdUNORG55U/v1/-1x-1.png">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96050" y="1474232"/>
          <a:ext cx="5886450" cy="3507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eia.gov/outlooks/aeo" TargetMode="External"/><Relationship Id="rId1" Type="http://schemas.openxmlformats.org/officeDocument/2006/relationships/hyperlink" Target="http://newsroom.aaa.com/tag/driving-cost-per-mil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s://www.eia.gov/electricity/state/oregon/"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7" Type="http://schemas.openxmlformats.org/officeDocument/2006/relationships/image" Target="../media/image1.emf"/><Relationship Id="rId2" Type="http://schemas.openxmlformats.org/officeDocument/2006/relationships/hyperlink" Target="https://www.eia.gov/outlooks/aeo/data/browser/" TargetMode="External"/><Relationship Id="rId1" Type="http://schemas.openxmlformats.org/officeDocument/2006/relationships/hyperlink" Target="https://www.eia.gov/outlooks/aeo/pdf/appa.pdf" TargetMode="External"/><Relationship Id="rId6" Type="http://schemas.openxmlformats.org/officeDocument/2006/relationships/control" Target="../activeX/activeX1.xml"/><Relationship Id="rId5" Type="http://schemas.openxmlformats.org/officeDocument/2006/relationships/vmlDrawing" Target="../drawings/vmlDrawing3.vml"/><Relationship Id="rId4"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www.ce.utexas.edu/prof/kockelman/public_html/TRB08VehicleExternalities.pdf" TargetMode="External"/><Relationship Id="rId1" Type="http://schemas.openxmlformats.org/officeDocument/2006/relationships/hyperlink" Target="https://ac.els-cdn.com/S2352146516305944/1-s2.0-S2352146516305944-main.pdf?_tid=a7dd7b44-11b5-11e8-88e2-00000aacb35d&amp;acdnat=1518633442_eff53f698c197024c3815f397f397064"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bloomberg.com/news/articles/2017-05-26/electric-cars-seen-cheaper-than-gasoline-models-within-a-decad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50"/>
  <sheetViews>
    <sheetView tabSelected="1" workbookViewId="0">
      <selection activeCell="F25" sqref="F25"/>
    </sheetView>
  </sheetViews>
  <sheetFormatPr defaultRowHeight="14.5" x14ac:dyDescent="0.35"/>
  <cols>
    <col min="2" max="2" width="20.7265625" customWidth="1"/>
    <col min="3" max="3" width="13.81640625" customWidth="1"/>
    <col min="4" max="4" width="26.1796875" customWidth="1"/>
    <col min="5" max="5" width="17.54296875" customWidth="1"/>
    <col min="6" max="6" width="24.1796875" customWidth="1"/>
    <col min="7" max="7" width="21.54296875" customWidth="1"/>
    <col min="8" max="8" width="20.36328125" customWidth="1"/>
    <col min="9" max="9" width="16.54296875" customWidth="1"/>
    <col min="10" max="10" width="18.81640625" customWidth="1"/>
    <col min="12" max="12" width="12.26953125" customWidth="1"/>
    <col min="13" max="13" width="9.54296875" customWidth="1"/>
    <col min="14" max="14" width="12.1796875" customWidth="1"/>
  </cols>
  <sheetData>
    <row r="1" spans="1:14" ht="18.5" x14ac:dyDescent="0.45">
      <c r="A1" s="92" t="s">
        <v>151</v>
      </c>
    </row>
    <row r="2" spans="1:14" ht="15.5" x14ac:dyDescent="0.35">
      <c r="B2" s="139" t="s">
        <v>146</v>
      </c>
      <c r="C2" s="140"/>
      <c r="D2" s="140"/>
      <c r="E2" s="138"/>
      <c r="F2" s="137" t="s">
        <v>147</v>
      </c>
      <c r="G2" s="138"/>
    </row>
    <row r="3" spans="1:14" s="73" customFormat="1" ht="58" x14ac:dyDescent="0.35">
      <c r="A3" s="81" t="s">
        <v>143</v>
      </c>
      <c r="B3" s="86" t="s">
        <v>158</v>
      </c>
      <c r="C3" s="86" t="s">
        <v>241</v>
      </c>
      <c r="D3" s="86" t="s">
        <v>234</v>
      </c>
      <c r="E3" s="86" t="s">
        <v>157</v>
      </c>
      <c r="F3" s="89" t="s">
        <v>156</v>
      </c>
      <c r="G3" s="89" t="s">
        <v>242</v>
      </c>
      <c r="H3" s="89" t="s">
        <v>144</v>
      </c>
      <c r="I3" s="81" t="s">
        <v>145</v>
      </c>
      <c r="J3" s="81" t="s">
        <v>243</v>
      </c>
      <c r="K3" s="81"/>
    </row>
    <row r="4" spans="1:14" x14ac:dyDescent="0.35">
      <c r="A4">
        <v>2018</v>
      </c>
      <c r="B4" s="87">
        <v>10</v>
      </c>
      <c r="C4" s="87">
        <f>B4</f>
        <v>10</v>
      </c>
      <c r="D4" s="88">
        <f>'Est Charger #''s and cost'!F4-'EV Phase-in CBA '!E30</f>
        <v>5275.5728417493119</v>
      </c>
      <c r="E4" s="88">
        <v>68490</v>
      </c>
      <c r="F4" s="90">
        <v>5</v>
      </c>
      <c r="G4" s="90">
        <f>F4</f>
        <v>5</v>
      </c>
      <c r="H4" s="91">
        <f>'EV Phase-in CBA '!E49</f>
        <v>21665.129448506301</v>
      </c>
      <c r="I4" s="82">
        <f t="shared" ref="I4:I11" si="0">D4+E4+H4</f>
        <v>95430.702290255605</v>
      </c>
    </row>
    <row r="5" spans="1:14" x14ac:dyDescent="0.35">
      <c r="A5">
        <v>2019</v>
      </c>
      <c r="B5" s="87">
        <v>25</v>
      </c>
      <c r="C5" s="87">
        <f t="shared" ref="C5:C11" si="1">C4+B5</f>
        <v>35</v>
      </c>
      <c r="D5" s="88">
        <f>'Est Charger #''s and cost'!F5-'EV Phase-in CBA '!F30</f>
        <v>12336.922860074159</v>
      </c>
      <c r="E5" s="88">
        <v>171225</v>
      </c>
      <c r="F5" s="90">
        <v>8</v>
      </c>
      <c r="G5" s="90">
        <f t="shared" ref="G5:G11" si="2">G4+F5</f>
        <v>13</v>
      </c>
      <c r="H5" s="91">
        <f>'EV Phase-in CBA '!F49</f>
        <v>72491.268684900831</v>
      </c>
      <c r="I5" s="82">
        <f t="shared" si="0"/>
        <v>256053.19154497498</v>
      </c>
      <c r="J5" s="51">
        <f>I4+I5</f>
        <v>351483.89383523061</v>
      </c>
      <c r="K5" s="72" t="s">
        <v>125</v>
      </c>
      <c r="L5" s="5">
        <f>E4+E5+D4+D5</f>
        <v>257327.49570182347</v>
      </c>
      <c r="M5" s="5">
        <f>H4+H5</f>
        <v>94156.398133407129</v>
      </c>
      <c r="N5" s="5">
        <f>L5+M5</f>
        <v>351483.89383523061</v>
      </c>
    </row>
    <row r="6" spans="1:14" x14ac:dyDescent="0.35">
      <c r="A6">
        <v>2020</v>
      </c>
      <c r="B6" s="87">
        <v>40</v>
      </c>
      <c r="C6" s="87">
        <f t="shared" si="1"/>
        <v>75</v>
      </c>
      <c r="D6" s="88">
        <f>'Est Charger #''s and cost'!F6-'EV Phase-in CBA '!G30</f>
        <v>33430.610420427111</v>
      </c>
      <c r="E6" s="88">
        <v>273960</v>
      </c>
      <c r="F6" s="90">
        <v>11</v>
      </c>
      <c r="G6" s="90">
        <f t="shared" si="2"/>
        <v>24</v>
      </c>
      <c r="H6" s="91">
        <f>'EV Phase-in CBA '!G49</f>
        <v>139126.10906583164</v>
      </c>
      <c r="I6" s="82">
        <f t="shared" si="0"/>
        <v>446516.71948625875</v>
      </c>
    </row>
    <row r="7" spans="1:14" x14ac:dyDescent="0.35">
      <c r="A7">
        <v>2021</v>
      </c>
      <c r="B7" s="87">
        <v>57</v>
      </c>
      <c r="C7" s="87">
        <f t="shared" si="1"/>
        <v>132</v>
      </c>
      <c r="D7" s="88">
        <f>'Est Charger #''s and cost'!F7-'EV Phase-in CBA '!H30</f>
        <v>71057.647186720205</v>
      </c>
      <c r="E7" s="88">
        <v>390393</v>
      </c>
      <c r="F7" s="90">
        <v>14</v>
      </c>
      <c r="G7" s="90">
        <f t="shared" si="2"/>
        <v>38</v>
      </c>
      <c r="H7" s="91">
        <f>'EV Phase-in CBA '!H49</f>
        <v>206421.15270432233</v>
      </c>
      <c r="I7" s="82">
        <f t="shared" si="0"/>
        <v>667871.79989104252</v>
      </c>
      <c r="J7" s="51">
        <f>I6+I7</f>
        <v>1114388.5193773012</v>
      </c>
      <c r="K7" s="72" t="s">
        <v>126</v>
      </c>
      <c r="L7" s="5">
        <f>D6+D76+E6+E7</f>
        <v>697783.61042042705</v>
      </c>
      <c r="M7" s="5">
        <f>H6+H7</f>
        <v>345547.261770154</v>
      </c>
      <c r="N7" s="5">
        <f>L7+M7</f>
        <v>1043330.8721905811</v>
      </c>
    </row>
    <row r="8" spans="1:14" x14ac:dyDescent="0.35">
      <c r="A8">
        <v>2022</v>
      </c>
      <c r="B8" s="87">
        <v>75</v>
      </c>
      <c r="C8" s="87">
        <f t="shared" si="1"/>
        <v>207</v>
      </c>
      <c r="D8" s="88">
        <f>'Est Charger #''s and cost'!F8-'EV Phase-in CBA '!I30</f>
        <v>115491.19464089916</v>
      </c>
      <c r="E8" s="88">
        <v>513675</v>
      </c>
      <c r="F8" s="90">
        <v>18</v>
      </c>
      <c r="G8" s="90">
        <f t="shared" si="2"/>
        <v>56</v>
      </c>
      <c r="H8" s="91">
        <f>'EV Phase-in CBA '!I49</f>
        <v>268173.36702862056</v>
      </c>
      <c r="I8" s="82">
        <f t="shared" si="0"/>
        <v>897339.56166951975</v>
      </c>
    </row>
    <row r="9" spans="1:14" x14ac:dyDescent="0.35">
      <c r="A9">
        <v>2023</v>
      </c>
      <c r="B9" s="87">
        <v>70</v>
      </c>
      <c r="C9" s="87">
        <f t="shared" si="1"/>
        <v>277</v>
      </c>
      <c r="D9" s="88">
        <f>'Est Charger #''s and cost'!F9-'EV Phase-in CBA '!J30</f>
        <v>155411.06124604543</v>
      </c>
      <c r="E9" s="88">
        <v>479430</v>
      </c>
      <c r="F9" s="90">
        <v>21</v>
      </c>
      <c r="G9" s="90">
        <f t="shared" si="2"/>
        <v>77</v>
      </c>
      <c r="H9" s="91">
        <f>'EV Phase-in CBA '!J49</f>
        <v>313361.40554704831</v>
      </c>
      <c r="I9" s="82">
        <f t="shared" si="0"/>
        <v>948202.46679309371</v>
      </c>
      <c r="J9" s="51">
        <f>I8+I9</f>
        <v>1845542.0284626135</v>
      </c>
      <c r="K9" s="72" t="s">
        <v>127</v>
      </c>
      <c r="L9" s="5">
        <f>E8+E9+D8+D9</f>
        <v>1264007.2558869445</v>
      </c>
      <c r="M9" s="5">
        <f>H8+H9</f>
        <v>581534.77257566887</v>
      </c>
      <c r="N9" s="5">
        <f>L9+M9</f>
        <v>1845542.0284626135</v>
      </c>
    </row>
    <row r="10" spans="1:14" x14ac:dyDescent="0.35">
      <c r="A10">
        <v>2024</v>
      </c>
      <c r="B10" s="87">
        <v>75</v>
      </c>
      <c r="C10" s="87">
        <f t="shared" si="1"/>
        <v>352</v>
      </c>
      <c r="D10" s="88">
        <f>'Est Charger #''s and cost'!F10-'EV Phase-in CBA '!K30</f>
        <v>197534.2982972195</v>
      </c>
      <c r="E10" s="88">
        <v>513675</v>
      </c>
      <c r="F10" s="90">
        <v>24</v>
      </c>
      <c r="G10" s="90">
        <f t="shared" si="2"/>
        <v>101</v>
      </c>
      <c r="H10" s="91">
        <f>'EV Phase-in CBA '!K49</f>
        <v>329938.39287172677</v>
      </c>
      <c r="I10" s="82">
        <f t="shared" si="0"/>
        <v>1041147.6911689462</v>
      </c>
    </row>
    <row r="11" spans="1:14" x14ac:dyDescent="0.35">
      <c r="A11">
        <v>2025</v>
      </c>
      <c r="B11" s="87">
        <v>75</v>
      </c>
      <c r="C11" s="87">
        <f t="shared" si="1"/>
        <v>427</v>
      </c>
      <c r="D11" s="88">
        <f>'Est Charger #''s and cost'!F11-'EV Phase-in CBA '!L30</f>
        <v>238366.9229853563</v>
      </c>
      <c r="E11" s="88">
        <v>513675</v>
      </c>
      <c r="F11" s="90">
        <v>28</v>
      </c>
      <c r="G11" s="90">
        <f t="shared" si="2"/>
        <v>129</v>
      </c>
      <c r="H11" s="91">
        <f>'EV Phase-in CBA '!L49</f>
        <v>310399.01602112094</v>
      </c>
      <c r="I11" s="82">
        <f t="shared" si="0"/>
        <v>1062440.9390064771</v>
      </c>
      <c r="J11" s="51">
        <f>I10+I11</f>
        <v>2103588.6301754233</v>
      </c>
      <c r="K11" s="72" t="s">
        <v>128</v>
      </c>
      <c r="L11" s="5">
        <f>D10+D11+E10+E11</f>
        <v>1463251.2212825757</v>
      </c>
      <c r="M11" s="5">
        <f>H10+H11</f>
        <v>640337.40889284771</v>
      </c>
      <c r="N11" s="5">
        <f>L11+M11</f>
        <v>2103588.6301754233</v>
      </c>
    </row>
    <row r="12" spans="1:14" x14ac:dyDescent="0.35">
      <c r="A12" t="s">
        <v>153</v>
      </c>
    </row>
    <row r="13" spans="1:14" x14ac:dyDescent="0.35">
      <c r="A13" t="s">
        <v>154</v>
      </c>
      <c r="J13" s="5">
        <f>SUM(J5:J11)</f>
        <v>5415003.0718505681</v>
      </c>
    </row>
    <row r="14" spans="1:14" x14ac:dyDescent="0.35">
      <c r="A14" t="s">
        <v>155</v>
      </c>
      <c r="I14" s="2"/>
    </row>
    <row r="15" spans="1:14" x14ac:dyDescent="0.35">
      <c r="A15" t="s">
        <v>152</v>
      </c>
    </row>
    <row r="17" spans="1:6" ht="18.5" x14ac:dyDescent="0.45">
      <c r="A17" s="92" t="s">
        <v>150</v>
      </c>
    </row>
    <row r="18" spans="1:6" ht="43.5" x14ac:dyDescent="0.35">
      <c r="A18" s="81" t="s">
        <v>143</v>
      </c>
      <c r="B18" s="81" t="s">
        <v>238</v>
      </c>
      <c r="C18" s="81" t="s">
        <v>237</v>
      </c>
      <c r="D18" s="81" t="s">
        <v>148</v>
      </c>
      <c r="E18" s="81" t="s">
        <v>398</v>
      </c>
      <c r="F18" s="81" t="s">
        <v>399</v>
      </c>
    </row>
    <row r="19" spans="1:6" x14ac:dyDescent="0.35">
      <c r="A19">
        <v>2018</v>
      </c>
      <c r="B19" s="83">
        <f>'EV Phase-in CBA '!E67</f>
        <v>23211.999105545616</v>
      </c>
      <c r="C19" s="83">
        <f>'EV Phase-in CBA '!E69</f>
        <v>5722.9745501804337</v>
      </c>
      <c r="D19" s="83">
        <f>B19-C19</f>
        <v>17489.024555365184</v>
      </c>
      <c r="E19" s="11"/>
    </row>
    <row r="20" spans="1:6" x14ac:dyDescent="0.35">
      <c r="A20">
        <v>2019</v>
      </c>
      <c r="B20" s="83">
        <f>'EV Phase-in CBA '!F67</f>
        <v>82342.358072682924</v>
      </c>
      <c r="C20" s="83">
        <f>'EV Phase-in CBA '!F69</f>
        <v>20727.398428979457</v>
      </c>
      <c r="D20" s="83">
        <f t="shared" ref="D20:D26" si="3">B20-C20</f>
        <v>61614.959643703463</v>
      </c>
      <c r="E20" s="11">
        <f>D19+D20</f>
        <v>79103.984199068655</v>
      </c>
      <c r="F20" s="135">
        <f>E20/2204.6</f>
        <v>35.881331851160603</v>
      </c>
    </row>
    <row r="21" spans="1:6" x14ac:dyDescent="0.35">
      <c r="A21">
        <v>2020</v>
      </c>
      <c r="B21" s="83">
        <f>'EV Phase-in CBA '!G67</f>
        <v>166076.65847028801</v>
      </c>
      <c r="C21" s="83">
        <f>'EV Phase-in CBA '!G69</f>
        <v>42707.348082822493</v>
      </c>
      <c r="D21" s="83">
        <f t="shared" si="3"/>
        <v>123369.31038746552</v>
      </c>
      <c r="E21" s="11"/>
      <c r="F21" s="135"/>
    </row>
    <row r="22" spans="1:6" x14ac:dyDescent="0.35">
      <c r="A22">
        <v>2021</v>
      </c>
      <c r="B22" s="83">
        <f>'EV Phase-in CBA '!H67</f>
        <v>272872.17855175596</v>
      </c>
      <c r="C22" s="83">
        <f>'EV Phase-in CBA '!H69</f>
        <v>71487.169489290012</v>
      </c>
      <c r="D22" s="83">
        <f t="shared" si="3"/>
        <v>201385.00906246595</v>
      </c>
      <c r="E22" s="11">
        <f>D21+D22</f>
        <v>324754.3194499315</v>
      </c>
      <c r="F22" s="135">
        <f t="shared" ref="F22:F26" si="4">E22/2204.6</f>
        <v>147.30759296467909</v>
      </c>
    </row>
    <row r="23" spans="1:6" x14ac:dyDescent="0.35">
      <c r="A23">
        <v>2022</v>
      </c>
      <c r="B23" s="83">
        <f>'EV Phase-in CBA '!I67</f>
        <v>405413.69038067502</v>
      </c>
      <c r="C23" s="83">
        <f>'EV Phase-in CBA '!I69</f>
        <v>108141.6092245754</v>
      </c>
      <c r="D23" s="83">
        <f t="shared" si="3"/>
        <v>297272.08115609962</v>
      </c>
      <c r="E23" s="11"/>
      <c r="F23" s="135"/>
    </row>
    <row r="24" spans="1:6" x14ac:dyDescent="0.35">
      <c r="A24">
        <v>2023</v>
      </c>
      <c r="B24" s="83">
        <f>'EV Phase-in CBA '!J67</f>
        <v>562304.56991184596</v>
      </c>
      <c r="C24" s="83">
        <f>'EV Phase-in CBA '!J69</f>
        <v>152597.28684682606</v>
      </c>
      <c r="D24" s="83">
        <f t="shared" si="3"/>
        <v>409707.28306501987</v>
      </c>
      <c r="E24" s="11">
        <f>D23+D24</f>
        <v>706979.36422111955</v>
      </c>
      <c r="F24" s="135">
        <f t="shared" si="4"/>
        <v>320.68373592539217</v>
      </c>
    </row>
    <row r="25" spans="1:6" x14ac:dyDescent="0.35">
      <c r="A25">
        <v>2024</v>
      </c>
      <c r="B25" s="83">
        <f>'EV Phase-in CBA '!K67</f>
        <v>738177.99858600122</v>
      </c>
      <c r="C25" s="83">
        <f>'EV Phase-in CBA '!K69</f>
        <v>203638.40612003321</v>
      </c>
      <c r="D25" s="83">
        <f t="shared" si="3"/>
        <v>534539.59246596799</v>
      </c>
      <c r="E25" s="11"/>
      <c r="F25" s="135"/>
    </row>
    <row r="26" spans="1:6" ht="15" thickBot="1" x14ac:dyDescent="0.4">
      <c r="A26">
        <v>2025</v>
      </c>
      <c r="B26" s="84">
        <f>'EV Phase-in CBA '!L67</f>
        <v>935726.58694886614</v>
      </c>
      <c r="C26" s="84">
        <f>'EV Phase-in CBA '!L69</f>
        <v>262324.31669617491</v>
      </c>
      <c r="D26" s="84">
        <f t="shared" si="3"/>
        <v>673402.27025269123</v>
      </c>
      <c r="E26" s="11">
        <f>D25+D26</f>
        <v>1207941.8627186592</v>
      </c>
      <c r="F26" s="135">
        <f t="shared" si="4"/>
        <v>547.91883458162897</v>
      </c>
    </row>
    <row r="27" spans="1:6" x14ac:dyDescent="0.35">
      <c r="A27" s="72" t="s">
        <v>149</v>
      </c>
      <c r="B27" s="85">
        <f>SUM(B19:B26)</f>
        <v>3186126.0400276608</v>
      </c>
      <c r="C27" s="85">
        <f>SUM(C19:C26)</f>
        <v>867346.509438882</v>
      </c>
      <c r="D27" s="85">
        <f>SUM(D19:D26)</f>
        <v>2318779.5305887787</v>
      </c>
      <c r="E27" s="11"/>
    </row>
    <row r="29" spans="1:6" ht="18.5" x14ac:dyDescent="0.45">
      <c r="A29" s="92" t="s">
        <v>236</v>
      </c>
    </row>
    <row r="30" spans="1:6" ht="58" x14ac:dyDescent="0.35">
      <c r="B30" s="81" t="s">
        <v>238</v>
      </c>
      <c r="C30" s="81" t="s">
        <v>239</v>
      </c>
      <c r="D30" s="81" t="s">
        <v>240</v>
      </c>
      <c r="E30" s="81"/>
    </row>
    <row r="31" spans="1:6" x14ac:dyDescent="0.35">
      <c r="A31">
        <v>2018</v>
      </c>
      <c r="B31" s="83">
        <f>'EV Phase-in CBA '!E67</f>
        <v>23211.999105545616</v>
      </c>
      <c r="C31" s="83">
        <f>'EV Phase-in CBA '!E69</f>
        <v>5722.9745501804337</v>
      </c>
      <c r="D31" s="11">
        <f>B31-C31</f>
        <v>17489.024555365184</v>
      </c>
    </row>
    <row r="32" spans="1:6" x14ac:dyDescent="0.35">
      <c r="A32">
        <v>2019</v>
      </c>
      <c r="B32" s="83">
        <f>'EV Phase-in CBA '!F67</f>
        <v>82342.358072682924</v>
      </c>
      <c r="C32" s="83">
        <f>'EV Phase-in CBA '!F69</f>
        <v>20727.398428979457</v>
      </c>
      <c r="D32" s="11">
        <f t="shared" ref="D32:D49" si="5">B32-C32</f>
        <v>61614.959643703463</v>
      </c>
    </row>
    <row r="33" spans="1:4" x14ac:dyDescent="0.35">
      <c r="A33">
        <v>2020</v>
      </c>
      <c r="B33" s="83">
        <f>'EV Phase-in CBA '!G67</f>
        <v>166076.65847028801</v>
      </c>
      <c r="C33" s="83">
        <f>'EV Phase-in CBA '!G69</f>
        <v>42707.348082822493</v>
      </c>
      <c r="D33" s="11">
        <f t="shared" si="5"/>
        <v>123369.31038746552</v>
      </c>
    </row>
    <row r="34" spans="1:4" x14ac:dyDescent="0.35">
      <c r="A34">
        <v>2021</v>
      </c>
      <c r="B34" s="83">
        <f>'EV Phase-in CBA '!H67</f>
        <v>272872.17855175596</v>
      </c>
      <c r="C34" s="83">
        <f>'EV Phase-in CBA '!H69</f>
        <v>71487.169489290012</v>
      </c>
      <c r="D34" s="11">
        <f t="shared" si="5"/>
        <v>201385.00906246595</v>
      </c>
    </row>
    <row r="35" spans="1:4" x14ac:dyDescent="0.35">
      <c r="A35">
        <v>2022</v>
      </c>
      <c r="B35" s="83">
        <f>'EV Phase-in CBA '!I67</f>
        <v>405413.69038067502</v>
      </c>
      <c r="C35" s="83">
        <f>'EV Phase-in CBA '!I69</f>
        <v>108141.6092245754</v>
      </c>
      <c r="D35" s="11">
        <f t="shared" si="5"/>
        <v>297272.08115609962</v>
      </c>
    </row>
    <row r="36" spans="1:4" x14ac:dyDescent="0.35">
      <c r="A36">
        <v>2023</v>
      </c>
      <c r="B36" s="83">
        <f>'EV Phase-in CBA '!J67</f>
        <v>562304.56991184596</v>
      </c>
      <c r="C36" s="83">
        <f>'EV Phase-in CBA '!J69</f>
        <v>152597.28684682606</v>
      </c>
      <c r="D36" s="11">
        <f t="shared" si="5"/>
        <v>409707.28306501987</v>
      </c>
    </row>
    <row r="37" spans="1:4" x14ac:dyDescent="0.35">
      <c r="A37">
        <v>2024</v>
      </c>
      <c r="B37" s="83">
        <f>'EV Phase-in CBA '!K67</f>
        <v>738177.99858600122</v>
      </c>
      <c r="C37" s="83">
        <f>'EV Phase-in CBA '!K69</f>
        <v>203638.40612003321</v>
      </c>
      <c r="D37" s="11">
        <f t="shared" si="5"/>
        <v>534539.59246596799</v>
      </c>
    </row>
    <row r="38" spans="1:4" x14ac:dyDescent="0.35">
      <c r="A38">
        <v>2025</v>
      </c>
      <c r="B38" s="83">
        <f>'EV Phase-in CBA '!L67</f>
        <v>935726.58694886614</v>
      </c>
      <c r="C38" s="83">
        <f>'EV Phase-in CBA '!L69</f>
        <v>262324.31669617491</v>
      </c>
      <c r="D38" s="11">
        <f t="shared" si="5"/>
        <v>673402.27025269123</v>
      </c>
    </row>
    <row r="39" spans="1:4" x14ac:dyDescent="0.35">
      <c r="A39">
        <v>2026</v>
      </c>
      <c r="B39" s="83">
        <f>'EV Phase-in CBA '!N67</f>
        <v>1040730.6938852823</v>
      </c>
      <c r="C39" s="83">
        <f>'EV Phase-in CBA '!M69</f>
        <v>293851.66696731787</v>
      </c>
      <c r="D39" s="11">
        <f t="shared" si="5"/>
        <v>746879.02691796445</v>
      </c>
    </row>
    <row r="40" spans="1:4" x14ac:dyDescent="0.35">
      <c r="A40">
        <v>2027</v>
      </c>
      <c r="B40" s="83">
        <f>'EV Phase-in CBA '!N67</f>
        <v>1040730.6938852823</v>
      </c>
      <c r="C40" s="83">
        <f>'EV Phase-in CBA '!N69</f>
        <v>293851.66696731787</v>
      </c>
      <c r="D40" s="11">
        <f t="shared" si="5"/>
        <v>746879.02691796445</v>
      </c>
    </row>
    <row r="41" spans="1:4" x14ac:dyDescent="0.35">
      <c r="A41">
        <v>2028</v>
      </c>
      <c r="B41" s="83">
        <f>'EV Phase-in CBA '!O67</f>
        <v>1040730.6938852823</v>
      </c>
      <c r="C41" s="83">
        <f>'EV Phase-in CBA '!O69</f>
        <v>293851.66696731787</v>
      </c>
      <c r="D41" s="11">
        <f t="shared" si="5"/>
        <v>746879.02691796445</v>
      </c>
    </row>
    <row r="42" spans="1:4" x14ac:dyDescent="0.35">
      <c r="A42">
        <v>2029</v>
      </c>
      <c r="B42" s="83">
        <f>'EV Phase-in CBA '!P67</f>
        <v>1017518.6947797367</v>
      </c>
      <c r="C42" s="83">
        <f>'EV Phase-in CBA '!P69</f>
        <v>288128.69241713738</v>
      </c>
      <c r="D42" s="11">
        <f t="shared" si="5"/>
        <v>729390.00236259936</v>
      </c>
    </row>
    <row r="43" spans="1:4" x14ac:dyDescent="0.35">
      <c r="A43">
        <v>2030</v>
      </c>
      <c r="B43" s="83">
        <f>'EV Phase-in CBA '!Q67</f>
        <v>981600.33491814497</v>
      </c>
      <c r="C43" s="83">
        <f>'EV Phase-in CBA '!Q69</f>
        <v>273124.26853833837</v>
      </c>
      <c r="D43" s="11">
        <f t="shared" si="5"/>
        <v>708476.06637980661</v>
      </c>
    </row>
    <row r="44" spans="1:4" x14ac:dyDescent="0.35">
      <c r="A44">
        <v>2031</v>
      </c>
      <c r="B44" s="83">
        <f>'EV Phase-in CBA '!R67</f>
        <v>933784.39438213164</v>
      </c>
      <c r="C44" s="83">
        <f>'EV Phase-in CBA '!R69</f>
        <v>251144.31888449535</v>
      </c>
      <c r="D44" s="11">
        <f t="shared" si="5"/>
        <v>682640.07549763634</v>
      </c>
    </row>
    <row r="45" spans="1:4" x14ac:dyDescent="0.35">
      <c r="A45">
        <v>2032</v>
      </c>
      <c r="B45" s="83">
        <f>'EV Phase-in CBA '!S67</f>
        <v>874804.81483667705</v>
      </c>
      <c r="C45" s="83">
        <f>'EV Phase-in CBA '!S69</f>
        <v>222364.49747802783</v>
      </c>
      <c r="D45" s="11">
        <f t="shared" si="5"/>
        <v>652440.31735864922</v>
      </c>
    </row>
    <row r="46" spans="1:4" x14ac:dyDescent="0.35">
      <c r="A46">
        <v>2033</v>
      </c>
      <c r="B46" s="83">
        <f>'EV Phase-in CBA '!T67</f>
        <v>801242.88255321258</v>
      </c>
      <c r="C46" s="83">
        <f>'EV Phase-in CBA '!T69</f>
        <v>185710.05774274244</v>
      </c>
      <c r="D46" s="11">
        <f t="shared" si="5"/>
        <v>615532.82481047011</v>
      </c>
    </row>
    <row r="47" spans="1:4" x14ac:dyDescent="0.35">
      <c r="A47">
        <v>2034</v>
      </c>
      <c r="B47" s="83">
        <f>'EV Phase-in CBA '!U67</f>
        <v>717913.93530550611</v>
      </c>
      <c r="C47" s="83">
        <f>'EV Phase-in CBA '!U69</f>
        <v>141254.38012049178</v>
      </c>
      <c r="D47" s="11">
        <f t="shared" si="5"/>
        <v>576659.55518501438</v>
      </c>
    </row>
    <row r="48" spans="1:4" x14ac:dyDescent="0.35">
      <c r="A48">
        <v>2035</v>
      </c>
      <c r="B48" s="122">
        <f>'EV Phase-in CBA '!V67</f>
        <v>625369.45387905731</v>
      </c>
      <c r="C48" s="122">
        <f>'EV Phase-in CBA '!V69</f>
        <v>90213.260847284633</v>
      </c>
      <c r="D48" s="123">
        <f t="shared" si="5"/>
        <v>535156.19303177274</v>
      </c>
    </row>
    <row r="49" spans="1:4" ht="15" thickBot="1" x14ac:dyDescent="0.4">
      <c r="A49">
        <v>2036</v>
      </c>
      <c r="B49" s="84">
        <f>'EV Phase-in CBA '!W67</f>
        <v>520365.34694264119</v>
      </c>
      <c r="C49" s="84">
        <f>'EV Phase-in CBA '!W69</f>
        <v>31527.35027114291</v>
      </c>
      <c r="D49" s="123">
        <f t="shared" si="5"/>
        <v>488837.99667149829</v>
      </c>
    </row>
    <row r="50" spans="1:4" x14ac:dyDescent="0.35">
      <c r="B50" s="85">
        <f>SUM(B31:B48)</f>
        <v>12260552.632337974</v>
      </c>
      <c r="C50" s="85">
        <f>SUM(C31:C48)</f>
        <v>3200840.9863693528</v>
      </c>
      <c r="D50" s="85">
        <f>SUM(D31:D48)</f>
        <v>9059711.6459686216</v>
      </c>
    </row>
  </sheetData>
  <mergeCells count="2">
    <mergeCell ref="F2:G2"/>
    <mergeCell ref="B2:E2"/>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71"/>
  <sheetViews>
    <sheetView workbookViewId="0">
      <pane ySplit="2" topLeftCell="A3" activePane="bottomLeft" state="frozen"/>
      <selection pane="bottomLeft" activeCell="N21" sqref="N21"/>
    </sheetView>
  </sheetViews>
  <sheetFormatPr defaultRowHeight="14.5" x14ac:dyDescent="0.35"/>
  <cols>
    <col min="1" max="1" width="50.36328125" customWidth="1"/>
    <col min="3" max="3" width="15.81640625" customWidth="1"/>
    <col min="4" max="4" width="22.7265625" customWidth="1"/>
    <col min="5" max="10" width="11" customWidth="1"/>
    <col min="11" max="11" width="11.7265625" customWidth="1"/>
    <col min="12" max="12" width="11.81640625" customWidth="1"/>
    <col min="13" max="13" width="10.81640625" customWidth="1"/>
    <col min="14" max="14" width="10.54296875" customWidth="1"/>
    <col min="15" max="15" width="11.1796875" customWidth="1"/>
    <col min="16" max="16" width="11" customWidth="1"/>
    <col min="17" max="18" width="10.54296875" customWidth="1"/>
    <col min="19" max="19" width="10.7265625" customWidth="1"/>
    <col min="20" max="20" width="12.1796875" customWidth="1"/>
    <col min="21" max="21" width="12.36328125" customWidth="1"/>
    <col min="22" max="23" width="12" customWidth="1"/>
    <col min="24" max="24" width="14.26953125" bestFit="1" customWidth="1"/>
    <col min="25" max="25" width="11.54296875" bestFit="1" customWidth="1"/>
    <col min="26" max="26" width="9.54296875" bestFit="1" customWidth="1"/>
  </cols>
  <sheetData>
    <row r="1" spans="1:26" x14ac:dyDescent="0.35">
      <c r="D1" s="2" t="s">
        <v>193</v>
      </c>
      <c r="E1">
        <v>5</v>
      </c>
      <c r="F1">
        <v>8</v>
      </c>
      <c r="G1">
        <v>11</v>
      </c>
      <c r="H1">
        <v>14</v>
      </c>
      <c r="I1">
        <v>18</v>
      </c>
      <c r="J1">
        <v>21</v>
      </c>
      <c r="K1">
        <v>24</v>
      </c>
      <c r="L1">
        <v>28</v>
      </c>
    </row>
    <row r="2" spans="1:26" x14ac:dyDescent="0.35">
      <c r="D2" s="19" t="s">
        <v>22</v>
      </c>
      <c r="E2">
        <v>2018</v>
      </c>
      <c r="F2">
        <v>2019</v>
      </c>
      <c r="G2">
        <v>2020</v>
      </c>
      <c r="H2">
        <v>2021</v>
      </c>
      <c r="I2">
        <v>2022</v>
      </c>
      <c r="J2">
        <v>2023</v>
      </c>
      <c r="K2">
        <v>2024</v>
      </c>
      <c r="L2">
        <v>2025</v>
      </c>
      <c r="M2">
        <v>2026</v>
      </c>
      <c r="N2">
        <v>2027</v>
      </c>
      <c r="O2" s="2">
        <v>2028</v>
      </c>
      <c r="P2" s="16">
        <v>2029</v>
      </c>
      <c r="Q2" s="16">
        <v>2030</v>
      </c>
      <c r="R2" s="16">
        <v>2031</v>
      </c>
      <c r="S2" s="16">
        <v>2032</v>
      </c>
      <c r="T2" s="16">
        <v>2033</v>
      </c>
      <c r="U2" s="16">
        <v>2034</v>
      </c>
      <c r="V2" s="16">
        <v>2035</v>
      </c>
      <c r="W2" s="16">
        <v>2036</v>
      </c>
      <c r="X2" s="16" t="s">
        <v>9</v>
      </c>
      <c r="Y2" s="16"/>
      <c r="Z2" s="16"/>
    </row>
    <row r="3" spans="1:26" x14ac:dyDescent="0.35">
      <c r="A3" s="2" t="s">
        <v>16</v>
      </c>
      <c r="B3">
        <v>224</v>
      </c>
      <c r="D3" s="18" t="s">
        <v>17</v>
      </c>
      <c r="E3">
        <f t="shared" ref="E3:L3" si="0">$B5</f>
        <v>110</v>
      </c>
      <c r="F3">
        <f t="shared" si="0"/>
        <v>110</v>
      </c>
      <c r="G3">
        <f t="shared" si="0"/>
        <v>110</v>
      </c>
      <c r="H3">
        <f t="shared" si="0"/>
        <v>110</v>
      </c>
      <c r="I3">
        <f t="shared" si="0"/>
        <v>110</v>
      </c>
      <c r="J3">
        <f t="shared" si="0"/>
        <v>110</v>
      </c>
      <c r="K3">
        <f t="shared" si="0"/>
        <v>110</v>
      </c>
      <c r="L3">
        <f t="shared" si="0"/>
        <v>110</v>
      </c>
      <c r="O3" s="2"/>
      <c r="P3" s="16"/>
      <c r="Q3" s="16"/>
      <c r="R3" s="16"/>
      <c r="S3" s="16"/>
      <c r="T3" s="16"/>
      <c r="U3" s="16"/>
      <c r="V3" s="16"/>
      <c r="W3" s="16"/>
    </row>
    <row r="4" spans="1:26" x14ac:dyDescent="0.35">
      <c r="A4" s="2" t="s">
        <v>19</v>
      </c>
      <c r="B4">
        <v>225</v>
      </c>
      <c r="D4" s="18" t="s">
        <v>18</v>
      </c>
      <c r="E4" s="13">
        <v>0.05</v>
      </c>
      <c r="F4" s="13">
        <v>7.0000000000000007E-2</v>
      </c>
      <c r="G4" s="13">
        <v>0.1</v>
      </c>
      <c r="H4" s="13">
        <v>0.13</v>
      </c>
      <c r="I4" s="13">
        <v>0.16</v>
      </c>
      <c r="J4" s="13">
        <v>0.19</v>
      </c>
      <c r="K4" s="13">
        <v>0.22</v>
      </c>
      <c r="L4" s="13">
        <v>0.25</v>
      </c>
      <c r="M4" s="13"/>
      <c r="N4" s="13"/>
      <c r="O4" s="2"/>
      <c r="P4" s="16"/>
      <c r="Q4" s="16"/>
      <c r="R4" s="16"/>
      <c r="S4" s="16"/>
      <c r="T4" s="16"/>
      <c r="U4" s="16"/>
      <c r="V4" s="16"/>
      <c r="W4" s="16"/>
    </row>
    <row r="5" spans="1:26" x14ac:dyDescent="0.35">
      <c r="A5" s="2" t="s">
        <v>20</v>
      </c>
      <c r="B5">
        <v>110</v>
      </c>
      <c r="C5" s="27"/>
      <c r="D5" s="28" t="s">
        <v>194</v>
      </c>
      <c r="E5" s="104">
        <f>E1/2</f>
        <v>2.5</v>
      </c>
      <c r="F5" s="104">
        <f>(F1/2)+E6</f>
        <v>6.5</v>
      </c>
      <c r="G5" s="106">
        <f>(G1/2)+(F1/2)</f>
        <v>9.5</v>
      </c>
      <c r="H5" s="106">
        <f t="shared" ref="H5:M5" si="1">(H1/2)+(G1/2)</f>
        <v>12.5</v>
      </c>
      <c r="I5" s="106">
        <f t="shared" si="1"/>
        <v>16</v>
      </c>
      <c r="J5" s="106">
        <f t="shared" si="1"/>
        <v>19.5</v>
      </c>
      <c r="K5" s="106">
        <f t="shared" si="1"/>
        <v>22.5</v>
      </c>
      <c r="L5" s="106">
        <f t="shared" si="1"/>
        <v>26</v>
      </c>
      <c r="M5" s="106">
        <f t="shared" si="1"/>
        <v>14</v>
      </c>
      <c r="N5" s="15"/>
      <c r="O5" s="2"/>
      <c r="P5" s="16"/>
      <c r="Q5" s="16"/>
      <c r="R5" s="16"/>
      <c r="S5" s="16"/>
      <c r="T5" s="16"/>
      <c r="U5" s="16"/>
      <c r="V5" s="16"/>
      <c r="W5" s="16"/>
    </row>
    <row r="6" spans="1:26" x14ac:dyDescent="0.35">
      <c r="A6" s="124"/>
      <c r="C6" s="32"/>
      <c r="D6" s="33" t="s">
        <v>21</v>
      </c>
      <c r="E6" s="102">
        <f>E5</f>
        <v>2.5</v>
      </c>
      <c r="F6" s="102">
        <f>E6+F5</f>
        <v>9</v>
      </c>
      <c r="G6" s="102">
        <f>F6+G5</f>
        <v>18.5</v>
      </c>
      <c r="H6" s="34">
        <f t="shared" ref="H6" si="2">G6+H5</f>
        <v>31</v>
      </c>
      <c r="I6" s="34">
        <f t="shared" ref="I6" si="3">H6+I5</f>
        <v>47</v>
      </c>
      <c r="J6" s="34">
        <f t="shared" ref="J6" si="4">I6+J5</f>
        <v>66.5</v>
      </c>
      <c r="K6" s="34">
        <f t="shared" ref="K6" si="5">J6+K5</f>
        <v>89</v>
      </c>
      <c r="L6" s="34">
        <f t="shared" ref="L6" si="6">K6+L5</f>
        <v>115</v>
      </c>
      <c r="M6" s="34">
        <f t="shared" ref="M6" si="7">L6+M5</f>
        <v>129</v>
      </c>
      <c r="N6" s="34">
        <f t="shared" ref="N6" si="8">M6+N5</f>
        <v>129</v>
      </c>
      <c r="O6" s="34">
        <f t="shared" ref="O6" si="9">N6+O5</f>
        <v>129</v>
      </c>
      <c r="P6" s="102">
        <f>O6-E5</f>
        <v>126.5</v>
      </c>
      <c r="Q6" s="102">
        <f t="shared" ref="Q6:W6" si="10">P6-F5</f>
        <v>120</v>
      </c>
      <c r="R6" s="102">
        <f t="shared" si="10"/>
        <v>110.5</v>
      </c>
      <c r="S6" s="102">
        <f t="shared" si="10"/>
        <v>98</v>
      </c>
      <c r="T6" s="102">
        <f t="shared" si="10"/>
        <v>82</v>
      </c>
      <c r="U6" s="102">
        <f t="shared" si="10"/>
        <v>62.5</v>
      </c>
      <c r="V6" s="102">
        <f t="shared" si="10"/>
        <v>40</v>
      </c>
      <c r="W6" s="102">
        <f t="shared" si="10"/>
        <v>14</v>
      </c>
      <c r="X6" s="15"/>
      <c r="Y6" s="15"/>
      <c r="Z6" s="15"/>
    </row>
    <row r="7" spans="1:26" x14ac:dyDescent="0.35">
      <c r="A7" s="124"/>
      <c r="D7" s="18" t="s">
        <v>198</v>
      </c>
      <c r="E7" s="10">
        <f t="shared" ref="E7:M7" si="11">(E5*$B$10)</f>
        <v>24962.5</v>
      </c>
      <c r="F7" s="10">
        <f t="shared" si="11"/>
        <v>64902.5</v>
      </c>
      <c r="G7" s="10">
        <f t="shared" si="11"/>
        <v>94857.5</v>
      </c>
      <c r="H7" s="10">
        <f t="shared" si="11"/>
        <v>124812.5</v>
      </c>
      <c r="I7" s="10">
        <f t="shared" si="11"/>
        <v>159760</v>
      </c>
      <c r="J7" s="10">
        <f t="shared" si="11"/>
        <v>194707.5</v>
      </c>
      <c r="K7" s="10">
        <f t="shared" si="11"/>
        <v>224662.5</v>
      </c>
      <c r="L7" s="10">
        <f t="shared" si="11"/>
        <v>259610</v>
      </c>
      <c r="M7" s="10">
        <f t="shared" si="11"/>
        <v>139790</v>
      </c>
      <c r="N7" s="10"/>
      <c r="O7" s="10"/>
      <c r="P7" s="10">
        <f t="shared" ref="P7:W7" si="12">E7</f>
        <v>24962.5</v>
      </c>
      <c r="Q7" s="10">
        <f t="shared" si="12"/>
        <v>64902.5</v>
      </c>
      <c r="R7" s="10">
        <f t="shared" si="12"/>
        <v>94857.5</v>
      </c>
      <c r="S7" s="10">
        <f t="shared" si="12"/>
        <v>124812.5</v>
      </c>
      <c r="T7" s="10">
        <f t="shared" si="12"/>
        <v>159760</v>
      </c>
      <c r="U7" s="10">
        <f t="shared" si="12"/>
        <v>194707.5</v>
      </c>
      <c r="V7" s="10">
        <f t="shared" si="12"/>
        <v>224662.5</v>
      </c>
      <c r="W7" s="10">
        <f t="shared" si="12"/>
        <v>259610</v>
      </c>
      <c r="X7" s="8"/>
    </row>
    <row r="8" spans="1:26" x14ac:dyDescent="0.35">
      <c r="A8" s="124"/>
      <c r="D8" s="18" t="s">
        <v>187</v>
      </c>
      <c r="E8" s="10">
        <f>E6*$B$10</f>
        <v>24962.5</v>
      </c>
      <c r="F8" s="10">
        <f t="shared" ref="F8:M8" si="13">F6*$B$10</f>
        <v>89865</v>
      </c>
      <c r="G8" s="10">
        <f t="shared" si="13"/>
        <v>184722.5</v>
      </c>
      <c r="H8" s="10">
        <f t="shared" si="13"/>
        <v>309535</v>
      </c>
      <c r="I8" s="10">
        <f t="shared" si="13"/>
        <v>469295</v>
      </c>
      <c r="J8" s="10">
        <f t="shared" si="13"/>
        <v>664002.5</v>
      </c>
      <c r="K8" s="10">
        <f t="shared" si="13"/>
        <v>888665</v>
      </c>
      <c r="L8" s="10">
        <f t="shared" si="13"/>
        <v>1148275</v>
      </c>
      <c r="M8" s="10">
        <f t="shared" si="13"/>
        <v>1288065</v>
      </c>
      <c r="N8" s="10">
        <f t="shared" ref="N8:W8" si="14">N6*$B$10</f>
        <v>1288065</v>
      </c>
      <c r="O8" s="10">
        <f t="shared" si="14"/>
        <v>1288065</v>
      </c>
      <c r="P8" s="10">
        <f t="shared" si="14"/>
        <v>1263102.5</v>
      </c>
      <c r="Q8" s="10">
        <f t="shared" si="14"/>
        <v>1198200</v>
      </c>
      <c r="R8" s="10">
        <f t="shared" si="14"/>
        <v>1103342.5</v>
      </c>
      <c r="S8" s="10">
        <f t="shared" si="14"/>
        <v>978530</v>
      </c>
      <c r="T8" s="10">
        <f t="shared" si="14"/>
        <v>818770</v>
      </c>
      <c r="U8" s="10">
        <f t="shared" si="14"/>
        <v>624062.5</v>
      </c>
      <c r="V8" s="10">
        <f t="shared" si="14"/>
        <v>399400</v>
      </c>
      <c r="W8" s="10">
        <f t="shared" si="14"/>
        <v>139790</v>
      </c>
      <c r="X8" s="107">
        <f>SUM(E8:W8)</f>
        <v>14168715</v>
      </c>
      <c r="Y8" t="s">
        <v>186</v>
      </c>
    </row>
    <row r="9" spans="1:26" x14ac:dyDescent="0.35">
      <c r="A9" s="124"/>
      <c r="D9" s="2" t="s">
        <v>8</v>
      </c>
      <c r="E9" s="4">
        <v>27.95</v>
      </c>
      <c r="F9">
        <v>28.9</v>
      </c>
      <c r="G9">
        <v>29.85</v>
      </c>
      <c r="H9">
        <v>30.8</v>
      </c>
      <c r="I9">
        <v>31.75</v>
      </c>
      <c r="J9">
        <v>32.700000000000003</v>
      </c>
      <c r="K9">
        <v>33.65</v>
      </c>
      <c r="L9">
        <v>34.6</v>
      </c>
    </row>
    <row r="10" spans="1:26" x14ac:dyDescent="0.35">
      <c r="A10" s="136" t="s">
        <v>400</v>
      </c>
      <c r="B10" s="11">
        <v>9985</v>
      </c>
      <c r="D10" s="2" t="s">
        <v>23</v>
      </c>
      <c r="E10" s="15">
        <f>$B$10/E9</f>
        <v>357.24508050089446</v>
      </c>
      <c r="F10" s="15">
        <f t="shared" ref="F10:L10" si="15">$B$10/F9</f>
        <v>345.50173010380627</v>
      </c>
      <c r="G10" s="15">
        <f t="shared" si="15"/>
        <v>334.50586264656613</v>
      </c>
      <c r="H10" s="15">
        <f t="shared" si="15"/>
        <v>324.18831168831167</v>
      </c>
      <c r="I10" s="15">
        <f t="shared" si="15"/>
        <v>314.48818897637796</v>
      </c>
      <c r="J10" s="15">
        <f t="shared" si="15"/>
        <v>305.35168195718654</v>
      </c>
      <c r="K10" s="15">
        <f t="shared" si="15"/>
        <v>296.73105497771178</v>
      </c>
      <c r="L10" s="15">
        <f t="shared" si="15"/>
        <v>288.58381502890171</v>
      </c>
    </row>
    <row r="11" spans="1:26" x14ac:dyDescent="0.35">
      <c r="A11" s="25" t="s">
        <v>392</v>
      </c>
      <c r="B11" s="17"/>
      <c r="C11" s="17"/>
      <c r="D11" s="6" t="s">
        <v>24</v>
      </c>
      <c r="E11" s="10">
        <f>E10*E1</f>
        <v>1786.2254025044722</v>
      </c>
      <c r="F11" s="10">
        <f t="shared" ref="F11:L11" si="16">F10*F1</f>
        <v>2764.0138408304501</v>
      </c>
      <c r="G11" s="10">
        <f t="shared" si="16"/>
        <v>3679.5644891122274</v>
      </c>
      <c r="H11" s="10">
        <f t="shared" si="16"/>
        <v>4538.6363636363631</v>
      </c>
      <c r="I11" s="10">
        <f t="shared" si="16"/>
        <v>5660.787401574803</v>
      </c>
      <c r="J11" s="10">
        <f t="shared" si="16"/>
        <v>6412.3853211009173</v>
      </c>
      <c r="K11" s="10">
        <f t="shared" si="16"/>
        <v>7121.5453194650827</v>
      </c>
      <c r="L11" s="10">
        <f t="shared" si="16"/>
        <v>8080.3468208092481</v>
      </c>
    </row>
    <row r="12" spans="1:26" x14ac:dyDescent="0.35">
      <c r="A12" s="2" t="s">
        <v>13</v>
      </c>
      <c r="B12" s="9">
        <v>2.1299999999999999E-2</v>
      </c>
      <c r="C12" s="9"/>
      <c r="D12" s="6" t="s">
        <v>7</v>
      </c>
      <c r="E12" s="10">
        <f>E11/2</f>
        <v>893.11270125223609</v>
      </c>
      <c r="F12" s="8">
        <f>E11+(F11/2)</f>
        <v>3168.2323229196973</v>
      </c>
      <c r="G12" s="8">
        <f>E11+F11+(G11/2)</f>
        <v>6390.0214878910356</v>
      </c>
      <c r="H12" s="8">
        <f>E11+F11+G11+(H11/2)</f>
        <v>10499.121914265332</v>
      </c>
      <c r="I12" s="8">
        <f>E11+F11+G11+H11+(I11/2)</f>
        <v>15598.833796870913</v>
      </c>
      <c r="J12" s="8">
        <f>E11+F11+G11+H11+I11+(J11/2)</f>
        <v>21635.420158208774</v>
      </c>
      <c r="K12" s="8">
        <f>E11+F11+G11+H11+I11+J11+(K11/2)</f>
        <v>28402.385478491775</v>
      </c>
      <c r="L12" s="8">
        <f>E11+F11+G11+H11+I11+J11+K11+(L11/2)</f>
        <v>36003.331548628943</v>
      </c>
      <c r="M12" s="8">
        <f>E11+F11+G11+H11+I11+J11+K11+L11</f>
        <v>40043.504959033562</v>
      </c>
      <c r="N12" s="8">
        <f t="shared" ref="N12" si="17">M12+N11</f>
        <v>40043.504959033562</v>
      </c>
      <c r="O12" s="8">
        <f>N12</f>
        <v>40043.504959033562</v>
      </c>
      <c r="P12" s="8">
        <f>O12-(E11/2)</f>
        <v>39150.392257781328</v>
      </c>
      <c r="Q12" s="8">
        <f t="shared" ref="Q12:W12" si="18">P12-(F11/2)</f>
        <v>37768.385337366104</v>
      </c>
      <c r="R12" s="8">
        <f t="shared" si="18"/>
        <v>35928.603092809994</v>
      </c>
      <c r="S12" s="8">
        <f t="shared" si="18"/>
        <v>33659.28491099181</v>
      </c>
      <c r="T12" s="8">
        <f t="shared" si="18"/>
        <v>30828.891210204409</v>
      </c>
      <c r="U12" s="8">
        <f t="shared" si="18"/>
        <v>27622.698549653949</v>
      </c>
      <c r="V12" s="8">
        <f t="shared" si="18"/>
        <v>24061.925889921407</v>
      </c>
      <c r="W12" s="8">
        <f t="shared" si="18"/>
        <v>20021.752479516785</v>
      </c>
    </row>
    <row r="13" spans="1:26" x14ac:dyDescent="0.35">
      <c r="A13" s="2"/>
      <c r="B13" s="17"/>
      <c r="D13" s="14" t="s">
        <v>6</v>
      </c>
      <c r="E13">
        <f>'2019 AEO Fuel Price'!D26</f>
        <v>2.7936411538499999</v>
      </c>
      <c r="F13">
        <f>'2019 AEO Fuel Price'!E26</f>
        <v>2.8133997338280001</v>
      </c>
      <c r="G13">
        <f>'2019 AEO Fuel Price'!F26</f>
        <v>2.8976820891630002</v>
      </c>
      <c r="H13">
        <f>'2019 AEO Fuel Price'!G26</f>
        <v>2.9193304819720001</v>
      </c>
      <c r="I13">
        <f>'2019 AEO Fuel Price'!H26</f>
        <v>2.9272370715839999</v>
      </c>
      <c r="J13">
        <f>'2019 AEO Fuel Price'!I26</f>
        <v>2.9678151689110002</v>
      </c>
      <c r="K13">
        <f>'2019 AEO Fuel Price'!J26</f>
        <v>3.0085521920790002</v>
      </c>
      <c r="L13">
        <f>'2019 AEO Fuel Price'!K26</f>
        <v>3.0422282179110001</v>
      </c>
      <c r="M13">
        <f>'2019 AEO Fuel Price'!L26</f>
        <v>3.0672536397300001</v>
      </c>
      <c r="N13">
        <f>'2019 AEO Fuel Price'!M26</f>
        <v>3.1306283661649998</v>
      </c>
      <c r="O13">
        <f>'2019 AEO Fuel Price'!N26</f>
        <v>3.1529650506549998</v>
      </c>
      <c r="P13">
        <f>'2019 AEO Fuel Price'!O26</f>
        <v>3.2302564103210001</v>
      </c>
      <c r="Q13">
        <f>'2019 AEO Fuel Price'!P26</f>
        <v>3.2436192990220003</v>
      </c>
      <c r="R13">
        <f>'2019 AEO Fuel Price'!Q26</f>
        <v>3.2788770374789999</v>
      </c>
      <c r="S13">
        <f>'2019 AEO Fuel Price'!R26</f>
        <v>3.3063838616729999</v>
      </c>
      <c r="T13">
        <f>'2019 AEO Fuel Price'!S26</f>
        <v>3.3198323079670002</v>
      </c>
      <c r="U13">
        <f>'2019 AEO Fuel Price'!T26</f>
        <v>3.3440360518440002</v>
      </c>
      <c r="V13">
        <f>'2019 AEO Fuel Price'!U26</f>
        <v>3.3654918530020002</v>
      </c>
      <c r="W13">
        <f>'2019 AEO Fuel Price'!V26</f>
        <v>3.3934557195890003</v>
      </c>
    </row>
    <row r="14" spans="1:26" x14ac:dyDescent="0.35">
      <c r="A14" s="2"/>
      <c r="B14" s="9"/>
      <c r="C14" s="38"/>
      <c r="D14" s="39" t="s">
        <v>5</v>
      </c>
      <c r="E14" s="40">
        <f>E13*E12</f>
        <v>2495.036397244387</v>
      </c>
      <c r="F14" s="40">
        <f t="shared" ref="F14:W14" si="19">F13*F12</f>
        <v>8913.5039740075426</v>
      </c>
      <c r="G14" s="40">
        <f t="shared" si="19"/>
        <v>18516.25081482856</v>
      </c>
      <c r="H14" s="40">
        <f t="shared" si="19"/>
        <v>30650.406638254997</v>
      </c>
      <c r="I14" s="40">
        <f t="shared" si="19"/>
        <v>45661.484563677936</v>
      </c>
      <c r="J14" s="40">
        <f t="shared" si="19"/>
        <v>64209.92813129483</v>
      </c>
      <c r="K14" s="40">
        <f t="shared" si="19"/>
        <v>85450.059091589195</v>
      </c>
      <c r="L14" s="40">
        <f t="shared" si="19"/>
        <v>109530.35117604432</v>
      </c>
      <c r="M14" s="40">
        <f t="shared" si="19"/>
        <v>122823.586333142</v>
      </c>
      <c r="N14" s="40">
        <f t="shared" si="19"/>
        <v>125361.33250541931</v>
      </c>
      <c r="O14" s="40">
        <f t="shared" si="19"/>
        <v>126255.77164156298</v>
      </c>
      <c r="P14" s="40">
        <f t="shared" si="19"/>
        <v>126465.80555727979</v>
      </c>
      <c r="Q14" s="40">
        <f t="shared" si="19"/>
        <v>122506.26357318024</v>
      </c>
      <c r="R14" s="40">
        <f t="shared" si="19"/>
        <v>117805.47166971167</v>
      </c>
      <c r="S14" s="40">
        <f t="shared" si="19"/>
        <v>111290.51642515683</v>
      </c>
      <c r="T14" s="40">
        <f t="shared" si="19"/>
        <v>102346.74905843647</v>
      </c>
      <c r="U14" s="40">
        <f t="shared" si="19"/>
        <v>92371.299799261789</v>
      </c>
      <c r="V14" s="40">
        <f t="shared" si="19"/>
        <v>80980.215550068402</v>
      </c>
      <c r="W14" s="40">
        <f t="shared" si="19"/>
        <v>67942.930467811486</v>
      </c>
      <c r="X14" s="41">
        <f>SUM(E14:W14)</f>
        <v>1561576.9633679723</v>
      </c>
      <c r="Y14" t="s">
        <v>53</v>
      </c>
    </row>
    <row r="15" spans="1:26" x14ac:dyDescent="0.35">
      <c r="D15" s="2" t="s">
        <v>12</v>
      </c>
      <c r="E15" s="21">
        <v>7.9100000000000004E-2</v>
      </c>
      <c r="F15" s="21">
        <f t="shared" ref="F15:W15" si="20">E15*(1+$B12)</f>
        <v>8.0784830000000016E-2</v>
      </c>
      <c r="G15" s="21">
        <f t="shared" si="20"/>
        <v>8.2505546879000025E-2</v>
      </c>
      <c r="H15" s="21">
        <f t="shared" si="20"/>
        <v>8.4262915027522728E-2</v>
      </c>
      <c r="I15" s="21">
        <f t="shared" si="20"/>
        <v>8.6057715117608971E-2</v>
      </c>
      <c r="J15" s="21">
        <f t="shared" si="20"/>
        <v>8.7890744449614047E-2</v>
      </c>
      <c r="K15" s="21">
        <f t="shared" si="20"/>
        <v>8.9762817306390838E-2</v>
      </c>
      <c r="L15" s="21">
        <f t="shared" si="20"/>
        <v>9.1674765315016976E-2</v>
      </c>
      <c r="M15" s="21">
        <f t="shared" si="20"/>
        <v>9.3627437816226844E-2</v>
      </c>
      <c r="N15" s="21">
        <f t="shared" si="20"/>
        <v>9.5621702241712486E-2</v>
      </c>
      <c r="O15" s="21">
        <f t="shared" si="20"/>
        <v>9.765844449946097E-2</v>
      </c>
      <c r="P15" s="21">
        <f t="shared" si="20"/>
        <v>9.9738569367299496E-2</v>
      </c>
      <c r="Q15" s="21">
        <f t="shared" si="20"/>
        <v>0.10186300089482299</v>
      </c>
      <c r="R15" s="21">
        <f t="shared" si="20"/>
        <v>0.10403268281388273</v>
      </c>
      <c r="S15" s="21">
        <f t="shared" si="20"/>
        <v>0.10624857895781843</v>
      </c>
      <c r="T15" s="21">
        <f t="shared" si="20"/>
        <v>0.10851167368961998</v>
      </c>
      <c r="U15" s="21">
        <f t="shared" si="20"/>
        <v>0.11082297233920889</v>
      </c>
      <c r="V15" s="21">
        <f t="shared" si="20"/>
        <v>0.11318350165003405</v>
      </c>
      <c r="W15" s="21">
        <f t="shared" si="20"/>
        <v>0.11559431023517978</v>
      </c>
    </row>
    <row r="16" spans="1:26" x14ac:dyDescent="0.35">
      <c r="C16" s="30"/>
      <c r="D16" s="36" t="s">
        <v>51</v>
      </c>
      <c r="E16" s="37">
        <f>E8*E15</f>
        <v>1974.5337500000001</v>
      </c>
      <c r="F16" s="37">
        <f t="shared" ref="F16:W16" si="21">F8*F15</f>
        <v>7259.728747950001</v>
      </c>
      <c r="G16" s="37">
        <f t="shared" si="21"/>
        <v>15240.630883356082</v>
      </c>
      <c r="H16" s="37">
        <f t="shared" si="21"/>
        <v>26082.321403044247</v>
      </c>
      <c r="I16" s="37">
        <f t="shared" si="21"/>
        <v>40386.455416118304</v>
      </c>
      <c r="J16" s="37">
        <f t="shared" si="21"/>
        <v>58359.674041404855</v>
      </c>
      <c r="K16" s="37">
        <f t="shared" si="21"/>
        <v>79769.074041583808</v>
      </c>
      <c r="L16" s="37">
        <f t="shared" si="21"/>
        <v>105267.84114210111</v>
      </c>
      <c r="M16" s="37">
        <f t="shared" si="21"/>
        <v>120598.22569075823</v>
      </c>
      <c r="N16" s="37">
        <f t="shared" si="21"/>
        <v>123166.96789797139</v>
      </c>
      <c r="O16" s="37">
        <f t="shared" si="21"/>
        <v>125790.4243141982</v>
      </c>
      <c r="P16" s="37">
        <f t="shared" si="21"/>
        <v>125980.03631425941</v>
      </c>
      <c r="Q16" s="37">
        <f t="shared" si="21"/>
        <v>122052.24767217691</v>
      </c>
      <c r="R16" s="37">
        <f t="shared" si="21"/>
        <v>114783.6803375764</v>
      </c>
      <c r="S16" s="37">
        <f t="shared" si="21"/>
        <v>103967.42196759407</v>
      </c>
      <c r="T16" s="37">
        <f t="shared" si="21"/>
        <v>88846.103066850148</v>
      </c>
      <c r="U16" s="37">
        <f t="shared" si="21"/>
        <v>69160.461175437551</v>
      </c>
      <c r="V16" s="37">
        <f t="shared" si="21"/>
        <v>45205.490559023601</v>
      </c>
      <c r="W16" s="37">
        <f t="shared" si="21"/>
        <v>16158.928627775782</v>
      </c>
      <c r="X16" s="41">
        <f>SUM(E16:V16)</f>
        <v>1373891.3184214043</v>
      </c>
      <c r="Y16" t="s">
        <v>52</v>
      </c>
    </row>
    <row r="17" spans="1:25" x14ac:dyDescent="0.35">
      <c r="C17" s="44"/>
      <c r="D17" s="45" t="s">
        <v>35</v>
      </c>
      <c r="E17" s="46">
        <f t="shared" ref="E17:W17" si="22">E14+E16</f>
        <v>4469.570147244387</v>
      </c>
      <c r="F17" s="46">
        <f t="shared" si="22"/>
        <v>16173.232721957544</v>
      </c>
      <c r="G17" s="46">
        <f t="shared" si="22"/>
        <v>33756.881698184639</v>
      </c>
      <c r="H17" s="46">
        <f t="shared" si="22"/>
        <v>56732.72804129924</v>
      </c>
      <c r="I17" s="46">
        <f t="shared" si="22"/>
        <v>86047.93997979624</v>
      </c>
      <c r="J17" s="46">
        <f t="shared" si="22"/>
        <v>122569.60217269968</v>
      </c>
      <c r="K17" s="46">
        <f t="shared" si="22"/>
        <v>165219.13313317299</v>
      </c>
      <c r="L17" s="46">
        <f t="shared" si="22"/>
        <v>214798.19231814542</v>
      </c>
      <c r="M17" s="46">
        <f t="shared" si="22"/>
        <v>243421.81202390022</v>
      </c>
      <c r="N17" s="46">
        <f t="shared" si="22"/>
        <v>248528.30040339072</v>
      </c>
      <c r="O17" s="46">
        <f t="shared" si="22"/>
        <v>252046.19595576118</v>
      </c>
      <c r="P17" s="46">
        <f t="shared" si="22"/>
        <v>252445.84187153919</v>
      </c>
      <c r="Q17" s="46">
        <f t="shared" si="22"/>
        <v>244558.51124535716</v>
      </c>
      <c r="R17" s="46">
        <f t="shared" si="22"/>
        <v>232589.15200728807</v>
      </c>
      <c r="S17" s="46">
        <f t="shared" si="22"/>
        <v>215257.93839275092</v>
      </c>
      <c r="T17" s="46">
        <f t="shared" si="22"/>
        <v>191192.85212528662</v>
      </c>
      <c r="U17" s="46">
        <f t="shared" si="22"/>
        <v>161531.76097469934</v>
      </c>
      <c r="V17" s="46">
        <f t="shared" si="22"/>
        <v>126185.706109092</v>
      </c>
      <c r="W17" s="46">
        <f t="shared" si="22"/>
        <v>84101.859095587264</v>
      </c>
      <c r="X17" s="41">
        <f>SUM(E17:V17)</f>
        <v>2867525.3513215655</v>
      </c>
      <c r="Y17" t="s">
        <v>54</v>
      </c>
    </row>
    <row r="19" spans="1:25" x14ac:dyDescent="0.35">
      <c r="A19" s="2" t="s">
        <v>4</v>
      </c>
      <c r="B19" s="17">
        <v>0.02</v>
      </c>
      <c r="D19" s="2" t="s">
        <v>15</v>
      </c>
      <c r="E19" s="3">
        <v>17642</v>
      </c>
      <c r="F19" s="3">
        <v>18395.52</v>
      </c>
      <c r="G19" s="3">
        <f t="shared" ref="G19:M19" si="23">F19*(1+$B19)</f>
        <v>18763.430400000001</v>
      </c>
      <c r="H19" s="3">
        <f t="shared" si="23"/>
        <v>19138.699008000003</v>
      </c>
      <c r="I19" s="3">
        <f t="shared" si="23"/>
        <v>19521.472988160003</v>
      </c>
      <c r="J19" s="3">
        <f t="shared" si="23"/>
        <v>19911.902447923203</v>
      </c>
      <c r="K19" s="3">
        <f t="shared" si="23"/>
        <v>20310.140496881668</v>
      </c>
      <c r="L19" s="3">
        <f t="shared" si="23"/>
        <v>20716.343306819301</v>
      </c>
      <c r="M19" s="3">
        <f t="shared" si="23"/>
        <v>21130.670172955688</v>
      </c>
    </row>
    <row r="20" spans="1:25" x14ac:dyDescent="0.35">
      <c r="C20" s="42"/>
      <c r="D20" s="47" t="s">
        <v>0</v>
      </c>
      <c r="E20" s="48">
        <f t="shared" ref="E20:M20" si="24">E5*E19</f>
        <v>44105</v>
      </c>
      <c r="F20" s="48">
        <f t="shared" si="24"/>
        <v>119570.88</v>
      </c>
      <c r="G20" s="48">
        <f t="shared" si="24"/>
        <v>178252.5888</v>
      </c>
      <c r="H20" s="48">
        <f t="shared" si="24"/>
        <v>239233.73760000005</v>
      </c>
      <c r="I20" s="48">
        <f t="shared" si="24"/>
        <v>312343.56781056005</v>
      </c>
      <c r="J20" s="48">
        <f t="shared" si="24"/>
        <v>388282.09773450246</v>
      </c>
      <c r="K20" s="48">
        <f t="shared" si="24"/>
        <v>456978.16117983754</v>
      </c>
      <c r="L20" s="48">
        <f t="shared" si="24"/>
        <v>538624.92597730178</v>
      </c>
      <c r="M20" s="48">
        <f t="shared" si="24"/>
        <v>295829.38242137962</v>
      </c>
      <c r="X20" s="51">
        <f>SUM(E20:M20)</f>
        <v>2573220.3415235817</v>
      </c>
      <c r="Y20" t="s">
        <v>55</v>
      </c>
    </row>
    <row r="21" spans="1:25" x14ac:dyDescent="0.35">
      <c r="C21" s="43"/>
      <c r="D21" s="49" t="s">
        <v>25</v>
      </c>
      <c r="E21" s="50">
        <f t="shared" ref="E21:M21" si="25">E14+E16+E20</f>
        <v>48574.570147244391</v>
      </c>
      <c r="F21" s="50">
        <f t="shared" si="25"/>
        <v>135744.11272195756</v>
      </c>
      <c r="G21" s="50">
        <f t="shared" si="25"/>
        <v>212009.47049818464</v>
      </c>
      <c r="H21" s="50">
        <f t="shared" si="25"/>
        <v>295966.46564129926</v>
      </c>
      <c r="I21" s="50">
        <f t="shared" si="25"/>
        <v>398391.50779035629</v>
      </c>
      <c r="J21" s="50">
        <f t="shared" si="25"/>
        <v>510851.69990720216</v>
      </c>
      <c r="K21" s="50">
        <f t="shared" si="25"/>
        <v>622197.29431301053</v>
      </c>
      <c r="L21" s="50">
        <f t="shared" si="25"/>
        <v>753423.1182954472</v>
      </c>
      <c r="M21" s="50">
        <f t="shared" si="25"/>
        <v>539251.19444527989</v>
      </c>
      <c r="N21" s="50">
        <f>N17</f>
        <v>248528.30040339072</v>
      </c>
      <c r="O21" s="50">
        <f t="shared" ref="O21:W21" si="26">O17</f>
        <v>252046.19595576118</v>
      </c>
      <c r="P21" s="50">
        <f t="shared" si="26"/>
        <v>252445.84187153919</v>
      </c>
      <c r="Q21" s="50">
        <f t="shared" si="26"/>
        <v>244558.51124535716</v>
      </c>
      <c r="R21" s="50">
        <f t="shared" si="26"/>
        <v>232589.15200728807</v>
      </c>
      <c r="S21" s="50">
        <f t="shared" si="26"/>
        <v>215257.93839275092</v>
      </c>
      <c r="T21" s="50">
        <f t="shared" si="26"/>
        <v>191192.85212528662</v>
      </c>
      <c r="U21" s="50">
        <f t="shared" si="26"/>
        <v>161531.76097469934</v>
      </c>
      <c r="V21" s="50">
        <f t="shared" si="26"/>
        <v>126185.706109092</v>
      </c>
      <c r="W21" s="50">
        <f t="shared" si="26"/>
        <v>84101.859095587264</v>
      </c>
      <c r="X21" s="1">
        <f>SUM(E21:W21)</f>
        <v>5524847.5519407345</v>
      </c>
    </row>
    <row r="22" spans="1:25" x14ac:dyDescent="0.35">
      <c r="X22" s="41">
        <f>X17+X20</f>
        <v>5440745.6928451471</v>
      </c>
      <c r="Y22" t="s">
        <v>56</v>
      </c>
    </row>
    <row r="23" spans="1:25" x14ac:dyDescent="0.35">
      <c r="A23" s="2" t="s">
        <v>26</v>
      </c>
      <c r="B23" s="9">
        <v>5.0000000000000001E-3</v>
      </c>
      <c r="D23" s="2" t="s">
        <v>188</v>
      </c>
      <c r="E23" s="4">
        <v>3.57</v>
      </c>
      <c r="F23" s="4">
        <f t="shared" ref="F23:L23" si="27">E23*(1+$B23)</f>
        <v>3.5878499999999995</v>
      </c>
      <c r="G23" s="4">
        <f t="shared" si="27"/>
        <v>3.6057892499999991</v>
      </c>
      <c r="H23" s="4">
        <f t="shared" si="27"/>
        <v>3.6238181962499985</v>
      </c>
      <c r="I23" s="4">
        <f t="shared" si="27"/>
        <v>3.6419372872312481</v>
      </c>
      <c r="J23" s="4">
        <f t="shared" si="27"/>
        <v>3.6601469736674042</v>
      </c>
      <c r="K23" s="4">
        <f t="shared" si="27"/>
        <v>3.678447708535741</v>
      </c>
      <c r="L23" s="4">
        <f t="shared" si="27"/>
        <v>3.6968399470784195</v>
      </c>
      <c r="M23" s="4"/>
    </row>
    <row r="24" spans="1:25" x14ac:dyDescent="0.35">
      <c r="A24" s="2"/>
      <c r="B24" s="9"/>
      <c r="D24" s="2" t="s">
        <v>189</v>
      </c>
      <c r="E24" s="4">
        <v>3.33</v>
      </c>
      <c r="F24" s="4">
        <v>3.23</v>
      </c>
      <c r="G24" s="4">
        <f t="shared" ref="G24:L24" si="28">F24*(1+$B23)</f>
        <v>3.2461499999999996</v>
      </c>
      <c r="H24" s="4">
        <f t="shared" si="28"/>
        <v>3.2623807499999993</v>
      </c>
      <c r="I24" s="4">
        <f t="shared" si="28"/>
        <v>3.278692653749999</v>
      </c>
      <c r="J24" s="4">
        <f t="shared" si="28"/>
        <v>3.2950861170187484</v>
      </c>
      <c r="K24" s="4">
        <f t="shared" si="28"/>
        <v>3.311561547603842</v>
      </c>
      <c r="L24" s="4">
        <f t="shared" si="28"/>
        <v>3.3281193553418609</v>
      </c>
      <c r="M24" s="4"/>
    </row>
    <row r="25" spans="1:25" x14ac:dyDescent="0.35">
      <c r="A25" s="2" t="s">
        <v>2</v>
      </c>
      <c r="B25" s="7">
        <v>0.1</v>
      </c>
      <c r="D25" s="2" t="s">
        <v>190</v>
      </c>
      <c r="E25" s="10">
        <f t="shared" ref="E25:L25" si="29">$B10/E23</f>
        <v>2796.9187675070029</v>
      </c>
      <c r="F25" s="10">
        <f t="shared" si="29"/>
        <v>2783.0037487631871</v>
      </c>
      <c r="G25" s="10">
        <f t="shared" si="29"/>
        <v>2769.1579589683461</v>
      </c>
      <c r="H25" s="10">
        <f t="shared" si="29"/>
        <v>2755.3810536998471</v>
      </c>
      <c r="I25" s="10">
        <f t="shared" si="29"/>
        <v>2741.6726902486043</v>
      </c>
      <c r="J25" s="10">
        <f t="shared" si="29"/>
        <v>2728.0325276105518</v>
      </c>
      <c r="K25" s="10">
        <f t="shared" si="29"/>
        <v>2714.4602264781611</v>
      </c>
      <c r="L25" s="10">
        <f t="shared" si="29"/>
        <v>2700.9554492320012</v>
      </c>
      <c r="M25" s="10"/>
    </row>
    <row r="26" spans="1:25" x14ac:dyDescent="0.35">
      <c r="A26" s="2"/>
      <c r="B26" s="7"/>
      <c r="D26" s="2" t="s">
        <v>191</v>
      </c>
      <c r="E26" s="10">
        <f>$B10/E24</f>
        <v>2998.4984984984985</v>
      </c>
      <c r="F26" s="10">
        <f t="shared" ref="F26:L26" si="30">$B10/F24</f>
        <v>3091.3312693498451</v>
      </c>
      <c r="G26" s="10">
        <f t="shared" si="30"/>
        <v>3075.9515117908909</v>
      </c>
      <c r="H26" s="10">
        <f t="shared" si="30"/>
        <v>3060.6482704386981</v>
      </c>
      <c r="I26" s="10">
        <f t="shared" si="30"/>
        <v>3045.42116461562</v>
      </c>
      <c r="J26" s="10">
        <f t="shared" si="30"/>
        <v>3030.2698155379308</v>
      </c>
      <c r="K26" s="10">
        <f t="shared" si="30"/>
        <v>3015.1938463063989</v>
      </c>
      <c r="L26" s="10">
        <f t="shared" si="30"/>
        <v>3000.192881896915</v>
      </c>
      <c r="M26" s="10"/>
    </row>
    <row r="27" spans="1:25" x14ac:dyDescent="0.35">
      <c r="A27" s="25" t="s">
        <v>50</v>
      </c>
      <c r="B27" s="7"/>
      <c r="D27" s="2" t="s">
        <v>28</v>
      </c>
      <c r="E27" s="10">
        <f>((E1/2)*E25)+((E1/2)*E26)</f>
        <v>14488.543165013754</v>
      </c>
      <c r="F27" s="10">
        <f>((F1/2)*F25)+((F1/2)*F26)</f>
        <v>23497.340072452127</v>
      </c>
      <c r="G27" s="10">
        <f t="shared" ref="G27:M27" si="31">((G1/2)*G25)+((G1/2)*G26)</f>
        <v>32148.102089175802</v>
      </c>
      <c r="H27" s="10">
        <f t="shared" si="31"/>
        <v>40712.205268969818</v>
      </c>
      <c r="I27" s="10">
        <f t="shared" si="31"/>
        <v>52083.844693778017</v>
      </c>
      <c r="J27" s="10">
        <f t="shared" si="31"/>
        <v>60462.174603059066</v>
      </c>
      <c r="K27" s="10">
        <f t="shared" si="31"/>
        <v>68755.84887341471</v>
      </c>
      <c r="L27" s="10">
        <f t="shared" si="31"/>
        <v>79816.076635804828</v>
      </c>
      <c r="M27" s="10">
        <f t="shared" si="31"/>
        <v>0</v>
      </c>
    </row>
    <row r="28" spans="1:25" x14ac:dyDescent="0.35">
      <c r="A28" s="2" t="s">
        <v>3</v>
      </c>
      <c r="B28" s="9">
        <v>1.4999999999999999E-2</v>
      </c>
      <c r="D28" s="2" t="s">
        <v>27</v>
      </c>
      <c r="E28" s="11">
        <f>E27/2</f>
        <v>7244.2715825068772</v>
      </c>
      <c r="F28" s="11">
        <f>E27+(F27/2)</f>
        <v>26237.213201239818</v>
      </c>
      <c r="G28" s="11">
        <f>E27+F27+(G27/2)</f>
        <v>54059.934282053786</v>
      </c>
      <c r="H28" s="11">
        <f>E27+F27+G27+(H27/2)</f>
        <v>90490.087961126585</v>
      </c>
      <c r="I28" s="11">
        <f>E27+F27+G27+H27+(I27/2)</f>
        <v>136888.11294250051</v>
      </c>
      <c r="J28" s="11">
        <f>E27+F27+G27+H27+I27+(J27/2)</f>
        <v>193161.12259091905</v>
      </c>
      <c r="K28" s="11">
        <f>E27+F27+G27+H27+I27+J27+(K27/2)</f>
        <v>257770.13432915596</v>
      </c>
      <c r="L28" s="11">
        <f>E27+F27+G27+H27+I27+J27+K27+(L27/2)</f>
        <v>332056.09708376572</v>
      </c>
      <c r="M28" s="11">
        <f>E27+F27+G27+H27+I27+J27+K27+L27</f>
        <v>371964.13540166814</v>
      </c>
      <c r="N28" s="11">
        <f>M28+(N25*N5)</f>
        <v>371964.13540166814</v>
      </c>
      <c r="O28" s="8">
        <f>N28</f>
        <v>371964.13540166814</v>
      </c>
      <c r="P28" s="8">
        <f>O28-(E27/2)</f>
        <v>364719.86381916126</v>
      </c>
      <c r="Q28" s="103">
        <f>O28-(E27+(F27/2))</f>
        <v>345726.92220042832</v>
      </c>
      <c r="R28" s="8">
        <f>O28-(E27+F27+(G27/2))</f>
        <v>317904.20111961436</v>
      </c>
      <c r="S28" s="8">
        <f>O28-(E27+F27+G27+(H27/2))</f>
        <v>281474.04744054156</v>
      </c>
      <c r="T28" s="8">
        <f>O28-(E27+F27+G27+H27+(I27/2))</f>
        <v>235076.02245916764</v>
      </c>
      <c r="U28" s="8">
        <f>O28-(E27+F27+G27+H27+I27+(J27/2))</f>
        <v>178803.01281074909</v>
      </c>
      <c r="V28" s="8">
        <f>O28-(E27+F27+G27+H27+I27+J27+(K27/2))</f>
        <v>114194.00107251218</v>
      </c>
      <c r="W28" s="8">
        <f>L27/2</f>
        <v>39908.038317902414</v>
      </c>
    </row>
    <row r="29" spans="1:25" x14ac:dyDescent="0.35">
      <c r="A29" s="2" t="s">
        <v>31</v>
      </c>
      <c r="B29" s="23">
        <v>6.547E-2</v>
      </c>
      <c r="D29" s="2" t="s">
        <v>29</v>
      </c>
      <c r="E29" s="26">
        <f>B25</f>
        <v>0.1</v>
      </c>
      <c r="F29" s="12">
        <f t="shared" ref="F29:W29" si="32">E29*(1+$B28)</f>
        <v>0.10149999999999999</v>
      </c>
      <c r="G29" s="12">
        <f t="shared" si="32"/>
        <v>0.10302249999999999</v>
      </c>
      <c r="H29" s="12">
        <f t="shared" si="32"/>
        <v>0.10456783749999998</v>
      </c>
      <c r="I29" s="12">
        <f t="shared" si="32"/>
        <v>0.10613635506249998</v>
      </c>
      <c r="J29" s="12">
        <f t="shared" si="32"/>
        <v>0.10772840038843746</v>
      </c>
      <c r="K29" s="12">
        <f t="shared" si="32"/>
        <v>0.10934432639426402</v>
      </c>
      <c r="L29" s="12">
        <f t="shared" si="32"/>
        <v>0.11098449129017797</v>
      </c>
      <c r="M29" s="12">
        <f t="shared" si="32"/>
        <v>0.11264925865953063</v>
      </c>
      <c r="N29" s="12">
        <f t="shared" si="32"/>
        <v>0.11433899753942357</v>
      </c>
      <c r="O29" s="12">
        <f t="shared" si="32"/>
        <v>0.11605408250251492</v>
      </c>
      <c r="P29" s="12">
        <f t="shared" si="32"/>
        <v>0.11779489374005263</v>
      </c>
      <c r="Q29" s="12">
        <f t="shared" si="32"/>
        <v>0.11956181714615341</v>
      </c>
      <c r="R29" s="12">
        <f t="shared" si="32"/>
        <v>0.12135524440334571</v>
      </c>
      <c r="S29" s="12">
        <f t="shared" si="32"/>
        <v>0.12317557306939587</v>
      </c>
      <c r="T29" s="12">
        <f t="shared" si="32"/>
        <v>0.12502320666543679</v>
      </c>
      <c r="U29" s="12">
        <f t="shared" si="32"/>
        <v>0.12689855476541834</v>
      </c>
      <c r="V29" s="12">
        <f t="shared" si="32"/>
        <v>0.12880203308689961</v>
      </c>
      <c r="W29" s="12">
        <f t="shared" si="32"/>
        <v>0.13073406358320308</v>
      </c>
    </row>
    <row r="30" spans="1:25" x14ac:dyDescent="0.35">
      <c r="A30" s="2" t="s">
        <v>32</v>
      </c>
      <c r="B30" s="23">
        <v>0</v>
      </c>
      <c r="C30" s="52"/>
      <c r="D30" s="53" t="s">
        <v>1</v>
      </c>
      <c r="E30" s="54">
        <f t="shared" ref="E30:W30" si="33">E28*E29</f>
        <v>724.42715825068774</v>
      </c>
      <c r="F30" s="54">
        <f t="shared" si="33"/>
        <v>2663.0771399258415</v>
      </c>
      <c r="G30" s="54">
        <f t="shared" si="33"/>
        <v>5569.3895795728859</v>
      </c>
      <c r="H30" s="54">
        <f t="shared" si="33"/>
        <v>9462.3528132797892</v>
      </c>
      <c r="I30" s="54">
        <f t="shared" si="33"/>
        <v>14528.805359100832</v>
      </c>
      <c r="J30" s="54">
        <f t="shared" si="33"/>
        <v>20808.938753954582</v>
      </c>
      <c r="K30" s="54">
        <f t="shared" si="33"/>
        <v>28185.701702780509</v>
      </c>
      <c r="L30" s="54">
        <f t="shared" si="33"/>
        <v>36853.077014643684</v>
      </c>
      <c r="M30" s="54">
        <f t="shared" si="33"/>
        <v>41901.484100931186</v>
      </c>
      <c r="N30" s="54">
        <f t="shared" si="33"/>
        <v>42530.00636244515</v>
      </c>
      <c r="O30" s="54">
        <f t="shared" si="33"/>
        <v>43167.956457881824</v>
      </c>
      <c r="P30" s="54">
        <f t="shared" si="33"/>
        <v>42962.137603464565</v>
      </c>
      <c r="Q30" s="54">
        <f t="shared" si="33"/>
        <v>41335.739054630016</v>
      </c>
      <c r="R30" s="54">
        <f t="shared" si="33"/>
        <v>38579.342023721169</v>
      </c>
      <c r="S30" s="54">
        <f t="shared" si="33"/>
        <v>34670.727097651026</v>
      </c>
      <c r="T30" s="54">
        <f t="shared" si="33"/>
        <v>29389.958138001377</v>
      </c>
      <c r="U30" s="54">
        <f t="shared" si="33"/>
        <v>22689.843913386641</v>
      </c>
      <c r="V30" s="54">
        <f t="shared" si="33"/>
        <v>14708.419504467163</v>
      </c>
      <c r="W30" s="54">
        <f t="shared" si="33"/>
        <v>5217.3400189335589</v>
      </c>
      <c r="X30" s="41">
        <f>SUM(E30:V30)</f>
        <v>470731.38377808908</v>
      </c>
      <c r="Y30" t="s">
        <v>57</v>
      </c>
    </row>
    <row r="31" spans="1:25" x14ac:dyDescent="0.35">
      <c r="A31" s="2" t="s">
        <v>13</v>
      </c>
      <c r="B31" s="9">
        <v>2.1299999999999999E-2</v>
      </c>
      <c r="C31" s="22"/>
      <c r="D31" s="2" t="s">
        <v>30</v>
      </c>
      <c r="E31" s="24">
        <f>B29</f>
        <v>6.547E-2</v>
      </c>
      <c r="F31" s="24">
        <f t="shared" ref="F31:W31" si="34">E31*(1+$B31)</f>
        <v>6.6864511000000001E-2</v>
      </c>
      <c r="G31" s="24">
        <f t="shared" si="34"/>
        <v>6.8288725084300006E-2</v>
      </c>
      <c r="H31" s="24">
        <f t="shared" si="34"/>
        <v>6.9743274928595597E-2</v>
      </c>
      <c r="I31" s="24">
        <f t="shared" si="34"/>
        <v>7.1228806684574694E-2</v>
      </c>
      <c r="J31" s="24">
        <f t="shared" si="34"/>
        <v>7.274598026695614E-2</v>
      </c>
      <c r="K31" s="24">
        <f t="shared" si="34"/>
        <v>7.4295469646642312E-2</v>
      </c>
      <c r="L31" s="24">
        <f t="shared" si="34"/>
        <v>7.5877963150115801E-2</v>
      </c>
      <c r="M31" s="24">
        <f t="shared" si="34"/>
        <v>7.7494163765213273E-2</v>
      </c>
      <c r="N31" s="24">
        <f t="shared" si="34"/>
        <v>7.9144789453412329E-2</v>
      </c>
      <c r="O31" s="24">
        <f t="shared" si="34"/>
        <v>8.0830573468770026E-2</v>
      </c>
      <c r="P31" s="24">
        <f t="shared" si="34"/>
        <v>8.2552264683654841E-2</v>
      </c>
      <c r="Q31" s="24">
        <f t="shared" si="34"/>
        <v>8.4310627921416692E-2</v>
      </c>
      <c r="R31" s="24">
        <f t="shared" si="34"/>
        <v>8.6106444296142878E-2</v>
      </c>
      <c r="S31" s="24">
        <f t="shared" si="34"/>
        <v>8.7940511559650728E-2</v>
      </c>
      <c r="T31" s="24">
        <f t="shared" si="34"/>
        <v>8.9813644455871297E-2</v>
      </c>
      <c r="U31" s="24">
        <f t="shared" si="34"/>
        <v>9.1726675082781359E-2</v>
      </c>
      <c r="V31" s="24">
        <f t="shared" si="34"/>
        <v>9.3680453262044605E-2</v>
      </c>
      <c r="W31" s="24">
        <f t="shared" si="34"/>
        <v>9.5675846916526169E-2</v>
      </c>
    </row>
    <row r="32" spans="1:25" x14ac:dyDescent="0.35">
      <c r="D32" s="2" t="s">
        <v>33</v>
      </c>
      <c r="E32" s="20">
        <v>0</v>
      </c>
      <c r="F32" s="20">
        <f t="shared" ref="F32:V32" si="35">E32*(1+$B31)</f>
        <v>0</v>
      </c>
      <c r="G32" s="20">
        <f t="shared" si="35"/>
        <v>0</v>
      </c>
      <c r="H32" s="20">
        <f t="shared" si="35"/>
        <v>0</v>
      </c>
      <c r="I32" s="20">
        <f t="shared" si="35"/>
        <v>0</v>
      </c>
      <c r="J32" s="20">
        <f t="shared" si="35"/>
        <v>0</v>
      </c>
      <c r="K32" s="20">
        <f t="shared" si="35"/>
        <v>0</v>
      </c>
      <c r="L32" s="20">
        <f t="shared" si="35"/>
        <v>0</v>
      </c>
      <c r="M32" s="20">
        <f t="shared" si="35"/>
        <v>0</v>
      </c>
      <c r="N32" s="20">
        <f t="shared" si="35"/>
        <v>0</v>
      </c>
      <c r="O32" s="20">
        <f t="shared" si="35"/>
        <v>0</v>
      </c>
      <c r="P32" s="20">
        <f t="shared" si="35"/>
        <v>0</v>
      </c>
      <c r="Q32" s="20">
        <f t="shared" si="35"/>
        <v>0</v>
      </c>
      <c r="R32" s="20">
        <f t="shared" si="35"/>
        <v>0</v>
      </c>
      <c r="S32" s="20">
        <f t="shared" si="35"/>
        <v>0</v>
      </c>
      <c r="T32" s="20">
        <f t="shared" si="35"/>
        <v>0</v>
      </c>
      <c r="U32" s="20">
        <f t="shared" si="35"/>
        <v>0</v>
      </c>
      <c r="V32" s="20">
        <f t="shared" si="35"/>
        <v>0</v>
      </c>
      <c r="W32" s="20"/>
    </row>
    <row r="33" spans="1:25" x14ac:dyDescent="0.35">
      <c r="C33" s="55"/>
      <c r="D33" s="56" t="s">
        <v>34</v>
      </c>
      <c r="E33" s="57">
        <f>(E5/2)*$B$10*E31</f>
        <v>817.14743750000002</v>
      </c>
      <c r="F33" s="57">
        <f>$B$10*F31*((E5+(F5/2)))</f>
        <v>3838.94231842625</v>
      </c>
      <c r="G33" s="57">
        <f t="shared" ref="G33:L33" si="36">$B$10*G31*(F6+(G5/2))</f>
        <v>9375.6151495426147</v>
      </c>
      <c r="H33" s="57">
        <f t="shared" si="36"/>
        <v>17235.568354010171</v>
      </c>
      <c r="I33" s="57">
        <f t="shared" si="36"/>
        <v>27737.565755073654</v>
      </c>
      <c r="J33" s="57">
        <f t="shared" si="36"/>
        <v>41221.418785795366</v>
      </c>
      <c r="K33" s="57">
        <f t="shared" si="36"/>
        <v>57678.080558789006</v>
      </c>
      <c r="L33" s="57">
        <f t="shared" si="36"/>
        <v>77279.429129498443</v>
      </c>
      <c r="M33" s="57">
        <f t="shared" ref="M33:W33" si="37">$B$10*M31*M6</f>
        <v>99817.520050239429</v>
      </c>
      <c r="N33" s="57">
        <f t="shared" si="37"/>
        <v>101943.63322730956</v>
      </c>
      <c r="O33" s="57">
        <f t="shared" si="37"/>
        <v>104115.03261505126</v>
      </c>
      <c r="P33" s="57">
        <f t="shared" si="37"/>
        <v>104271.97190258614</v>
      </c>
      <c r="Q33" s="57">
        <f t="shared" si="37"/>
        <v>101020.99437544149</v>
      </c>
      <c r="R33" s="57">
        <f t="shared" si="37"/>
        <v>95004.899515817015</v>
      </c>
      <c r="S33" s="57">
        <f t="shared" si="37"/>
        <v>86052.428776465036</v>
      </c>
      <c r="T33" s="57">
        <f t="shared" si="37"/>
        <v>73536.717671133738</v>
      </c>
      <c r="U33" s="57">
        <f t="shared" si="37"/>
        <v>57243.178168848237</v>
      </c>
      <c r="V33" s="57">
        <f t="shared" si="37"/>
        <v>37415.973032860617</v>
      </c>
      <c r="W33" s="57">
        <f t="shared" si="37"/>
        <v>13374.526640461194</v>
      </c>
      <c r="X33" s="41">
        <f>SUM(E33:V33)</f>
        <v>1095606.1168243878</v>
      </c>
      <c r="Y33" t="s">
        <v>58</v>
      </c>
    </row>
    <row r="34" spans="1:25" x14ac:dyDescent="0.35">
      <c r="A34" s="2" t="s">
        <v>11</v>
      </c>
      <c r="C34" s="29"/>
      <c r="D34" s="35" t="s">
        <v>36</v>
      </c>
      <c r="E34" s="58">
        <f t="shared" ref="E34:W34" si="38">E30+E33</f>
        <v>1541.5745957506879</v>
      </c>
      <c r="F34" s="58">
        <f t="shared" si="38"/>
        <v>6502.0194583520915</v>
      </c>
      <c r="G34" s="58">
        <f t="shared" si="38"/>
        <v>14945.004729115501</v>
      </c>
      <c r="H34" s="58">
        <f t="shared" si="38"/>
        <v>26697.921167289962</v>
      </c>
      <c r="I34" s="58">
        <f t="shared" si="38"/>
        <v>42266.371114174486</v>
      </c>
      <c r="J34" s="58">
        <f t="shared" si="38"/>
        <v>62030.357539749952</v>
      </c>
      <c r="K34" s="58">
        <f t="shared" si="38"/>
        <v>85863.782261569519</v>
      </c>
      <c r="L34" s="58">
        <f t="shared" si="38"/>
        <v>114132.50614414213</v>
      </c>
      <c r="M34" s="58">
        <f t="shared" si="38"/>
        <v>141719.00415117061</v>
      </c>
      <c r="N34" s="58">
        <f t="shared" si="38"/>
        <v>144473.63958975472</v>
      </c>
      <c r="O34" s="58">
        <f t="shared" si="38"/>
        <v>147282.98907293309</v>
      </c>
      <c r="P34" s="58">
        <f t="shared" si="38"/>
        <v>147234.10950605071</v>
      </c>
      <c r="Q34" s="58">
        <f t="shared" si="38"/>
        <v>142356.7334300715</v>
      </c>
      <c r="R34" s="58">
        <f t="shared" si="38"/>
        <v>133584.2415395382</v>
      </c>
      <c r="S34" s="58">
        <f t="shared" si="38"/>
        <v>120723.15587411606</v>
      </c>
      <c r="T34" s="58">
        <f t="shared" si="38"/>
        <v>102926.67580913511</v>
      </c>
      <c r="U34" s="58">
        <f t="shared" si="38"/>
        <v>79933.022082234878</v>
      </c>
      <c r="V34" s="58">
        <f t="shared" si="38"/>
        <v>52124.392537327782</v>
      </c>
      <c r="W34" s="58">
        <f t="shared" si="38"/>
        <v>18591.866659394753</v>
      </c>
      <c r="X34" s="41">
        <f>SUM(E34:V34)</f>
        <v>1566337.5006024772</v>
      </c>
      <c r="Y34" t="s">
        <v>59</v>
      </c>
    </row>
    <row r="35" spans="1:25" x14ac:dyDescent="0.35">
      <c r="A35" s="2" t="s">
        <v>14</v>
      </c>
    </row>
    <row r="36" spans="1:25" x14ac:dyDescent="0.35">
      <c r="C36" s="108"/>
      <c r="D36" s="109" t="s">
        <v>39</v>
      </c>
      <c r="E36" s="110">
        <f t="shared" ref="E36:W36" si="39">E17-E34</f>
        <v>2927.9955514936992</v>
      </c>
      <c r="F36" s="110">
        <f t="shared" si="39"/>
        <v>9671.2132636054521</v>
      </c>
      <c r="G36" s="110">
        <f t="shared" si="39"/>
        <v>18811.876969069141</v>
      </c>
      <c r="H36" s="110">
        <f t="shared" si="39"/>
        <v>30034.806874009279</v>
      </c>
      <c r="I36" s="110">
        <f t="shared" si="39"/>
        <v>43781.568865621754</v>
      </c>
      <c r="J36" s="110">
        <f t="shared" si="39"/>
        <v>60539.244632949732</v>
      </c>
      <c r="K36" s="110">
        <f t="shared" si="39"/>
        <v>79355.35087160347</v>
      </c>
      <c r="L36" s="110">
        <f t="shared" si="39"/>
        <v>100665.68617400329</v>
      </c>
      <c r="M36" s="110">
        <f t="shared" si="39"/>
        <v>101702.80787272961</v>
      </c>
      <c r="N36" s="110">
        <f t="shared" si="39"/>
        <v>104054.660813636</v>
      </c>
      <c r="O36" s="110">
        <f t="shared" si="39"/>
        <v>104763.20688282809</v>
      </c>
      <c r="P36" s="110">
        <f t="shared" si="39"/>
        <v>105211.73236548848</v>
      </c>
      <c r="Q36" s="110">
        <f t="shared" si="39"/>
        <v>102201.77781528566</v>
      </c>
      <c r="R36" s="110">
        <f t="shared" si="39"/>
        <v>99004.910467749869</v>
      </c>
      <c r="S36" s="110">
        <f t="shared" si="39"/>
        <v>94534.782518634864</v>
      </c>
      <c r="T36" s="110">
        <f t="shared" si="39"/>
        <v>88266.176316151512</v>
      </c>
      <c r="U36" s="110">
        <f t="shared" si="39"/>
        <v>81598.738892464462</v>
      </c>
      <c r="V36" s="110">
        <f t="shared" si="39"/>
        <v>74061.313571764214</v>
      </c>
      <c r="W36" s="110">
        <f t="shared" si="39"/>
        <v>65509.992436192508</v>
      </c>
      <c r="X36" s="41">
        <f>SUM(E36:W36)</f>
        <v>1366697.8431552812</v>
      </c>
      <c r="Y36" s="1" t="s">
        <v>192</v>
      </c>
    </row>
    <row r="37" spans="1:25" x14ac:dyDescent="0.35">
      <c r="A37" t="s">
        <v>38</v>
      </c>
    </row>
    <row r="39" spans="1:25" x14ac:dyDescent="0.35">
      <c r="A39" s="2" t="s">
        <v>41</v>
      </c>
      <c r="B39" s="17">
        <v>0.03</v>
      </c>
      <c r="D39" s="63" t="s">
        <v>37</v>
      </c>
      <c r="E39" s="64">
        <v>28319.97</v>
      </c>
      <c r="F39" s="65">
        <v>29251.39</v>
      </c>
      <c r="G39" s="65">
        <v>30146.05</v>
      </c>
      <c r="H39" s="65">
        <f>G39-(G39*$B39)</f>
        <v>29241.6685</v>
      </c>
      <c r="I39" s="65">
        <f>H39-(H39*$B41)</f>
        <v>28364.418444999999</v>
      </c>
      <c r="J39" s="65">
        <f>I39-(I39*$B39)</f>
        <v>27513.485891649998</v>
      </c>
      <c r="K39" s="65">
        <f>J39-(J39*$B41)</f>
        <v>26688.081314900497</v>
      </c>
      <c r="L39" s="65">
        <f>K39-(K39*$B39)</f>
        <v>25887.438875453481</v>
      </c>
      <c r="M39" s="65">
        <f>L39-(L39*$B39)</f>
        <v>25110.815709189876</v>
      </c>
    </row>
    <row r="40" spans="1:25" x14ac:dyDescent="0.35">
      <c r="A40" s="2" t="s">
        <v>40</v>
      </c>
      <c r="B40" s="17">
        <v>0.03</v>
      </c>
      <c r="D40" s="2" t="s">
        <v>46</v>
      </c>
      <c r="E40" s="5">
        <v>26638.53</v>
      </c>
      <c r="F40" s="5">
        <v>26154.22</v>
      </c>
      <c r="G40" s="5">
        <f>F40-(F40*$B40)</f>
        <v>25369.593400000002</v>
      </c>
      <c r="H40" s="5">
        <f t="shared" ref="H40:M40" si="40">G40-(G40*$B39)</f>
        <v>24608.505598000003</v>
      </c>
      <c r="I40" s="5">
        <f>H40-(H40*$B41)</f>
        <v>23870.250430060005</v>
      </c>
      <c r="J40" s="5">
        <f t="shared" si="40"/>
        <v>23154.142917158206</v>
      </c>
      <c r="K40" s="5">
        <f t="shared" si="40"/>
        <v>22459.518629643459</v>
      </c>
      <c r="L40" s="5">
        <f t="shared" si="40"/>
        <v>21785.733070754155</v>
      </c>
      <c r="M40" s="5">
        <f t="shared" si="40"/>
        <v>21132.161078631529</v>
      </c>
    </row>
    <row r="41" spans="1:25" x14ac:dyDescent="0.35">
      <c r="A41" s="2" t="s">
        <v>42</v>
      </c>
      <c r="B41" s="17">
        <v>0.03</v>
      </c>
      <c r="D41" s="2" t="s">
        <v>44</v>
      </c>
    </row>
    <row r="42" spans="1:25" x14ac:dyDescent="0.35">
      <c r="A42" s="2" t="s">
        <v>43</v>
      </c>
      <c r="B42" s="17">
        <v>0.03</v>
      </c>
      <c r="D42" s="61" t="s">
        <v>45</v>
      </c>
      <c r="E42" s="62">
        <f t="shared" ref="E42:M42" si="41">E39*((E5/2))</f>
        <v>35399.962500000001</v>
      </c>
      <c r="F42" s="62">
        <f t="shared" si="41"/>
        <v>95067.017500000002</v>
      </c>
      <c r="G42" s="62">
        <f t="shared" si="41"/>
        <v>143193.73749999999</v>
      </c>
      <c r="H42" s="62">
        <f t="shared" si="41"/>
        <v>182760.42812500001</v>
      </c>
      <c r="I42" s="62">
        <f t="shared" si="41"/>
        <v>226915.34755999999</v>
      </c>
      <c r="J42" s="62">
        <f t="shared" si="41"/>
        <v>268256.48744358745</v>
      </c>
      <c r="K42" s="62">
        <f t="shared" si="41"/>
        <v>300240.91479263059</v>
      </c>
      <c r="L42" s="62">
        <f t="shared" si="41"/>
        <v>336536.70538089523</v>
      </c>
      <c r="M42" s="62">
        <f t="shared" si="41"/>
        <v>175775.70996432914</v>
      </c>
    </row>
    <row r="43" spans="1:25" x14ac:dyDescent="0.35">
      <c r="D43" s="59" t="s">
        <v>47</v>
      </c>
      <c r="E43" s="60">
        <f t="shared" ref="E43:M43" si="42">E40*((E5/2))</f>
        <v>33298.162499999999</v>
      </c>
      <c r="F43" s="60">
        <f t="shared" si="42"/>
        <v>85001.214999999997</v>
      </c>
      <c r="G43" s="60">
        <f t="shared" si="42"/>
        <v>120505.56865</v>
      </c>
      <c r="H43" s="60">
        <f t="shared" si="42"/>
        <v>153803.15998750002</v>
      </c>
      <c r="I43" s="60">
        <f t="shared" si="42"/>
        <v>190962.00344048004</v>
      </c>
      <c r="J43" s="60">
        <f t="shared" si="42"/>
        <v>225752.89344229249</v>
      </c>
      <c r="K43" s="60">
        <f t="shared" si="42"/>
        <v>252669.5845834889</v>
      </c>
      <c r="L43" s="60">
        <f t="shared" si="42"/>
        <v>283214.52991980402</v>
      </c>
      <c r="M43" s="60">
        <f t="shared" si="42"/>
        <v>147925.1275504207</v>
      </c>
    </row>
    <row r="44" spans="1:25" x14ac:dyDescent="0.35">
      <c r="C44" s="31"/>
      <c r="D44" s="66" t="s">
        <v>48</v>
      </c>
      <c r="E44" s="67">
        <f t="shared" ref="E44:M44" si="43">E42+E43</f>
        <v>68698.125</v>
      </c>
      <c r="F44" s="67">
        <f t="shared" si="43"/>
        <v>180068.23249999998</v>
      </c>
      <c r="G44" s="67">
        <f t="shared" si="43"/>
        <v>263699.30614999996</v>
      </c>
      <c r="H44" s="67">
        <f t="shared" si="43"/>
        <v>336563.58811250003</v>
      </c>
      <c r="I44" s="67">
        <f t="shared" si="43"/>
        <v>417877.35100048</v>
      </c>
      <c r="J44" s="67">
        <f t="shared" si="43"/>
        <v>494009.38088587997</v>
      </c>
      <c r="K44" s="67">
        <f t="shared" si="43"/>
        <v>552910.49937611946</v>
      </c>
      <c r="L44" s="67">
        <f t="shared" si="43"/>
        <v>619751.23530069925</v>
      </c>
      <c r="M44" s="67">
        <f t="shared" si="43"/>
        <v>323700.83751474984</v>
      </c>
      <c r="X44" s="41">
        <f>SUM(E44:M44)</f>
        <v>3257278.5558404285</v>
      </c>
      <c r="Y44" t="s">
        <v>60</v>
      </c>
    </row>
    <row r="46" spans="1:25" x14ac:dyDescent="0.35">
      <c r="D46" s="2" t="s">
        <v>49</v>
      </c>
      <c r="E46" s="1">
        <f t="shared" ref="E46:M46" si="44">E44-E20</f>
        <v>24593.125</v>
      </c>
      <c r="F46" s="1">
        <f t="shared" si="44"/>
        <v>60497.352499999979</v>
      </c>
      <c r="G46" s="1">
        <f>G44-G20</f>
        <v>85446.717349999963</v>
      </c>
      <c r="H46" s="1">
        <f t="shared" si="44"/>
        <v>97329.850512499979</v>
      </c>
      <c r="I46" s="1">
        <f t="shared" si="44"/>
        <v>105533.78318991995</v>
      </c>
      <c r="J46" s="1">
        <f t="shared" si="44"/>
        <v>105727.28315137752</v>
      </c>
      <c r="K46" s="1">
        <f t="shared" si="44"/>
        <v>95932.338196281926</v>
      </c>
      <c r="L46" s="1">
        <f t="shared" si="44"/>
        <v>81126.309323397465</v>
      </c>
      <c r="M46" s="1">
        <f t="shared" si="44"/>
        <v>27871.455093370227</v>
      </c>
      <c r="W46" s="1"/>
      <c r="X46" s="41">
        <f>X44-X20</f>
        <v>684058.2143168468</v>
      </c>
      <c r="Y46" t="s">
        <v>199</v>
      </c>
    </row>
    <row r="47" spans="1:25" x14ac:dyDescent="0.35">
      <c r="D47" s="2" t="s">
        <v>63</v>
      </c>
      <c r="E47" s="1">
        <f>E17-E34</f>
        <v>2927.9955514936992</v>
      </c>
      <c r="F47" s="1">
        <f>F17-F34</f>
        <v>9671.2132636054521</v>
      </c>
      <c r="G47" s="1">
        <f>G17-G34</f>
        <v>18811.876969069141</v>
      </c>
      <c r="H47" s="1">
        <f t="shared" ref="H47:W47" si="45">H17-H34</f>
        <v>30034.806874009279</v>
      </c>
      <c r="I47" s="1">
        <f t="shared" si="45"/>
        <v>43781.568865621754</v>
      </c>
      <c r="J47" s="1">
        <f t="shared" si="45"/>
        <v>60539.244632949732</v>
      </c>
      <c r="K47" s="1">
        <f t="shared" si="45"/>
        <v>79355.35087160347</v>
      </c>
      <c r="L47" s="1">
        <f t="shared" si="45"/>
        <v>100665.68617400329</v>
      </c>
      <c r="M47" s="1">
        <f t="shared" si="45"/>
        <v>101702.80787272961</v>
      </c>
      <c r="N47" s="1">
        <f t="shared" si="45"/>
        <v>104054.660813636</v>
      </c>
      <c r="O47" s="1">
        <f t="shared" si="45"/>
        <v>104763.20688282809</v>
      </c>
      <c r="P47" s="1">
        <f t="shared" si="45"/>
        <v>105211.73236548848</v>
      </c>
      <c r="Q47" s="1">
        <f t="shared" si="45"/>
        <v>102201.77781528566</v>
      </c>
      <c r="R47" s="1">
        <f t="shared" si="45"/>
        <v>99004.910467749869</v>
      </c>
      <c r="S47" s="1">
        <f t="shared" si="45"/>
        <v>94534.782518634864</v>
      </c>
      <c r="T47" s="1">
        <f t="shared" si="45"/>
        <v>88266.176316151512</v>
      </c>
      <c r="U47" s="1">
        <f t="shared" si="45"/>
        <v>81598.738892464462</v>
      </c>
      <c r="V47" s="1">
        <f t="shared" si="45"/>
        <v>74061.313571764214</v>
      </c>
      <c r="W47" s="1">
        <f t="shared" si="45"/>
        <v>65509.992436192508</v>
      </c>
    </row>
    <row r="49" spans="1:53" x14ac:dyDescent="0.35">
      <c r="D49" s="2" t="s">
        <v>62</v>
      </c>
      <c r="E49" s="1">
        <f>E46-E47</f>
        <v>21665.129448506301</v>
      </c>
      <c r="F49" s="1">
        <f>E49+(F46-F47)</f>
        <v>72491.268684900831</v>
      </c>
      <c r="G49" s="1">
        <f>F49+(G46-G47)</f>
        <v>139126.10906583164</v>
      </c>
      <c r="H49" s="1">
        <f t="shared" ref="H49:M49" si="46">G49+(H46-H47)</f>
        <v>206421.15270432233</v>
      </c>
      <c r="I49" s="1">
        <f t="shared" si="46"/>
        <v>268173.36702862056</v>
      </c>
      <c r="J49" s="1">
        <f t="shared" si="46"/>
        <v>313361.40554704831</v>
      </c>
      <c r="K49" s="1">
        <f t="shared" si="46"/>
        <v>329938.39287172677</v>
      </c>
      <c r="L49" s="1">
        <f t="shared" si="46"/>
        <v>310399.01602112094</v>
      </c>
      <c r="M49" s="1">
        <f t="shared" si="46"/>
        <v>236567.66324176156</v>
      </c>
      <c r="N49" s="1">
        <f>M49-N47</f>
        <v>132513.00242812556</v>
      </c>
      <c r="O49" s="1">
        <f t="shared" ref="O49:W49" si="47">N49-O47</f>
        <v>27749.795545297471</v>
      </c>
      <c r="P49" s="1">
        <f t="shared" si="47"/>
        <v>-77461.936820191011</v>
      </c>
      <c r="Q49" s="1">
        <f t="shared" si="47"/>
        <v>-179663.71463547667</v>
      </c>
      <c r="R49" s="1">
        <f t="shared" si="47"/>
        <v>-278668.62510322651</v>
      </c>
      <c r="S49" s="1">
        <f t="shared" si="47"/>
        <v>-373203.40762186138</v>
      </c>
      <c r="T49" s="1">
        <f t="shared" si="47"/>
        <v>-461469.58393801289</v>
      </c>
      <c r="U49" s="1">
        <f t="shared" si="47"/>
        <v>-543068.32283047738</v>
      </c>
      <c r="V49" s="1">
        <f t="shared" si="47"/>
        <v>-617129.63640224165</v>
      </c>
      <c r="W49" s="1">
        <f t="shared" si="47"/>
        <v>-682639.62883843412</v>
      </c>
      <c r="X49" s="1"/>
    </row>
    <row r="50" spans="1:53" x14ac:dyDescent="0.35">
      <c r="D50" s="2"/>
      <c r="E50" s="1"/>
      <c r="F50" s="1"/>
      <c r="G50" s="1"/>
      <c r="H50" s="1"/>
      <c r="I50" s="1"/>
      <c r="J50" s="1"/>
      <c r="K50" s="1"/>
      <c r="L50" s="1"/>
      <c r="M50" s="1"/>
      <c r="N50" s="1"/>
      <c r="O50" s="1"/>
      <c r="P50" s="1"/>
      <c r="Q50" s="1"/>
      <c r="R50" s="1"/>
      <c r="S50" s="1"/>
      <c r="T50" s="1"/>
      <c r="U50" s="1"/>
      <c r="V50" s="1"/>
      <c r="W50" s="1"/>
      <c r="X50" s="1"/>
    </row>
    <row r="51" spans="1:53" x14ac:dyDescent="0.35">
      <c r="D51" s="114" t="s">
        <v>211</v>
      </c>
      <c r="E51" s="115">
        <v>2018</v>
      </c>
      <c r="F51" s="115">
        <v>2019</v>
      </c>
      <c r="G51" s="115">
        <v>2020</v>
      </c>
      <c r="H51" s="115">
        <v>2021</v>
      </c>
      <c r="I51" s="115">
        <v>2022</v>
      </c>
      <c r="J51" s="115">
        <v>2023</v>
      </c>
      <c r="K51" s="115">
        <v>2024</v>
      </c>
      <c r="L51" s="115">
        <v>2025</v>
      </c>
      <c r="M51" s="1"/>
      <c r="N51" s="1"/>
      <c r="O51" s="1"/>
      <c r="P51" s="1"/>
      <c r="Q51" s="1"/>
      <c r="R51" s="1"/>
      <c r="S51" s="1"/>
      <c r="T51" s="1"/>
      <c r="U51" s="1"/>
      <c r="V51" s="1"/>
      <c r="W51" s="1"/>
      <c r="X51" s="1"/>
    </row>
    <row r="52" spans="1:53" x14ac:dyDescent="0.35">
      <c r="D52" s="2" t="s">
        <v>205</v>
      </c>
      <c r="E52" s="1">
        <f t="shared" ref="E52:L52" si="48">E39-E19</f>
        <v>10677.970000000001</v>
      </c>
      <c r="F52" s="1">
        <f t="shared" si="48"/>
        <v>10855.869999999999</v>
      </c>
      <c r="G52" s="1">
        <f t="shared" si="48"/>
        <v>11382.619599999998</v>
      </c>
      <c r="H52" s="1">
        <f t="shared" si="48"/>
        <v>10102.969491999997</v>
      </c>
      <c r="I52" s="1">
        <f t="shared" si="48"/>
        <v>8842.945456839996</v>
      </c>
      <c r="J52" s="1">
        <f t="shared" si="48"/>
        <v>7601.5834437267949</v>
      </c>
      <c r="K52" s="1">
        <f t="shared" si="48"/>
        <v>6377.9408180188293</v>
      </c>
      <c r="L52" s="1">
        <f t="shared" si="48"/>
        <v>5171.0955686341804</v>
      </c>
      <c r="M52" s="1"/>
      <c r="N52" s="1"/>
      <c r="O52" s="1"/>
      <c r="P52" s="1"/>
      <c r="Q52" s="1"/>
      <c r="R52" s="1"/>
      <c r="S52" s="1"/>
      <c r="T52" s="1"/>
      <c r="U52" s="1"/>
      <c r="V52" s="1"/>
      <c r="W52" s="1"/>
      <c r="X52" s="1"/>
    </row>
    <row r="53" spans="1:53" x14ac:dyDescent="0.35">
      <c r="D53" s="2" t="s">
        <v>207</v>
      </c>
      <c r="E53" s="1">
        <f>'Veh Annual Costs'!Y7</f>
        <v>9061.2378463684963</v>
      </c>
      <c r="F53" s="1">
        <f>'Veh Annual Costs'!Y8</f>
        <v>8862.5545063685331</v>
      </c>
      <c r="G53" s="1">
        <f>'Veh Annual Costs'!Y9</f>
        <v>8675.7023546374166</v>
      </c>
      <c r="H53" s="1">
        <f>'Veh Annual Costs'!Y10</f>
        <v>8457.178930843138</v>
      </c>
      <c r="I53" s="1">
        <f>'Veh Annual Costs'!Y11</f>
        <v>8265.710591754605</v>
      </c>
      <c r="J53" s="1">
        <f>'Veh Annual Costs'!Y12</f>
        <v>8106.0651563308529</v>
      </c>
      <c r="K53" s="1">
        <f>'Veh Annual Costs'!Y13</f>
        <v>7963.8686791701439</v>
      </c>
      <c r="L53" s="1">
        <f>'Veh Annual Costs'!Y14</f>
        <v>7810.6134990589053</v>
      </c>
      <c r="M53" s="1"/>
      <c r="X53" s="41">
        <f>X44-X20</f>
        <v>684058.2143168468</v>
      </c>
      <c r="Y53" t="s">
        <v>64</v>
      </c>
    </row>
    <row r="54" spans="1:53" x14ac:dyDescent="0.35">
      <c r="C54" s="116"/>
      <c r="D54" s="117" t="s">
        <v>227</v>
      </c>
      <c r="E54" s="118">
        <f>E52-E53</f>
        <v>1616.7321536315048</v>
      </c>
      <c r="F54" s="118">
        <f t="shared" ref="F54:L54" si="49">F52-F53</f>
        <v>1993.3154936314659</v>
      </c>
      <c r="G54" s="118">
        <f t="shared" si="49"/>
        <v>2706.9172453625815</v>
      </c>
      <c r="H54" s="118">
        <f t="shared" si="49"/>
        <v>1645.7905611568585</v>
      </c>
      <c r="I54" s="118">
        <f t="shared" si="49"/>
        <v>577.23486508539099</v>
      </c>
      <c r="J54" s="119">
        <f t="shared" si="49"/>
        <v>-504.48171260405798</v>
      </c>
      <c r="K54" s="119">
        <f t="shared" si="49"/>
        <v>-1585.9278611513146</v>
      </c>
      <c r="L54" s="119">
        <f t="shared" si="49"/>
        <v>-2639.5179304247249</v>
      </c>
      <c r="M54" s="1"/>
      <c r="R54" s="112"/>
      <c r="X54" s="41"/>
    </row>
    <row r="55" spans="1:53" x14ac:dyDescent="0.35">
      <c r="D55" s="2" t="s">
        <v>206</v>
      </c>
      <c r="E55" s="5">
        <f>E40-E19</f>
        <v>8996.5299999999988</v>
      </c>
      <c r="F55" s="5">
        <f t="shared" ref="F55:L55" si="50">F40-F19</f>
        <v>7758.7000000000007</v>
      </c>
      <c r="G55" s="5">
        <f t="shared" si="50"/>
        <v>6606.1630000000005</v>
      </c>
      <c r="H55" s="5">
        <f t="shared" si="50"/>
        <v>5469.8065900000001</v>
      </c>
      <c r="I55" s="5">
        <f t="shared" si="50"/>
        <v>4348.7774419000016</v>
      </c>
      <c r="J55" s="5">
        <f t="shared" si="50"/>
        <v>3242.2404692350028</v>
      </c>
      <c r="K55" s="5">
        <f t="shared" si="50"/>
        <v>2149.3781327617908</v>
      </c>
      <c r="L55" s="5">
        <f t="shared" si="50"/>
        <v>1069.3897639348543</v>
      </c>
      <c r="X55" s="41">
        <f>X14-X30</f>
        <v>1090845.5795898833</v>
      </c>
      <c r="Y55" t="s">
        <v>61</v>
      </c>
    </row>
    <row r="56" spans="1:53" x14ac:dyDescent="0.35">
      <c r="D56" s="2" t="s">
        <v>207</v>
      </c>
      <c r="E56" s="1">
        <f>'Veh Annual Costs'!Z7</f>
        <v>8846.1131408347956</v>
      </c>
      <c r="F56" s="111">
        <f>'Veh Annual Costs'!Z8</f>
        <v>8644.2029302518276</v>
      </c>
      <c r="G56" s="111">
        <f>'Veh Annual Costs'!Z9</f>
        <v>8455.1781260220359</v>
      </c>
      <c r="H56" s="111">
        <f>'Veh Annual Costs'!Z10</f>
        <v>8234.4659992587513</v>
      </c>
      <c r="I56" s="111">
        <f>'Veh Annual Costs'!Z11</f>
        <v>8041.9288619307044</v>
      </c>
      <c r="J56" s="111">
        <f>'Veh Annual Costs'!Z12</f>
        <v>7878.9267005595939</v>
      </c>
      <c r="K56" s="111">
        <f>'Veh Annual Costs'!Z13</f>
        <v>7734.4934284537267</v>
      </c>
      <c r="L56" s="111">
        <f>'Veh Annual Costs'!Z14</f>
        <v>7578.9854557015224</v>
      </c>
      <c r="X56" s="41"/>
    </row>
    <row r="57" spans="1:53" x14ac:dyDescent="0.35">
      <c r="A57" s="2" t="s">
        <v>82</v>
      </c>
      <c r="C57" s="116"/>
      <c r="D57" s="117" t="s">
        <v>228</v>
      </c>
      <c r="E57" s="120">
        <f>E55-E56</f>
        <v>150.41685916520328</v>
      </c>
      <c r="F57" s="121">
        <f t="shared" ref="F57:L57" si="51">F55-F56</f>
        <v>-885.50293025182691</v>
      </c>
      <c r="G57" s="121">
        <f t="shared" si="51"/>
        <v>-1849.0151260220355</v>
      </c>
      <c r="H57" s="121">
        <f t="shared" si="51"/>
        <v>-2764.6594092587511</v>
      </c>
      <c r="I57" s="121">
        <f t="shared" si="51"/>
        <v>-3693.1514200307029</v>
      </c>
      <c r="J57" s="121">
        <f t="shared" si="51"/>
        <v>-4636.6862313245911</v>
      </c>
      <c r="K57" s="121">
        <f t="shared" si="51"/>
        <v>-5585.1152956919359</v>
      </c>
      <c r="L57" s="121">
        <f t="shared" si="51"/>
        <v>-6509.5956917666681</v>
      </c>
      <c r="X57" s="41">
        <f>X16-X33</f>
        <v>278285.20159701654</v>
      </c>
      <c r="Y57" t="s">
        <v>200</v>
      </c>
    </row>
    <row r="58" spans="1:53" x14ac:dyDescent="0.35">
      <c r="A58" s="2" t="s">
        <v>79</v>
      </c>
      <c r="B58" s="72" t="s">
        <v>80</v>
      </c>
      <c r="C58" t="s">
        <v>81</v>
      </c>
      <c r="X58" s="41">
        <f>X55+X57</f>
        <v>1369130.7811868999</v>
      </c>
      <c r="Y58" t="s">
        <v>201</v>
      </c>
    </row>
    <row r="59" spans="1:53" x14ac:dyDescent="0.35">
      <c r="A59" s="2" t="s">
        <v>73</v>
      </c>
      <c r="B59">
        <v>19</v>
      </c>
      <c r="C59" s="7">
        <v>0</v>
      </c>
      <c r="D59" s="112"/>
      <c r="E59" s="105"/>
      <c r="F59" s="105"/>
      <c r="G59" s="105"/>
      <c r="H59" s="105"/>
      <c r="I59" s="105"/>
      <c r="J59" s="105"/>
      <c r="K59" s="105"/>
      <c r="L59" s="105"/>
      <c r="M59" s="105"/>
      <c r="N59" s="105"/>
      <c r="O59" s="105"/>
      <c r="P59" s="105"/>
      <c r="Q59" s="105"/>
      <c r="R59" s="105"/>
      <c r="S59" s="105"/>
      <c r="T59" s="105"/>
      <c r="U59" s="105"/>
      <c r="V59" s="105"/>
      <c r="W59" s="105"/>
      <c r="X59" s="113">
        <f>X58-X53</f>
        <v>685072.56687005307</v>
      </c>
      <c r="Y59" s="105" t="s">
        <v>202</v>
      </c>
      <c r="Z59" s="105"/>
      <c r="AA59" s="105"/>
      <c r="AB59" s="105"/>
      <c r="AC59" s="105"/>
      <c r="AD59" s="105"/>
      <c r="AE59" s="105"/>
      <c r="AF59" s="105"/>
      <c r="AG59" s="105"/>
      <c r="AH59" s="105"/>
      <c r="AI59" s="112"/>
      <c r="AJ59" s="112"/>
      <c r="AK59" s="112"/>
      <c r="AL59" s="112"/>
      <c r="AM59" s="112"/>
      <c r="AN59" s="112"/>
      <c r="AO59" s="112"/>
      <c r="AP59" s="112"/>
      <c r="AQ59" s="112"/>
      <c r="AR59" s="112"/>
      <c r="AS59" s="112"/>
      <c r="AT59" s="112"/>
      <c r="AU59" s="112"/>
      <c r="AV59" s="112"/>
      <c r="AW59" s="112"/>
      <c r="AX59" s="112"/>
      <c r="AY59" s="112"/>
      <c r="AZ59" s="112"/>
      <c r="BA59" s="112"/>
    </row>
    <row r="60" spans="1:53" x14ac:dyDescent="0.35">
      <c r="A60" s="2" t="s">
        <v>74</v>
      </c>
      <c r="B60">
        <v>1.1000000000000001</v>
      </c>
      <c r="C60" s="7">
        <v>4.93</v>
      </c>
      <c r="D60" s="112"/>
      <c r="E60" s="105"/>
      <c r="F60" s="105"/>
      <c r="G60" s="105"/>
      <c r="H60" s="105"/>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12"/>
      <c r="AJ60" s="112"/>
      <c r="AK60" s="112"/>
      <c r="AL60" s="112"/>
      <c r="AM60" s="112"/>
      <c r="AN60" s="112"/>
      <c r="AO60" s="112"/>
      <c r="AP60" s="112"/>
      <c r="AQ60" s="112"/>
      <c r="AR60" s="112"/>
      <c r="AS60" s="112"/>
      <c r="AT60" s="112"/>
      <c r="AU60" s="112"/>
      <c r="AV60" s="112"/>
      <c r="AW60" s="112"/>
      <c r="AX60" s="112"/>
      <c r="AY60" s="112"/>
      <c r="AZ60" s="112"/>
      <c r="BA60" s="112"/>
    </row>
    <row r="61" spans="1:53" x14ac:dyDescent="0.35">
      <c r="A61" s="2" t="s">
        <v>75</v>
      </c>
      <c r="B61">
        <v>0.1</v>
      </c>
      <c r="C61" s="7">
        <v>1.79</v>
      </c>
      <c r="D61" s="112"/>
      <c r="E61" s="105"/>
      <c r="F61" s="105"/>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12"/>
      <c r="AJ61" s="112"/>
      <c r="AK61" s="112"/>
      <c r="AL61" s="112"/>
      <c r="AM61" s="112"/>
      <c r="AN61" s="112"/>
      <c r="AO61" s="112"/>
      <c r="AP61" s="112"/>
      <c r="AQ61" s="112"/>
      <c r="AR61" s="112"/>
      <c r="AS61" s="112"/>
      <c r="AT61" s="112"/>
      <c r="AU61" s="112"/>
      <c r="AV61" s="112"/>
      <c r="AW61" s="112"/>
      <c r="AX61" s="112"/>
      <c r="AY61" s="112"/>
      <c r="AZ61" s="112"/>
      <c r="BA61" s="112"/>
    </row>
    <row r="62" spans="1:53" x14ac:dyDescent="0.35">
      <c r="A62" s="2" t="s">
        <v>76</v>
      </c>
      <c r="B62">
        <v>0.1</v>
      </c>
      <c r="C62" s="7">
        <v>5.43</v>
      </c>
      <c r="D62" s="112"/>
      <c r="E62" s="105"/>
      <c r="F62" s="105"/>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12"/>
      <c r="AJ62" s="112"/>
      <c r="AK62" s="112"/>
      <c r="AL62" s="112"/>
      <c r="AM62" s="112"/>
      <c r="AN62" s="112"/>
      <c r="AO62" s="112"/>
      <c r="AP62" s="112"/>
      <c r="AQ62" s="112"/>
      <c r="AR62" s="112"/>
      <c r="AS62" s="112"/>
      <c r="AT62" s="112"/>
      <c r="AU62" s="112"/>
      <c r="AV62" s="112"/>
      <c r="AW62" s="112"/>
      <c r="AX62" s="112"/>
      <c r="AY62" s="112"/>
      <c r="AZ62" s="112"/>
      <c r="BA62" s="112"/>
    </row>
    <row r="63" spans="1:53" x14ac:dyDescent="0.35">
      <c r="A63" s="2" t="s">
        <v>77</v>
      </c>
      <c r="B63">
        <v>1</v>
      </c>
      <c r="C63" s="7">
        <v>5.57</v>
      </c>
      <c r="E63" s="105"/>
      <c r="F63" s="105"/>
      <c r="G63" s="105"/>
      <c r="H63" s="105"/>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row>
    <row r="64" spans="1:53" x14ac:dyDescent="0.35">
      <c r="A64" s="2" t="s">
        <v>78</v>
      </c>
      <c r="B64">
        <v>0.1</v>
      </c>
      <c r="C64" s="7">
        <v>3.01</v>
      </c>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row>
    <row r="65" spans="1:25" x14ac:dyDescent="0.35">
      <c r="A65" s="2" t="s">
        <v>83</v>
      </c>
      <c r="C65" s="7">
        <f>SUM(C59:C64)</f>
        <v>20.729999999999997</v>
      </c>
      <c r="E65" s="5">
        <f t="shared" ref="E65:W65" si="52">$C65*E6</f>
        <v>51.824999999999989</v>
      </c>
      <c r="F65" s="5">
        <f t="shared" si="52"/>
        <v>186.56999999999996</v>
      </c>
      <c r="G65" s="5">
        <f t="shared" si="52"/>
        <v>383.50499999999994</v>
      </c>
      <c r="H65" s="5">
        <f t="shared" si="52"/>
        <v>642.62999999999988</v>
      </c>
      <c r="I65" s="5">
        <f t="shared" si="52"/>
        <v>974.30999999999983</v>
      </c>
      <c r="J65" s="5">
        <f t="shared" si="52"/>
        <v>1378.5449999999998</v>
      </c>
      <c r="K65" s="5">
        <f t="shared" si="52"/>
        <v>1844.9699999999998</v>
      </c>
      <c r="L65" s="5">
        <f t="shared" si="52"/>
        <v>2383.9499999999998</v>
      </c>
      <c r="M65" s="5">
        <f t="shared" si="52"/>
        <v>2674.1699999999996</v>
      </c>
      <c r="N65" s="5">
        <f t="shared" si="52"/>
        <v>2674.1699999999996</v>
      </c>
      <c r="O65" s="5">
        <f t="shared" si="52"/>
        <v>2674.1699999999996</v>
      </c>
      <c r="P65" s="5">
        <f t="shared" si="52"/>
        <v>2622.3449999999998</v>
      </c>
      <c r="Q65" s="5">
        <f t="shared" si="52"/>
        <v>2487.5999999999995</v>
      </c>
      <c r="R65" s="5">
        <f t="shared" si="52"/>
        <v>2290.6649999999995</v>
      </c>
      <c r="S65" s="5">
        <f t="shared" si="52"/>
        <v>2031.5399999999997</v>
      </c>
      <c r="T65" s="5">
        <f t="shared" si="52"/>
        <v>1699.8599999999997</v>
      </c>
      <c r="U65" s="5">
        <f t="shared" si="52"/>
        <v>1295.6249999999998</v>
      </c>
      <c r="V65" s="5">
        <f t="shared" si="52"/>
        <v>829.19999999999982</v>
      </c>
      <c r="W65" s="5">
        <f t="shared" si="52"/>
        <v>290.21999999999997</v>
      </c>
      <c r="X65" s="5">
        <f>SUM(E65:W65)</f>
        <v>29415.870000000003</v>
      </c>
      <c r="Y65" t="s">
        <v>84</v>
      </c>
    </row>
    <row r="66" spans="1:25" x14ac:dyDescent="0.35">
      <c r="X66" s="3">
        <f>'Est Pollutant Costs'!E39</f>
        <v>43923.016499999998</v>
      </c>
      <c r="Y66" t="s">
        <v>97</v>
      </c>
    </row>
    <row r="67" spans="1:25" x14ac:dyDescent="0.35">
      <c r="A67" s="2" t="s">
        <v>196</v>
      </c>
      <c r="B67">
        <v>25.99</v>
      </c>
      <c r="C67" t="s">
        <v>197</v>
      </c>
      <c r="D67" s="2" t="s">
        <v>195</v>
      </c>
      <c r="E67" s="8">
        <f>$B$67*E12</f>
        <v>23211.999105545616</v>
      </c>
      <c r="F67" s="8">
        <f t="shared" ref="F67:W67" si="53">$B$67*F12</f>
        <v>82342.358072682924</v>
      </c>
      <c r="G67" s="8">
        <f t="shared" si="53"/>
        <v>166076.65847028801</v>
      </c>
      <c r="H67" s="8">
        <f t="shared" si="53"/>
        <v>272872.17855175596</v>
      </c>
      <c r="I67" s="8">
        <f t="shared" si="53"/>
        <v>405413.69038067502</v>
      </c>
      <c r="J67" s="8">
        <f t="shared" si="53"/>
        <v>562304.56991184596</v>
      </c>
      <c r="K67" s="8">
        <f t="shared" si="53"/>
        <v>738177.99858600122</v>
      </c>
      <c r="L67" s="8">
        <f t="shared" si="53"/>
        <v>935726.58694886614</v>
      </c>
      <c r="M67" s="8">
        <f t="shared" si="53"/>
        <v>1040730.6938852823</v>
      </c>
      <c r="N67" s="8">
        <f t="shared" si="53"/>
        <v>1040730.6938852823</v>
      </c>
      <c r="O67" s="8">
        <f t="shared" si="53"/>
        <v>1040730.6938852823</v>
      </c>
      <c r="P67" s="8">
        <f t="shared" si="53"/>
        <v>1017518.6947797367</v>
      </c>
      <c r="Q67" s="8">
        <f t="shared" si="53"/>
        <v>981600.33491814497</v>
      </c>
      <c r="R67" s="8">
        <f t="shared" si="53"/>
        <v>933784.39438213164</v>
      </c>
      <c r="S67" s="8">
        <f t="shared" si="53"/>
        <v>874804.81483667705</v>
      </c>
      <c r="T67" s="8">
        <f t="shared" si="53"/>
        <v>801242.88255321258</v>
      </c>
      <c r="U67" s="8">
        <f t="shared" si="53"/>
        <v>717913.93530550611</v>
      </c>
      <c r="V67" s="8">
        <f t="shared" si="53"/>
        <v>625369.45387905731</v>
      </c>
      <c r="W67" s="8">
        <f t="shared" si="53"/>
        <v>520365.34694264119</v>
      </c>
      <c r="X67" s="10">
        <f>SUM(E67:W67)</f>
        <v>12780917.979280615</v>
      </c>
      <c r="Y67" t="s">
        <v>232</v>
      </c>
    </row>
    <row r="68" spans="1:25" x14ac:dyDescent="0.35">
      <c r="A68" s="2" t="s">
        <v>229</v>
      </c>
      <c r="B68">
        <v>99.61</v>
      </c>
      <c r="C68" t="s">
        <v>230</v>
      </c>
      <c r="X68" s="8">
        <f>X67/2204.6</f>
        <v>5797.3863645471356</v>
      </c>
      <c r="Y68" t="s">
        <v>233</v>
      </c>
    </row>
    <row r="69" spans="1:25" x14ac:dyDescent="0.35">
      <c r="A69" s="2"/>
      <c r="B69">
        <v>0.79</v>
      </c>
      <c r="C69" t="s">
        <v>231</v>
      </c>
      <c r="E69" s="10">
        <f>E28*$B$69</f>
        <v>5722.9745501804337</v>
      </c>
      <c r="F69" s="10">
        <f t="shared" ref="F69:W69" si="54">F28*$B$69</f>
        <v>20727.398428979457</v>
      </c>
      <c r="G69" s="10">
        <f t="shared" si="54"/>
        <v>42707.348082822493</v>
      </c>
      <c r="H69" s="10">
        <f t="shared" si="54"/>
        <v>71487.169489290012</v>
      </c>
      <c r="I69" s="10">
        <f t="shared" si="54"/>
        <v>108141.6092245754</v>
      </c>
      <c r="J69" s="10">
        <f t="shared" si="54"/>
        <v>152597.28684682606</v>
      </c>
      <c r="K69" s="10">
        <f t="shared" si="54"/>
        <v>203638.40612003321</v>
      </c>
      <c r="L69" s="10">
        <f t="shared" si="54"/>
        <v>262324.31669617491</v>
      </c>
      <c r="M69" s="10">
        <f t="shared" si="54"/>
        <v>293851.66696731787</v>
      </c>
      <c r="N69" s="10">
        <f t="shared" si="54"/>
        <v>293851.66696731787</v>
      </c>
      <c r="O69" s="10">
        <f t="shared" si="54"/>
        <v>293851.66696731787</v>
      </c>
      <c r="P69" s="10">
        <f t="shared" si="54"/>
        <v>288128.69241713738</v>
      </c>
      <c r="Q69" s="10">
        <f t="shared" si="54"/>
        <v>273124.26853833837</v>
      </c>
      <c r="R69" s="10">
        <f t="shared" si="54"/>
        <v>251144.31888449535</v>
      </c>
      <c r="S69" s="10">
        <f t="shared" si="54"/>
        <v>222364.49747802783</v>
      </c>
      <c r="T69" s="10">
        <f t="shared" si="54"/>
        <v>185710.05774274244</v>
      </c>
      <c r="U69" s="10">
        <f t="shared" si="54"/>
        <v>141254.38012049178</v>
      </c>
      <c r="V69" s="10">
        <f t="shared" si="54"/>
        <v>90213.260847284633</v>
      </c>
      <c r="W69" s="10">
        <f t="shared" si="54"/>
        <v>31527.35027114291</v>
      </c>
      <c r="X69" s="8">
        <f>SUM(E69:W69)</f>
        <v>3232368.3366404958</v>
      </c>
      <c r="Y69" t="s">
        <v>232</v>
      </c>
    </row>
    <row r="70" spans="1:25" x14ac:dyDescent="0.35">
      <c r="X70" s="8">
        <f>X69/2204.6</f>
        <v>1466.1926592762841</v>
      </c>
      <c r="Y70" t="s">
        <v>233</v>
      </c>
    </row>
    <row r="71" spans="1:25" x14ac:dyDescent="0.35">
      <c r="X71" s="8"/>
    </row>
  </sheetData>
  <hyperlinks>
    <hyperlink ref="A27" r:id="rId1"/>
    <hyperlink ref="A11" r:id="rId2" display="https://www.eia.gov/outlooks/aeo"/>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2"/>
  <sheetViews>
    <sheetView workbookViewId="0">
      <selection activeCell="I10" sqref="I10"/>
    </sheetView>
  </sheetViews>
  <sheetFormatPr defaultRowHeight="14.5" x14ac:dyDescent="0.35"/>
  <cols>
    <col min="1" max="1" width="11.26953125" customWidth="1"/>
    <col min="2" max="2" width="13.36328125" customWidth="1"/>
    <col min="3" max="3" width="17.54296875" customWidth="1"/>
    <col min="4" max="4" width="14.36328125" customWidth="1"/>
    <col min="5" max="5" width="10.7265625" customWidth="1"/>
    <col min="6" max="6" width="12.7265625" customWidth="1"/>
    <col min="7" max="7" width="15.54296875" customWidth="1"/>
    <col min="8" max="8" width="11.1796875" customWidth="1"/>
    <col min="9" max="9" width="12.36328125" customWidth="1"/>
    <col min="10" max="11" width="22.1796875" customWidth="1"/>
    <col min="12" max="12" width="19" customWidth="1"/>
    <col min="13" max="13" width="11.1796875" customWidth="1"/>
    <col min="14" max="14" width="13.7265625" customWidth="1"/>
    <col min="15" max="15" width="12.1796875" customWidth="1"/>
    <col min="16" max="16" width="13.1796875" customWidth="1"/>
    <col min="17" max="17" width="16.81640625" customWidth="1"/>
    <col min="18" max="18" width="15" customWidth="1"/>
  </cols>
  <sheetData>
    <row r="2" spans="1:12" ht="15.5" x14ac:dyDescent="0.35">
      <c r="A2" s="75" t="s">
        <v>129</v>
      </c>
    </row>
    <row r="3" spans="1:12" ht="43.5" x14ac:dyDescent="0.35">
      <c r="B3" t="s">
        <v>130</v>
      </c>
      <c r="C3" t="s">
        <v>131</v>
      </c>
      <c r="D3" s="73" t="s">
        <v>132</v>
      </c>
      <c r="E3" t="s">
        <v>133</v>
      </c>
      <c r="F3" s="76" t="s">
        <v>134</v>
      </c>
      <c r="G3" s="73" t="s">
        <v>135</v>
      </c>
      <c r="H3" s="73" t="s">
        <v>136</v>
      </c>
      <c r="I3" s="77" t="s">
        <v>137</v>
      </c>
      <c r="J3" s="73" t="s">
        <v>138</v>
      </c>
      <c r="K3" s="73" t="s">
        <v>124</v>
      </c>
    </row>
    <row r="4" spans="1:12" x14ac:dyDescent="0.35">
      <c r="A4">
        <v>2018</v>
      </c>
      <c r="B4" s="26">
        <v>0.1</v>
      </c>
      <c r="C4" s="11">
        <f>500*12</f>
        <v>6000</v>
      </c>
      <c r="D4" s="11">
        <v>10</v>
      </c>
      <c r="E4" s="11">
        <f t="shared" ref="E4:E11" si="0">C4*D4</f>
        <v>60000</v>
      </c>
      <c r="F4" s="78">
        <f>E4*B4</f>
        <v>6000</v>
      </c>
      <c r="G4" s="79">
        <v>6849</v>
      </c>
      <c r="H4" s="74">
        <v>10</v>
      </c>
      <c r="I4" s="80">
        <f>G4*H4</f>
        <v>68490</v>
      </c>
      <c r="J4" s="5">
        <f>F4+I4</f>
        <v>74490</v>
      </c>
    </row>
    <row r="5" spans="1:12" x14ac:dyDescent="0.35">
      <c r="A5">
        <v>2019</v>
      </c>
      <c r="B5" s="26">
        <v>0.1</v>
      </c>
      <c r="C5" s="11">
        <f t="shared" ref="C5:C11" si="1">500*12</f>
        <v>6000</v>
      </c>
      <c r="D5" s="11">
        <v>25</v>
      </c>
      <c r="E5" s="11">
        <f t="shared" si="0"/>
        <v>150000</v>
      </c>
      <c r="F5" s="78">
        <f t="shared" ref="F5:F11" si="2">E5*B5</f>
        <v>15000</v>
      </c>
      <c r="G5" s="79">
        <v>6849</v>
      </c>
      <c r="H5" s="74">
        <v>25</v>
      </c>
      <c r="I5" s="80">
        <f t="shared" ref="I5:I11" si="3">G5*H5</f>
        <v>171225</v>
      </c>
      <c r="J5" s="5">
        <f t="shared" ref="J5:J11" si="4">F5+I5</f>
        <v>186225</v>
      </c>
      <c r="K5" s="5">
        <f>J4+J5</f>
        <v>260715</v>
      </c>
      <c r="L5" t="s">
        <v>139</v>
      </c>
    </row>
    <row r="6" spans="1:12" x14ac:dyDescent="0.35">
      <c r="A6">
        <v>2020</v>
      </c>
      <c r="B6" s="26">
        <v>0.1</v>
      </c>
      <c r="C6" s="11">
        <f t="shared" si="1"/>
        <v>6000</v>
      </c>
      <c r="D6" s="11">
        <v>65</v>
      </c>
      <c r="E6" s="11">
        <f t="shared" si="0"/>
        <v>390000</v>
      </c>
      <c r="F6" s="78">
        <f t="shared" si="2"/>
        <v>39000</v>
      </c>
      <c r="G6" s="79">
        <v>6849</v>
      </c>
      <c r="H6" s="74">
        <v>40</v>
      </c>
      <c r="I6" s="80">
        <f t="shared" si="3"/>
        <v>273960</v>
      </c>
      <c r="J6" s="5">
        <f t="shared" si="4"/>
        <v>312960</v>
      </c>
    </row>
    <row r="7" spans="1:12" x14ac:dyDescent="0.35">
      <c r="A7">
        <v>2021</v>
      </c>
      <c r="B7" s="26">
        <v>0.11</v>
      </c>
      <c r="C7" s="11">
        <f t="shared" si="1"/>
        <v>6000</v>
      </c>
      <c r="D7" s="11">
        <v>122</v>
      </c>
      <c r="E7" s="11">
        <f t="shared" si="0"/>
        <v>732000</v>
      </c>
      <c r="F7" s="78">
        <f t="shared" si="2"/>
        <v>80520</v>
      </c>
      <c r="G7" s="79">
        <v>6849</v>
      </c>
      <c r="H7" s="74">
        <v>57</v>
      </c>
      <c r="I7" s="80">
        <f t="shared" si="3"/>
        <v>390393</v>
      </c>
      <c r="J7" s="5">
        <f t="shared" si="4"/>
        <v>470913</v>
      </c>
      <c r="K7" s="5">
        <f>J6+J7</f>
        <v>783873</v>
      </c>
      <c r="L7" t="s">
        <v>140</v>
      </c>
    </row>
    <row r="8" spans="1:12" x14ac:dyDescent="0.35">
      <c r="A8">
        <v>2022</v>
      </c>
      <c r="B8" s="26">
        <v>0.11</v>
      </c>
      <c r="C8" s="11">
        <f t="shared" si="1"/>
        <v>6000</v>
      </c>
      <c r="D8" s="11">
        <v>197</v>
      </c>
      <c r="E8" s="11">
        <f t="shared" si="0"/>
        <v>1182000</v>
      </c>
      <c r="F8" s="78">
        <f t="shared" si="2"/>
        <v>130020</v>
      </c>
      <c r="G8" s="79">
        <v>6849</v>
      </c>
      <c r="H8" s="74">
        <v>75</v>
      </c>
      <c r="I8" s="80">
        <f t="shared" si="3"/>
        <v>513675</v>
      </c>
      <c r="J8" s="5">
        <f t="shared" si="4"/>
        <v>643695</v>
      </c>
    </row>
    <row r="9" spans="1:12" x14ac:dyDescent="0.35">
      <c r="A9">
        <v>2023</v>
      </c>
      <c r="B9" s="26">
        <v>0.11</v>
      </c>
      <c r="C9" s="11">
        <f t="shared" si="1"/>
        <v>6000</v>
      </c>
      <c r="D9" s="11">
        <v>267</v>
      </c>
      <c r="E9" s="11">
        <f t="shared" si="0"/>
        <v>1602000</v>
      </c>
      <c r="F9" s="78">
        <f t="shared" si="2"/>
        <v>176220</v>
      </c>
      <c r="G9" s="79">
        <v>6849</v>
      </c>
      <c r="H9" s="74">
        <v>70</v>
      </c>
      <c r="I9" s="80">
        <f t="shared" si="3"/>
        <v>479430</v>
      </c>
      <c r="J9" s="5">
        <f t="shared" si="4"/>
        <v>655650</v>
      </c>
      <c r="K9" s="5">
        <f>J8+J9</f>
        <v>1299345</v>
      </c>
      <c r="L9" t="s">
        <v>141</v>
      </c>
    </row>
    <row r="10" spans="1:12" x14ac:dyDescent="0.35">
      <c r="A10">
        <v>2024</v>
      </c>
      <c r="B10" s="26">
        <v>0.11</v>
      </c>
      <c r="C10" s="11">
        <f t="shared" si="1"/>
        <v>6000</v>
      </c>
      <c r="D10" s="11">
        <v>342</v>
      </c>
      <c r="E10" s="11">
        <f t="shared" si="0"/>
        <v>2052000</v>
      </c>
      <c r="F10" s="78">
        <f t="shared" si="2"/>
        <v>225720</v>
      </c>
      <c r="G10" s="79">
        <v>6849</v>
      </c>
      <c r="H10" s="74">
        <v>75</v>
      </c>
      <c r="I10" s="80">
        <f t="shared" si="3"/>
        <v>513675</v>
      </c>
      <c r="J10" s="5">
        <f t="shared" si="4"/>
        <v>739395</v>
      </c>
    </row>
    <row r="11" spans="1:12" x14ac:dyDescent="0.35">
      <c r="A11">
        <v>2025</v>
      </c>
      <c r="B11" s="26">
        <v>0.11</v>
      </c>
      <c r="C11" s="11">
        <f t="shared" si="1"/>
        <v>6000</v>
      </c>
      <c r="D11" s="11">
        <v>417</v>
      </c>
      <c r="E11" s="11">
        <f t="shared" si="0"/>
        <v>2502000</v>
      </c>
      <c r="F11" s="78">
        <f t="shared" si="2"/>
        <v>275220</v>
      </c>
      <c r="G11" s="79">
        <v>6849</v>
      </c>
      <c r="H11" s="74">
        <v>75</v>
      </c>
      <c r="I11" s="80">
        <f t="shared" si="3"/>
        <v>513675</v>
      </c>
      <c r="J11" s="5">
        <f t="shared" si="4"/>
        <v>788895</v>
      </c>
      <c r="K11" s="5">
        <f>J10+J11</f>
        <v>1528290</v>
      </c>
      <c r="L11" t="s">
        <v>142</v>
      </c>
    </row>
    <row r="12" spans="1:12" x14ac:dyDescent="0.35">
      <c r="A12" t="s">
        <v>235</v>
      </c>
      <c r="D12" s="11"/>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9"/>
  <sheetViews>
    <sheetView workbookViewId="0">
      <selection activeCell="D34" sqref="D34"/>
    </sheetView>
  </sheetViews>
  <sheetFormatPr defaultRowHeight="14.5" x14ac:dyDescent="0.35"/>
  <cols>
    <col min="1" max="1" width="9.7265625" customWidth="1"/>
    <col min="4" max="4" width="14.1796875" bestFit="1" customWidth="1"/>
  </cols>
  <sheetData>
    <row r="1" spans="1:5" x14ac:dyDescent="0.35">
      <c r="A1" t="s">
        <v>119</v>
      </c>
    </row>
    <row r="2" spans="1:5" x14ac:dyDescent="0.35">
      <c r="A2" t="s">
        <v>100</v>
      </c>
    </row>
    <row r="3" spans="1:5" ht="17.5" x14ac:dyDescent="0.45">
      <c r="A3" s="72" t="s">
        <v>98</v>
      </c>
    </row>
    <row r="5" spans="1:5" ht="17.5" x14ac:dyDescent="0.45">
      <c r="A5" s="72" t="s">
        <v>99</v>
      </c>
    </row>
    <row r="6" spans="1:5" x14ac:dyDescent="0.35">
      <c r="A6" s="72" t="s">
        <v>121</v>
      </c>
    </row>
    <row r="7" spans="1:5" x14ac:dyDescent="0.35">
      <c r="A7" t="s">
        <v>104</v>
      </c>
      <c r="B7">
        <v>8.7799999999999994</v>
      </c>
    </row>
    <row r="10" spans="1:5" x14ac:dyDescent="0.35">
      <c r="A10" t="s">
        <v>102</v>
      </c>
      <c r="B10">
        <v>0.38</v>
      </c>
      <c r="D10" t="s">
        <v>109</v>
      </c>
      <c r="E10">
        <f>B10*0.00220462</f>
        <v>8.3775560000000002E-4</v>
      </c>
    </row>
    <row r="11" spans="1:5" x14ac:dyDescent="0.35">
      <c r="A11" t="s">
        <v>103</v>
      </c>
      <c r="B11">
        <v>0.08</v>
      </c>
      <c r="D11" t="s">
        <v>110</v>
      </c>
      <c r="E11">
        <f>B11*0.00220462</f>
        <v>1.7636959999999999E-4</v>
      </c>
    </row>
    <row r="13" spans="1:5" x14ac:dyDescent="0.35">
      <c r="A13" t="s">
        <v>108</v>
      </c>
    </row>
    <row r="14" spans="1:5" x14ac:dyDescent="0.35">
      <c r="A14" t="s">
        <v>105</v>
      </c>
    </row>
    <row r="17" spans="1:5" x14ac:dyDescent="0.35">
      <c r="A17" t="s">
        <v>107</v>
      </c>
    </row>
    <row r="18" spans="1:5" x14ac:dyDescent="0.35">
      <c r="A18" t="s">
        <v>106</v>
      </c>
    </row>
    <row r="19" spans="1:5" x14ac:dyDescent="0.35">
      <c r="A19" t="s">
        <v>112</v>
      </c>
    </row>
    <row r="21" spans="1:5" x14ac:dyDescent="0.35">
      <c r="A21" s="72" t="s">
        <v>120</v>
      </c>
    </row>
    <row r="22" spans="1:5" x14ac:dyDescent="0.35">
      <c r="A22" t="s">
        <v>101</v>
      </c>
    </row>
    <row r="23" spans="1:5" x14ac:dyDescent="0.35">
      <c r="A23" s="71" t="s">
        <v>116</v>
      </c>
    </row>
    <row r="25" spans="1:5" x14ac:dyDescent="0.35">
      <c r="A25" t="s">
        <v>114</v>
      </c>
      <c r="E25" t="s">
        <v>122</v>
      </c>
    </row>
    <row r="26" spans="1:5" x14ac:dyDescent="0.35">
      <c r="A26" t="s">
        <v>111</v>
      </c>
      <c r="C26">
        <v>300</v>
      </c>
      <c r="D26" t="s">
        <v>118</v>
      </c>
      <c r="E26">
        <f>C26/1000</f>
        <v>0.3</v>
      </c>
    </row>
    <row r="27" spans="1:5" x14ac:dyDescent="0.35">
      <c r="A27" t="s">
        <v>115</v>
      </c>
      <c r="C27">
        <f>1710318/60182013</f>
        <v>2.8419089271739716E-2</v>
      </c>
      <c r="D27" t="s">
        <v>123</v>
      </c>
      <c r="E27">
        <f>C27/1000</f>
        <v>2.8419089271739717E-5</v>
      </c>
    </row>
    <row r="28" spans="1:5" x14ac:dyDescent="0.35">
      <c r="A28" t="s">
        <v>113</v>
      </c>
      <c r="C28">
        <v>0.4</v>
      </c>
      <c r="D28" t="s">
        <v>118</v>
      </c>
      <c r="E28">
        <f>C28/1000</f>
        <v>4.0000000000000002E-4</v>
      </c>
    </row>
    <row r="29" spans="1:5" x14ac:dyDescent="0.35">
      <c r="A29" t="s">
        <v>117</v>
      </c>
      <c r="C29">
        <v>0.3</v>
      </c>
      <c r="D29" t="s">
        <v>118</v>
      </c>
      <c r="E29">
        <f>C29/1000</f>
        <v>2.9999999999999997E-4</v>
      </c>
    </row>
  </sheetData>
  <hyperlinks>
    <hyperlink ref="A23" r:id="rId1"/>
  </hyperlinks>
  <pageMargins left="0.7" right="0.7" top="0.75" bottom="0.75" header="0.3" footer="0.3"/>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Z55"/>
  <sheetViews>
    <sheetView workbookViewId="0">
      <selection activeCell="C5" sqref="C5"/>
    </sheetView>
  </sheetViews>
  <sheetFormatPr defaultRowHeight="14.5" x14ac:dyDescent="0.35"/>
  <cols>
    <col min="2" max="2" width="13.36328125" customWidth="1"/>
    <col min="3" max="4" width="11.26953125" customWidth="1"/>
    <col min="5" max="5" width="11" bestFit="1" customWidth="1"/>
    <col min="6" max="6" width="12.26953125" customWidth="1"/>
    <col min="7" max="7" width="12.7265625" customWidth="1"/>
    <col min="8" max="12" width="12" bestFit="1" customWidth="1"/>
    <col min="13" max="13" width="10.81640625" customWidth="1"/>
    <col min="14" max="14" width="11.81640625" customWidth="1"/>
    <col min="15" max="15" width="11.1796875" customWidth="1"/>
    <col min="16" max="16" width="11.26953125" customWidth="1"/>
    <col min="17" max="17" width="11.1796875" customWidth="1"/>
    <col min="18" max="19" width="10.81640625" customWidth="1"/>
    <col min="22" max="22" width="11.54296875" bestFit="1" customWidth="1"/>
    <col min="23" max="23" width="12.1796875" customWidth="1"/>
    <col min="24" max="24" width="11.54296875" bestFit="1" customWidth="1"/>
    <col min="25" max="26" width="11.7265625" customWidth="1"/>
  </cols>
  <sheetData>
    <row r="2" spans="2:26" x14ac:dyDescent="0.35">
      <c r="B2" t="s">
        <v>213</v>
      </c>
      <c r="C2" s="11">
        <v>9985</v>
      </c>
    </row>
    <row r="3" spans="2:26" x14ac:dyDescent="0.35">
      <c r="C3" t="s">
        <v>211</v>
      </c>
      <c r="V3" t="s">
        <v>10</v>
      </c>
      <c r="X3" t="s">
        <v>10</v>
      </c>
      <c r="Y3" t="s">
        <v>201</v>
      </c>
    </row>
    <row r="4" spans="2:26" x14ac:dyDescent="0.35">
      <c r="C4">
        <v>2018</v>
      </c>
      <c r="D4">
        <v>2019</v>
      </c>
      <c r="E4">
        <v>2020</v>
      </c>
      <c r="F4">
        <v>2021</v>
      </c>
      <c r="G4">
        <v>2022</v>
      </c>
      <c r="H4">
        <v>2023</v>
      </c>
      <c r="I4">
        <v>2024</v>
      </c>
      <c r="J4">
        <v>2025</v>
      </c>
      <c r="K4">
        <v>2026</v>
      </c>
      <c r="L4">
        <v>2027</v>
      </c>
      <c r="M4" s="2">
        <v>2028</v>
      </c>
      <c r="N4" s="16">
        <v>2029</v>
      </c>
      <c r="O4" s="16">
        <v>2030</v>
      </c>
      <c r="P4" s="16">
        <v>2031</v>
      </c>
      <c r="Q4" s="16">
        <v>2032</v>
      </c>
      <c r="R4" s="16">
        <v>2033</v>
      </c>
      <c r="S4" s="16">
        <v>2034</v>
      </c>
      <c r="T4" s="16">
        <v>2035</v>
      </c>
      <c r="U4" s="16" t="s">
        <v>214</v>
      </c>
      <c r="V4" t="s">
        <v>210</v>
      </c>
      <c r="X4" t="s">
        <v>215</v>
      </c>
    </row>
    <row r="5" spans="2:26" x14ac:dyDescent="0.35">
      <c r="B5" t="s">
        <v>208</v>
      </c>
      <c r="C5">
        <f>'2019 AEO Fuel Price'!D26</f>
        <v>2.7936411538499999</v>
      </c>
      <c r="D5">
        <f>'2019 AEO Fuel Price'!E26</f>
        <v>2.8133997338280001</v>
      </c>
      <c r="E5">
        <f>'2019 AEO Fuel Price'!F26</f>
        <v>2.8976820891630002</v>
      </c>
      <c r="F5">
        <f>'2019 AEO Fuel Price'!G26</f>
        <v>2.9193304819720001</v>
      </c>
      <c r="G5">
        <f>'2019 AEO Fuel Price'!H26</f>
        <v>2.9272370715839999</v>
      </c>
      <c r="H5">
        <f>'2019 AEO Fuel Price'!I26</f>
        <v>2.9678151689110002</v>
      </c>
      <c r="I5">
        <f>'2019 AEO Fuel Price'!J26</f>
        <v>3.0085521920790002</v>
      </c>
      <c r="J5">
        <f>'2019 AEO Fuel Price'!K26</f>
        <v>3.0422282179110001</v>
      </c>
      <c r="K5">
        <f>'2019 AEO Fuel Price'!L26</f>
        <v>3.0672536397300001</v>
      </c>
      <c r="L5">
        <f>'2019 AEO Fuel Price'!M26</f>
        <v>3.1306283661649998</v>
      </c>
      <c r="M5">
        <f>'2019 AEO Fuel Price'!N26</f>
        <v>3.1529650506549998</v>
      </c>
      <c r="N5">
        <f>'2019 AEO Fuel Price'!O26</f>
        <v>3.2302564103210001</v>
      </c>
      <c r="O5">
        <f>'2019 AEO Fuel Price'!P26</f>
        <v>3.2436192990220003</v>
      </c>
      <c r="P5">
        <f>'2019 AEO Fuel Price'!Q26</f>
        <v>3.2788770374789999</v>
      </c>
      <c r="Q5">
        <f>'2019 AEO Fuel Price'!R26</f>
        <v>3.3063838616729999</v>
      </c>
      <c r="R5">
        <f>'2019 AEO Fuel Price'!S26</f>
        <v>3.3198323079670002</v>
      </c>
      <c r="S5">
        <f>'2019 AEO Fuel Price'!T26</f>
        <v>3.3440360518440002</v>
      </c>
      <c r="T5">
        <f>'2019 AEO Fuel Price'!U26</f>
        <v>3.3654918530020002</v>
      </c>
    </row>
    <row r="6" spans="2:26" x14ac:dyDescent="0.35">
      <c r="B6" t="s">
        <v>209</v>
      </c>
      <c r="Y6" t="s">
        <v>220</v>
      </c>
      <c r="Z6" t="s">
        <v>221</v>
      </c>
    </row>
    <row r="7" spans="2:26" x14ac:dyDescent="0.35">
      <c r="B7">
        <v>357</v>
      </c>
      <c r="C7" s="12">
        <f>$B$7*C5</f>
        <v>997.32989192444995</v>
      </c>
      <c r="D7" s="12">
        <f t="shared" ref="D7:L7" si="0">$B$7*D5</f>
        <v>1004.3837049765961</v>
      </c>
      <c r="E7" s="12">
        <f t="shared" si="0"/>
        <v>1034.472505831191</v>
      </c>
      <c r="F7" s="12">
        <f t="shared" si="0"/>
        <v>1042.2009820640039</v>
      </c>
      <c r="G7" s="12">
        <f t="shared" si="0"/>
        <v>1045.0236345554879</v>
      </c>
      <c r="H7" s="12">
        <f t="shared" si="0"/>
        <v>1059.510015301227</v>
      </c>
      <c r="I7" s="12">
        <f t="shared" si="0"/>
        <v>1074.0531325722031</v>
      </c>
      <c r="J7" s="12">
        <f t="shared" si="0"/>
        <v>1086.075473794227</v>
      </c>
      <c r="K7" s="12">
        <f t="shared" si="0"/>
        <v>1095.00954938361</v>
      </c>
      <c r="L7" s="12">
        <f t="shared" si="0"/>
        <v>1117.6343267209049</v>
      </c>
      <c r="U7">
        <v>2018</v>
      </c>
      <c r="V7" s="111">
        <f>SUM(C7:T7)</f>
        <v>10555.6932171239</v>
      </c>
      <c r="X7" s="111">
        <f>V7+W17</f>
        <v>19255.508631542532</v>
      </c>
      <c r="Y7" s="111">
        <f>X7-X29</f>
        <v>9061.2378463684963</v>
      </c>
      <c r="Z7" s="111">
        <f>X7-X38</f>
        <v>8846.1131408347956</v>
      </c>
    </row>
    <row r="8" spans="2:26" x14ac:dyDescent="0.35">
      <c r="B8">
        <v>346</v>
      </c>
      <c r="D8" s="12">
        <f>$B$8*D5</f>
        <v>973.43630790448799</v>
      </c>
      <c r="E8" s="12">
        <f t="shared" ref="E8:M8" si="1">$B$8*E5</f>
        <v>1002.5980028503981</v>
      </c>
      <c r="F8" s="12">
        <f t="shared" si="1"/>
        <v>1010.088346762312</v>
      </c>
      <c r="G8" s="12">
        <f t="shared" si="1"/>
        <v>1012.824026768064</v>
      </c>
      <c r="H8" s="12">
        <f t="shared" si="1"/>
        <v>1026.864048443206</v>
      </c>
      <c r="I8" s="12">
        <f t="shared" si="1"/>
        <v>1040.9590584593341</v>
      </c>
      <c r="J8" s="12">
        <f t="shared" si="1"/>
        <v>1052.610963397206</v>
      </c>
      <c r="K8" s="12">
        <f t="shared" si="1"/>
        <v>1061.26975934658</v>
      </c>
      <c r="L8" s="12">
        <f t="shared" si="1"/>
        <v>1083.19741469309</v>
      </c>
      <c r="M8" s="12">
        <f t="shared" si="1"/>
        <v>1090.92590752663</v>
      </c>
      <c r="U8">
        <v>2019</v>
      </c>
      <c r="V8" s="111">
        <f>SUM(C8:T8)</f>
        <v>10354.773836151307</v>
      </c>
      <c r="X8" s="111">
        <f t="shared" ref="X8:X14" si="2">V8+W18</f>
        <v>19239.895318897055</v>
      </c>
      <c r="Y8" s="111">
        <f t="shared" ref="Y8:Y14" si="3">X8-X30</f>
        <v>8862.5545063685331</v>
      </c>
      <c r="Z8" s="111">
        <f t="shared" ref="Z8:Z14" si="4">X8-X39</f>
        <v>8644.2029302518276</v>
      </c>
    </row>
    <row r="9" spans="2:26" x14ac:dyDescent="0.35">
      <c r="B9">
        <v>335</v>
      </c>
      <c r="E9" s="12">
        <f>$B$9*E5</f>
        <v>970.72349986960501</v>
      </c>
      <c r="F9" s="12">
        <f>$B$9*F5</f>
        <v>977.97571146062</v>
      </c>
      <c r="G9" s="12">
        <f t="shared" ref="G9:N9" si="5">$B$9*G5</f>
        <v>980.62441898064003</v>
      </c>
      <c r="H9" s="12">
        <f t="shared" si="5"/>
        <v>994.21808158518502</v>
      </c>
      <c r="I9" s="12">
        <f t="shared" si="5"/>
        <v>1007.864984346465</v>
      </c>
      <c r="J9" s="12">
        <f t="shared" si="5"/>
        <v>1019.146453000185</v>
      </c>
      <c r="K9" s="12">
        <f t="shared" si="5"/>
        <v>1027.5299693095501</v>
      </c>
      <c r="L9" s="12">
        <f t="shared" si="5"/>
        <v>1048.760502665275</v>
      </c>
      <c r="M9" s="12">
        <f t="shared" si="5"/>
        <v>1056.2432919694249</v>
      </c>
      <c r="N9" s="12">
        <f t="shared" si="5"/>
        <v>1082.1358974575351</v>
      </c>
      <c r="U9">
        <v>2020</v>
      </c>
      <c r="V9" s="111">
        <f t="shared" ref="V9:V14" si="6">SUM(C9:T9)</f>
        <v>10165.222810644485</v>
      </c>
      <c r="X9" s="111">
        <f t="shared" si="2"/>
        <v>19239.597380972722</v>
      </c>
      <c r="Y9" s="111">
        <f t="shared" si="3"/>
        <v>8675.7023546374166</v>
      </c>
      <c r="Z9" s="111">
        <f t="shared" si="4"/>
        <v>8455.1781260220359</v>
      </c>
    </row>
    <row r="10" spans="2:26" x14ac:dyDescent="0.35">
      <c r="B10">
        <v>324</v>
      </c>
      <c r="F10" s="12">
        <f>$B$10*F5</f>
        <v>945.86307615892804</v>
      </c>
      <c r="G10" s="12">
        <f>$B$10*G5</f>
        <v>948.42481119321599</v>
      </c>
      <c r="H10" s="12">
        <f t="shared" ref="H10:O10" si="7">$B$10*H5</f>
        <v>961.57211472716403</v>
      </c>
      <c r="I10" s="12">
        <f t="shared" si="7"/>
        <v>974.77091023359606</v>
      </c>
      <c r="J10" s="12">
        <f t="shared" si="7"/>
        <v>985.68194260316398</v>
      </c>
      <c r="K10" s="12">
        <f t="shared" si="7"/>
        <v>993.79017927252005</v>
      </c>
      <c r="L10" s="12">
        <f t="shared" si="7"/>
        <v>1014.3235906374599</v>
      </c>
      <c r="M10" s="12">
        <f t="shared" si="7"/>
        <v>1021.5606764122199</v>
      </c>
      <c r="N10" s="12">
        <f t="shared" si="7"/>
        <v>1046.603076944004</v>
      </c>
      <c r="O10" s="12">
        <f t="shared" si="7"/>
        <v>1050.9326528831282</v>
      </c>
      <c r="U10">
        <v>2021</v>
      </c>
      <c r="V10" s="111">
        <f t="shared" si="6"/>
        <v>9943.5230310654006</v>
      </c>
      <c r="X10" s="111">
        <f t="shared" si="2"/>
        <v>19211.18177974163</v>
      </c>
      <c r="Y10" s="111">
        <f t="shared" si="3"/>
        <v>8457.178930843138</v>
      </c>
      <c r="Z10" s="111">
        <f t="shared" si="4"/>
        <v>8234.4659992587513</v>
      </c>
    </row>
    <row r="11" spans="2:26" x14ac:dyDescent="0.35">
      <c r="B11">
        <v>314</v>
      </c>
      <c r="G11" s="12">
        <f>$B$11*G5</f>
        <v>919.15244047737599</v>
      </c>
      <c r="H11" s="12">
        <f t="shared" ref="H11:P11" si="8">$B$11*H5</f>
        <v>931.89396303805404</v>
      </c>
      <c r="I11" s="12">
        <f t="shared" si="8"/>
        <v>944.68538831280603</v>
      </c>
      <c r="J11" s="12">
        <f t="shared" si="8"/>
        <v>955.259660424054</v>
      </c>
      <c r="K11" s="12">
        <f t="shared" si="8"/>
        <v>963.11764287521999</v>
      </c>
      <c r="L11" s="12">
        <f t="shared" si="8"/>
        <v>983.0173069758099</v>
      </c>
      <c r="M11" s="12">
        <f t="shared" si="8"/>
        <v>990.03102590566994</v>
      </c>
      <c r="N11" s="12">
        <f t="shared" si="8"/>
        <v>1014.300512840794</v>
      </c>
      <c r="O11" s="12">
        <f t="shared" si="8"/>
        <v>1018.4964598929081</v>
      </c>
      <c r="P11" s="12">
        <f t="shared" si="8"/>
        <v>1029.567389768406</v>
      </c>
      <c r="U11">
        <v>2022</v>
      </c>
      <c r="V11" s="111">
        <f t="shared" si="6"/>
        <v>9749.5217905110985</v>
      </c>
      <c r="X11" s="111">
        <f t="shared" si="2"/>
        <v>19214.581670534131</v>
      </c>
      <c r="Y11" s="111">
        <f t="shared" si="3"/>
        <v>8265.710591754605</v>
      </c>
      <c r="Z11" s="111">
        <f t="shared" si="4"/>
        <v>8041.9288619307044</v>
      </c>
    </row>
    <row r="12" spans="2:26" x14ac:dyDescent="0.35">
      <c r="B12">
        <v>305</v>
      </c>
      <c r="H12" s="12">
        <f>$B$12*H5</f>
        <v>905.18362651785503</v>
      </c>
      <c r="I12" s="12">
        <f t="shared" ref="I12:Q12" si="9">$B$12*I5</f>
        <v>917.60841858409503</v>
      </c>
      <c r="J12" s="12">
        <f t="shared" si="9"/>
        <v>927.87960646285501</v>
      </c>
      <c r="K12" s="12">
        <f t="shared" si="9"/>
        <v>935.51236011765002</v>
      </c>
      <c r="L12" s="12">
        <f t="shared" si="9"/>
        <v>954.84165168032496</v>
      </c>
      <c r="M12" s="12">
        <f t="shared" si="9"/>
        <v>961.65434044977496</v>
      </c>
      <c r="N12" s="12">
        <f t="shared" si="9"/>
        <v>985.22820514790499</v>
      </c>
      <c r="O12" s="12">
        <f t="shared" si="9"/>
        <v>989.30388620171004</v>
      </c>
      <c r="P12" s="12">
        <f t="shared" si="9"/>
        <v>1000.0574964310949</v>
      </c>
      <c r="Q12" s="12">
        <f t="shared" si="9"/>
        <v>1008.447077810265</v>
      </c>
      <c r="U12">
        <v>2023</v>
      </c>
      <c r="V12" s="111">
        <f t="shared" si="6"/>
        <v>9585.7166694035295</v>
      </c>
      <c r="X12" s="111">
        <f t="shared" si="2"/>
        <v>19252.382324871054</v>
      </c>
      <c r="Y12" s="111">
        <f t="shared" si="3"/>
        <v>8106.0651563308529</v>
      </c>
      <c r="Z12" s="111">
        <f t="shared" si="4"/>
        <v>7878.9267005595939</v>
      </c>
    </row>
    <row r="13" spans="2:26" x14ac:dyDescent="0.35">
      <c r="B13">
        <v>297</v>
      </c>
      <c r="I13" s="12">
        <f>$B$13*I5</f>
        <v>893.54000104746308</v>
      </c>
      <c r="J13" s="12">
        <f t="shared" ref="J13:R13" si="10">$B$13*J5</f>
        <v>903.54178071956699</v>
      </c>
      <c r="K13" s="12">
        <f t="shared" si="10"/>
        <v>910.97433099981004</v>
      </c>
      <c r="L13" s="12">
        <f t="shared" si="10"/>
        <v>929.79662475100497</v>
      </c>
      <c r="M13" s="12">
        <f t="shared" si="10"/>
        <v>936.43062004453498</v>
      </c>
      <c r="N13" s="12">
        <f t="shared" si="10"/>
        <v>959.38615386533706</v>
      </c>
      <c r="O13" s="12">
        <f t="shared" si="10"/>
        <v>963.35493180953404</v>
      </c>
      <c r="P13" s="12">
        <f t="shared" si="10"/>
        <v>973.826480131263</v>
      </c>
      <c r="Q13" s="12">
        <f t="shared" si="10"/>
        <v>981.99600691688102</v>
      </c>
      <c r="R13" s="12">
        <f t="shared" si="10"/>
        <v>985.99019546619911</v>
      </c>
      <c r="U13">
        <v>2024</v>
      </c>
      <c r="V13" s="111">
        <f t="shared" si="6"/>
        <v>9438.8371257515937</v>
      </c>
      <c r="X13" s="111">
        <f t="shared" si="2"/>
        <v>19311.402759680575</v>
      </c>
      <c r="Y13" s="111">
        <f t="shared" si="3"/>
        <v>7963.8686791701439</v>
      </c>
      <c r="Z13" s="111">
        <f t="shared" si="4"/>
        <v>7734.4934284537267</v>
      </c>
    </row>
    <row r="14" spans="2:26" x14ac:dyDescent="0.35">
      <c r="B14">
        <v>289</v>
      </c>
      <c r="J14" s="12">
        <f>$B$14*J5</f>
        <v>879.20395497627896</v>
      </c>
      <c r="K14" s="12">
        <f t="shared" ref="K14:S14" si="11">$B$14*K5</f>
        <v>886.43630188197005</v>
      </c>
      <c r="L14" s="12">
        <f t="shared" si="11"/>
        <v>904.75159782168498</v>
      </c>
      <c r="M14" s="12">
        <f t="shared" si="11"/>
        <v>911.20689963929499</v>
      </c>
      <c r="N14" s="12">
        <f t="shared" si="11"/>
        <v>933.54410258276903</v>
      </c>
      <c r="O14" s="12">
        <f t="shared" si="11"/>
        <v>937.40597741735803</v>
      </c>
      <c r="P14" s="12">
        <f t="shared" si="11"/>
        <v>947.59546383143095</v>
      </c>
      <c r="Q14" s="12">
        <f t="shared" si="11"/>
        <v>955.54493602349703</v>
      </c>
      <c r="R14" s="12">
        <f t="shared" si="11"/>
        <v>959.43153700246307</v>
      </c>
      <c r="S14" s="12">
        <f t="shared" si="11"/>
        <v>966.42641898291606</v>
      </c>
      <c r="U14">
        <v>2025</v>
      </c>
      <c r="V14" s="111">
        <f t="shared" si="6"/>
        <v>9281.5471901596629</v>
      </c>
      <c r="X14" s="111">
        <f t="shared" si="2"/>
        <v>19364.398472091336</v>
      </c>
      <c r="Y14" s="111">
        <f t="shared" si="3"/>
        <v>7810.6134990589053</v>
      </c>
      <c r="Z14" s="111">
        <f t="shared" si="4"/>
        <v>7578.9854557015224</v>
      </c>
    </row>
    <row r="15" spans="2:26" x14ac:dyDescent="0.35">
      <c r="W15" t="s">
        <v>10</v>
      </c>
    </row>
    <row r="16" spans="2:26" x14ac:dyDescent="0.35">
      <c r="B16" t="s">
        <v>212</v>
      </c>
      <c r="C16" s="21">
        <f>'EV Phase-in CBA '!E15</f>
        <v>7.9100000000000004E-2</v>
      </c>
      <c r="D16" s="21">
        <f>'EV Phase-in CBA '!F15</f>
        <v>8.0784830000000016E-2</v>
      </c>
      <c r="E16" s="21">
        <f>'EV Phase-in CBA '!G15</f>
        <v>8.2505546879000025E-2</v>
      </c>
      <c r="F16" s="21">
        <f>'EV Phase-in CBA '!H15</f>
        <v>8.4262915027522728E-2</v>
      </c>
      <c r="G16" s="21">
        <f>'EV Phase-in CBA '!I15</f>
        <v>8.6057715117608971E-2</v>
      </c>
      <c r="H16" s="21">
        <f>'EV Phase-in CBA '!J15</f>
        <v>8.7890744449614047E-2</v>
      </c>
      <c r="I16" s="21">
        <f>'EV Phase-in CBA '!K15</f>
        <v>8.9762817306390838E-2</v>
      </c>
      <c r="J16" s="21">
        <f>'EV Phase-in CBA '!L15</f>
        <v>9.1674765315016976E-2</v>
      </c>
      <c r="K16" s="21">
        <f>'EV Phase-in CBA '!M15</f>
        <v>9.3627437816226844E-2</v>
      </c>
      <c r="L16" s="21">
        <f>'EV Phase-in CBA '!N15</f>
        <v>9.5621702241712486E-2</v>
      </c>
      <c r="M16" s="21">
        <f>'EV Phase-in CBA '!O15</f>
        <v>9.765844449946097E-2</v>
      </c>
      <c r="N16" s="21">
        <f>'EV Phase-in CBA '!P15</f>
        <v>9.9738569367299496E-2</v>
      </c>
      <c r="O16" s="21">
        <f>'EV Phase-in CBA '!Q15</f>
        <v>0.10186300089482299</v>
      </c>
      <c r="P16" s="21">
        <f>'EV Phase-in CBA '!R15</f>
        <v>0.10403268281388273</v>
      </c>
      <c r="Q16" s="21">
        <f>'EV Phase-in CBA '!S15</f>
        <v>0.10624857895781843</v>
      </c>
      <c r="R16" s="21">
        <f>'EV Phase-in CBA '!T15</f>
        <v>0.10851167368961998</v>
      </c>
      <c r="S16" s="21">
        <f>'EV Phase-in CBA '!U15</f>
        <v>0.11082297233920889</v>
      </c>
      <c r="T16" s="21">
        <f>'EV Phase-in CBA '!V15</f>
        <v>0.11318350165003405</v>
      </c>
      <c r="W16" t="s">
        <v>222</v>
      </c>
    </row>
    <row r="17" spans="2:24" x14ac:dyDescent="0.35">
      <c r="C17" s="111">
        <f>C16*$C2</f>
        <v>789.81350000000009</v>
      </c>
      <c r="D17" s="111">
        <f>D16*$C$2</f>
        <v>806.63652755000021</v>
      </c>
      <c r="E17" s="111">
        <f t="shared" ref="E17:L17" si="12">E16*$C2</f>
        <v>823.81788558681524</v>
      </c>
      <c r="F17" s="111">
        <f t="shared" si="12"/>
        <v>841.36520654981439</v>
      </c>
      <c r="G17" s="111">
        <f t="shared" si="12"/>
        <v>859.28628544932553</v>
      </c>
      <c r="H17" s="111">
        <f t="shared" si="12"/>
        <v>877.58908332939632</v>
      </c>
      <c r="I17" s="111">
        <f t="shared" si="12"/>
        <v>896.28173080431247</v>
      </c>
      <c r="J17" s="111">
        <f t="shared" si="12"/>
        <v>915.37253167044446</v>
      </c>
      <c r="K17" s="111">
        <f t="shared" si="12"/>
        <v>934.86996659502506</v>
      </c>
      <c r="L17" s="111">
        <f t="shared" si="12"/>
        <v>954.78269688349917</v>
      </c>
      <c r="U17">
        <v>2018</v>
      </c>
      <c r="V17" s="111"/>
      <c r="W17" s="111">
        <f>SUM(C17:T17)</f>
        <v>8699.8154144186319</v>
      </c>
    </row>
    <row r="18" spans="2:24" x14ac:dyDescent="0.35">
      <c r="D18" s="111">
        <f>D16*$C$2</f>
        <v>806.63652755000021</v>
      </c>
      <c r="E18" s="111">
        <f t="shared" ref="E18:M18" si="13">E16*$C$2</f>
        <v>823.81788558681524</v>
      </c>
      <c r="F18" s="111">
        <f t="shared" si="13"/>
        <v>841.36520654981439</v>
      </c>
      <c r="G18" s="111">
        <f t="shared" si="13"/>
        <v>859.28628544932553</v>
      </c>
      <c r="H18" s="111">
        <f t="shared" si="13"/>
        <v>877.58908332939632</v>
      </c>
      <c r="I18" s="111">
        <f t="shared" si="13"/>
        <v>896.28173080431247</v>
      </c>
      <c r="J18" s="111">
        <f t="shared" si="13"/>
        <v>915.37253167044446</v>
      </c>
      <c r="K18" s="111">
        <f t="shared" si="13"/>
        <v>934.86996659502506</v>
      </c>
      <c r="L18" s="111">
        <f t="shared" si="13"/>
        <v>954.78269688349917</v>
      </c>
      <c r="M18" s="111">
        <f t="shared" si="13"/>
        <v>975.1195683271178</v>
      </c>
      <c r="U18">
        <v>2019</v>
      </c>
      <c r="W18" s="111">
        <f t="shared" ref="W18:W24" si="14">SUM(C18:T18)</f>
        <v>8885.1214827457497</v>
      </c>
    </row>
    <row r="19" spans="2:24" x14ac:dyDescent="0.35">
      <c r="E19" s="111">
        <f>E16*$C$2</f>
        <v>823.81788558681524</v>
      </c>
      <c r="F19" s="111">
        <f>F16*$C$2</f>
        <v>841.36520654981439</v>
      </c>
      <c r="G19" s="111">
        <f t="shared" ref="G19:N19" si="15">G16*$C$2</f>
        <v>859.28628544932553</v>
      </c>
      <c r="H19" s="111">
        <f t="shared" si="15"/>
        <v>877.58908332939632</v>
      </c>
      <c r="I19" s="111">
        <f t="shared" si="15"/>
        <v>896.28173080431247</v>
      </c>
      <c r="J19" s="111">
        <f t="shared" si="15"/>
        <v>915.37253167044446</v>
      </c>
      <c r="K19" s="111">
        <f t="shared" si="15"/>
        <v>934.86996659502506</v>
      </c>
      <c r="L19" s="111">
        <f t="shared" si="15"/>
        <v>954.78269688349917</v>
      </c>
      <c r="M19" s="111">
        <f t="shared" si="15"/>
        <v>975.1195683271178</v>
      </c>
      <c r="N19" s="111">
        <f t="shared" si="15"/>
        <v>995.88961513248546</v>
      </c>
      <c r="U19">
        <v>2020</v>
      </c>
      <c r="W19" s="111">
        <f t="shared" si="14"/>
        <v>9074.3745703282366</v>
      </c>
    </row>
    <row r="20" spans="2:24" x14ac:dyDescent="0.35">
      <c r="F20" s="111">
        <f>F16*$C$2</f>
        <v>841.36520654981439</v>
      </c>
      <c r="G20" s="111">
        <f>G16*$C$2</f>
        <v>859.28628544932553</v>
      </c>
      <c r="H20" s="111">
        <f t="shared" ref="H20:O20" si="16">H16*$C$2</f>
        <v>877.58908332939632</v>
      </c>
      <c r="I20" s="111">
        <f t="shared" si="16"/>
        <v>896.28173080431247</v>
      </c>
      <c r="J20" s="111">
        <f t="shared" si="16"/>
        <v>915.37253167044446</v>
      </c>
      <c r="K20" s="111">
        <f t="shared" si="16"/>
        <v>934.86996659502506</v>
      </c>
      <c r="L20" s="111">
        <f t="shared" si="16"/>
        <v>954.78269688349917</v>
      </c>
      <c r="M20" s="111">
        <f t="shared" si="16"/>
        <v>975.1195683271178</v>
      </c>
      <c r="N20" s="111">
        <f t="shared" si="16"/>
        <v>995.88961513248546</v>
      </c>
      <c r="O20" s="111">
        <f t="shared" si="16"/>
        <v>1017.1020639348076</v>
      </c>
      <c r="U20">
        <v>2021</v>
      </c>
      <c r="W20" s="111">
        <f t="shared" si="14"/>
        <v>9267.6587486762292</v>
      </c>
    </row>
    <row r="21" spans="2:24" x14ac:dyDescent="0.35">
      <c r="G21" s="111">
        <f>G16*$C$2</f>
        <v>859.28628544932553</v>
      </c>
      <c r="H21" s="111">
        <f t="shared" ref="H21:P21" si="17">H16*$C$2</f>
        <v>877.58908332939632</v>
      </c>
      <c r="I21" s="111">
        <f t="shared" si="17"/>
        <v>896.28173080431247</v>
      </c>
      <c r="J21" s="111">
        <f t="shared" si="17"/>
        <v>915.37253167044446</v>
      </c>
      <c r="K21" s="111">
        <f t="shared" si="17"/>
        <v>934.86996659502506</v>
      </c>
      <c r="L21" s="111">
        <f t="shared" si="17"/>
        <v>954.78269688349917</v>
      </c>
      <c r="M21" s="111">
        <f t="shared" si="17"/>
        <v>975.1195683271178</v>
      </c>
      <c r="N21" s="111">
        <f t="shared" si="17"/>
        <v>995.88961513248546</v>
      </c>
      <c r="O21" s="111">
        <f t="shared" si="17"/>
        <v>1017.1020639348076</v>
      </c>
      <c r="P21" s="111">
        <f t="shared" si="17"/>
        <v>1038.766337896619</v>
      </c>
      <c r="U21">
        <v>2022</v>
      </c>
      <c r="W21" s="111">
        <f t="shared" si="14"/>
        <v>9465.0598800230327</v>
      </c>
    </row>
    <row r="22" spans="2:24" x14ac:dyDescent="0.35">
      <c r="H22" s="111">
        <f>H16*$C$2</f>
        <v>877.58908332939632</v>
      </c>
      <c r="I22" s="111">
        <f t="shared" ref="I22:Q22" si="18">I16*$C$2</f>
        <v>896.28173080431247</v>
      </c>
      <c r="J22" s="111">
        <f t="shared" si="18"/>
        <v>915.37253167044446</v>
      </c>
      <c r="K22" s="111">
        <f t="shared" si="18"/>
        <v>934.86996659502506</v>
      </c>
      <c r="L22" s="111">
        <f t="shared" si="18"/>
        <v>954.78269688349917</v>
      </c>
      <c r="M22" s="111">
        <f t="shared" si="18"/>
        <v>975.1195683271178</v>
      </c>
      <c r="N22" s="111">
        <f t="shared" si="18"/>
        <v>995.88961513248546</v>
      </c>
      <c r="O22" s="111">
        <f t="shared" si="18"/>
        <v>1017.1020639348076</v>
      </c>
      <c r="P22" s="111">
        <f t="shared" si="18"/>
        <v>1038.766337896619</v>
      </c>
      <c r="Q22" s="111">
        <f t="shared" si="18"/>
        <v>1060.892060893817</v>
      </c>
      <c r="U22">
        <v>2023</v>
      </c>
      <c r="W22" s="111">
        <f t="shared" si="14"/>
        <v>9666.6656554675246</v>
      </c>
    </row>
    <row r="23" spans="2:24" x14ac:dyDescent="0.35">
      <c r="I23" s="111">
        <f>I16*$C$2</f>
        <v>896.28173080431247</v>
      </c>
      <c r="J23" s="111">
        <f t="shared" ref="J23:R23" si="19">J16*$C$2</f>
        <v>915.37253167044446</v>
      </c>
      <c r="K23" s="111">
        <f t="shared" si="19"/>
        <v>934.86996659502506</v>
      </c>
      <c r="L23" s="111">
        <f t="shared" si="19"/>
        <v>954.78269688349917</v>
      </c>
      <c r="M23" s="111">
        <f t="shared" si="19"/>
        <v>975.1195683271178</v>
      </c>
      <c r="N23" s="111">
        <f t="shared" si="19"/>
        <v>995.88961513248546</v>
      </c>
      <c r="O23" s="111">
        <f t="shared" si="19"/>
        <v>1017.1020639348076</v>
      </c>
      <c r="P23" s="111">
        <f t="shared" si="19"/>
        <v>1038.766337896619</v>
      </c>
      <c r="Q23" s="111">
        <f t="shared" si="19"/>
        <v>1060.892060893817</v>
      </c>
      <c r="R23" s="111">
        <f t="shared" si="19"/>
        <v>1083.4890617908554</v>
      </c>
      <c r="U23">
        <v>2024</v>
      </c>
      <c r="W23" s="111">
        <f t="shared" si="14"/>
        <v>9872.5656339289835</v>
      </c>
    </row>
    <row r="24" spans="2:24" x14ac:dyDescent="0.35">
      <c r="J24" s="111">
        <f>J16*$C$2</f>
        <v>915.37253167044446</v>
      </c>
      <c r="K24" s="111">
        <f t="shared" ref="K24:S24" si="20">K16*$C$2</f>
        <v>934.86996659502506</v>
      </c>
      <c r="L24" s="111">
        <f t="shared" si="20"/>
        <v>954.78269688349917</v>
      </c>
      <c r="M24" s="111">
        <f t="shared" si="20"/>
        <v>975.1195683271178</v>
      </c>
      <c r="N24" s="111">
        <f t="shared" si="20"/>
        <v>995.88961513248546</v>
      </c>
      <c r="O24" s="111">
        <f t="shared" si="20"/>
        <v>1017.1020639348076</v>
      </c>
      <c r="P24" s="111">
        <f t="shared" si="20"/>
        <v>1038.766337896619</v>
      </c>
      <c r="Q24" s="111">
        <f t="shared" si="20"/>
        <v>1060.892060893817</v>
      </c>
      <c r="R24" s="111">
        <f t="shared" si="20"/>
        <v>1083.4890617908554</v>
      </c>
      <c r="S24" s="111">
        <f t="shared" si="20"/>
        <v>1106.5673788070008</v>
      </c>
      <c r="U24">
        <v>2025</v>
      </c>
      <c r="W24" s="111">
        <f t="shared" si="14"/>
        <v>10082.851281931671</v>
      </c>
    </row>
    <row r="25" spans="2:24" x14ac:dyDescent="0.35">
      <c r="C25" t="s">
        <v>211</v>
      </c>
    </row>
    <row r="26" spans="2:24" x14ac:dyDescent="0.35">
      <c r="C26">
        <v>2018</v>
      </c>
      <c r="D26">
        <v>2019</v>
      </c>
      <c r="E26">
        <v>2020</v>
      </c>
      <c r="F26">
        <v>2021</v>
      </c>
      <c r="G26">
        <v>2022</v>
      </c>
      <c r="H26">
        <v>2023</v>
      </c>
      <c r="I26">
        <v>2024</v>
      </c>
      <c r="J26">
        <v>2025</v>
      </c>
      <c r="K26">
        <v>2026</v>
      </c>
      <c r="L26">
        <v>2027</v>
      </c>
      <c r="M26" s="2">
        <v>2028</v>
      </c>
      <c r="N26" s="16">
        <v>2029</v>
      </c>
      <c r="O26" s="16">
        <v>2030</v>
      </c>
      <c r="P26" s="16">
        <v>2031</v>
      </c>
      <c r="Q26" s="16">
        <v>2032</v>
      </c>
      <c r="R26" s="16">
        <v>2033</v>
      </c>
      <c r="S26" s="16">
        <v>2034</v>
      </c>
      <c r="T26" s="16">
        <v>2035</v>
      </c>
      <c r="U26" s="16" t="s">
        <v>214</v>
      </c>
      <c r="X26" t="s">
        <v>223</v>
      </c>
    </row>
    <row r="27" spans="2:24" x14ac:dyDescent="0.35">
      <c r="B27" t="s">
        <v>216</v>
      </c>
      <c r="C27" s="26">
        <f>'EV Phase-in CBA '!E29</f>
        <v>0.1</v>
      </c>
      <c r="D27" s="26">
        <f>'EV Phase-in CBA '!F29</f>
        <v>0.10149999999999999</v>
      </c>
      <c r="E27" s="26">
        <f>'EV Phase-in CBA '!G29</f>
        <v>0.10302249999999999</v>
      </c>
      <c r="F27" s="26">
        <f>'EV Phase-in CBA '!H29</f>
        <v>0.10456783749999998</v>
      </c>
      <c r="G27" s="26">
        <f>'EV Phase-in CBA '!I29</f>
        <v>0.10613635506249998</v>
      </c>
      <c r="H27" s="26">
        <f>'EV Phase-in CBA '!J29</f>
        <v>0.10772840038843746</v>
      </c>
      <c r="I27" s="26">
        <f>'EV Phase-in CBA '!K29</f>
        <v>0.10934432639426402</v>
      </c>
      <c r="J27" s="26">
        <f>'EV Phase-in CBA '!L29</f>
        <v>0.11098449129017797</v>
      </c>
      <c r="K27" s="26">
        <f>'EV Phase-in CBA '!M29</f>
        <v>0.11264925865953063</v>
      </c>
      <c r="L27" s="26">
        <f>'EV Phase-in CBA '!N29</f>
        <v>0.11433899753942357</v>
      </c>
      <c r="M27" s="26">
        <f>'EV Phase-in CBA '!O29</f>
        <v>0.11605408250251492</v>
      </c>
      <c r="N27" s="26">
        <f>'EV Phase-in CBA '!P29</f>
        <v>0.11779489374005263</v>
      </c>
      <c r="O27" s="26">
        <f>'EV Phase-in CBA '!Q29</f>
        <v>0.11956181714615341</v>
      </c>
      <c r="P27" s="26">
        <f>'EV Phase-in CBA '!R29</f>
        <v>0.12135524440334571</v>
      </c>
      <c r="Q27" s="26">
        <f>'EV Phase-in CBA '!S29</f>
        <v>0.12317557306939587</v>
      </c>
      <c r="R27" s="26">
        <f>'EV Phase-in CBA '!T29</f>
        <v>0.12502320666543679</v>
      </c>
      <c r="S27" s="26">
        <f>'EV Phase-in CBA '!U29</f>
        <v>0.12689855476541834</v>
      </c>
      <c r="T27" s="26">
        <f>'EV Phase-in CBA '!V29</f>
        <v>0.12880203308689961</v>
      </c>
      <c r="U27" s="16"/>
      <c r="V27" t="s">
        <v>226</v>
      </c>
      <c r="W27" t="s">
        <v>225</v>
      </c>
      <c r="X27" t="s">
        <v>215</v>
      </c>
    </row>
    <row r="28" spans="2:24" x14ac:dyDescent="0.35">
      <c r="B28" t="s">
        <v>217</v>
      </c>
    </row>
    <row r="29" spans="2:24" x14ac:dyDescent="0.35">
      <c r="B29">
        <v>2797</v>
      </c>
      <c r="C29" s="7">
        <f>$B$29*C27</f>
        <v>279.7</v>
      </c>
      <c r="D29" s="7">
        <f t="shared" ref="D29:L29" si="21">$B$29*D27</f>
        <v>283.89549999999997</v>
      </c>
      <c r="E29" s="7">
        <f t="shared" si="21"/>
        <v>288.1539325</v>
      </c>
      <c r="F29" s="7">
        <f t="shared" si="21"/>
        <v>292.47624148749998</v>
      </c>
      <c r="G29" s="7">
        <f t="shared" si="21"/>
        <v>296.86338510981244</v>
      </c>
      <c r="H29" s="7">
        <f t="shared" si="21"/>
        <v>301.31633588645957</v>
      </c>
      <c r="I29" s="7">
        <f t="shared" si="21"/>
        <v>305.83608092475646</v>
      </c>
      <c r="J29" s="7">
        <f t="shared" si="21"/>
        <v>310.42362213862776</v>
      </c>
      <c r="K29" s="7">
        <f t="shared" si="21"/>
        <v>315.07997647070715</v>
      </c>
      <c r="L29" s="7">
        <f t="shared" si="21"/>
        <v>319.80617611776773</v>
      </c>
      <c r="U29">
        <v>2018</v>
      </c>
      <c r="V29" s="7">
        <f>SUM(C29:T29)</f>
        <v>2993.5512506356313</v>
      </c>
      <c r="W29" s="111">
        <f t="shared" ref="W29:W36" si="22">W48</f>
        <v>7200.7195345384043</v>
      </c>
      <c r="X29" s="7">
        <f>V29+W29</f>
        <v>10194.270785174036</v>
      </c>
    </row>
    <row r="30" spans="2:24" x14ac:dyDescent="0.35">
      <c r="B30">
        <v>2783</v>
      </c>
      <c r="D30" s="7">
        <f>$B$30*D27</f>
        <v>282.47449999999998</v>
      </c>
      <c r="E30" s="7">
        <f t="shared" ref="E30:M30" si="23">$B$30*E27</f>
        <v>286.71161749999999</v>
      </c>
      <c r="F30" s="7">
        <f t="shared" si="23"/>
        <v>291.01229176249996</v>
      </c>
      <c r="G30" s="7">
        <f t="shared" si="23"/>
        <v>295.37747613893742</v>
      </c>
      <c r="H30" s="7">
        <f t="shared" si="23"/>
        <v>299.80813828102146</v>
      </c>
      <c r="I30" s="7">
        <f t="shared" si="23"/>
        <v>304.30526035523678</v>
      </c>
      <c r="J30" s="7">
        <f t="shared" si="23"/>
        <v>308.8698392605653</v>
      </c>
      <c r="K30" s="7">
        <f t="shared" si="23"/>
        <v>313.50288684947373</v>
      </c>
      <c r="L30" s="7">
        <f t="shared" si="23"/>
        <v>318.2054301522158</v>
      </c>
      <c r="M30" s="7">
        <f t="shared" si="23"/>
        <v>322.97851160449903</v>
      </c>
      <c r="U30">
        <v>2019</v>
      </c>
      <c r="V30" s="7">
        <f t="shared" ref="V30:V45" si="24">SUM(C30:T30)</f>
        <v>3023.2459519044492</v>
      </c>
      <c r="W30" s="111">
        <f t="shared" si="22"/>
        <v>7354.0948606240727</v>
      </c>
      <c r="X30" s="7">
        <f t="shared" ref="X30:X45" si="25">V30+W30</f>
        <v>10377.340812528522</v>
      </c>
    </row>
    <row r="31" spans="2:24" x14ac:dyDescent="0.35">
      <c r="B31">
        <v>2769</v>
      </c>
      <c r="E31" s="7">
        <f>$B$31*E27</f>
        <v>285.26930249999998</v>
      </c>
      <c r="F31" s="7">
        <f t="shared" ref="F31:N31" si="26">$B$31*F27</f>
        <v>289.54834203749994</v>
      </c>
      <c r="G31" s="7">
        <f t="shared" si="26"/>
        <v>293.89156716806247</v>
      </c>
      <c r="H31" s="7">
        <f t="shared" si="26"/>
        <v>298.29994067558334</v>
      </c>
      <c r="I31" s="7">
        <f t="shared" si="26"/>
        <v>302.77443978571705</v>
      </c>
      <c r="J31" s="7">
        <f t="shared" si="26"/>
        <v>307.31605638250278</v>
      </c>
      <c r="K31" s="7">
        <f t="shared" si="26"/>
        <v>311.9257972282403</v>
      </c>
      <c r="L31" s="7">
        <f t="shared" si="26"/>
        <v>316.60468418666386</v>
      </c>
      <c r="M31" s="7">
        <f t="shared" si="26"/>
        <v>321.35375444946379</v>
      </c>
      <c r="N31" s="7">
        <f t="shared" si="26"/>
        <v>326.17406076620574</v>
      </c>
      <c r="U31">
        <v>2020</v>
      </c>
      <c r="V31" s="7">
        <f t="shared" si="24"/>
        <v>3053.1579451799394</v>
      </c>
      <c r="W31" s="111">
        <f t="shared" si="22"/>
        <v>7510.7370811553665</v>
      </c>
      <c r="X31" s="7">
        <f t="shared" si="25"/>
        <v>10563.895026335305</v>
      </c>
    </row>
    <row r="32" spans="2:24" x14ac:dyDescent="0.35">
      <c r="B32">
        <v>2755</v>
      </c>
      <c r="F32" s="7">
        <f>$B$32*F27</f>
        <v>288.08439231249997</v>
      </c>
      <c r="G32" s="7">
        <f t="shared" ref="G32:O32" si="27">$B$32*G27</f>
        <v>292.40565819718745</v>
      </c>
      <c r="H32" s="7">
        <f t="shared" si="27"/>
        <v>296.79174307014523</v>
      </c>
      <c r="I32" s="7">
        <f t="shared" si="27"/>
        <v>301.24361921619737</v>
      </c>
      <c r="J32" s="7">
        <f t="shared" si="27"/>
        <v>305.76227350444032</v>
      </c>
      <c r="K32" s="7">
        <f t="shared" si="27"/>
        <v>310.34870760700687</v>
      </c>
      <c r="L32" s="7">
        <f t="shared" si="27"/>
        <v>315.00393822111192</v>
      </c>
      <c r="M32" s="7">
        <f t="shared" si="27"/>
        <v>319.72899729442861</v>
      </c>
      <c r="N32" s="7">
        <f t="shared" si="27"/>
        <v>324.52493225384501</v>
      </c>
      <c r="O32" s="7">
        <f t="shared" si="27"/>
        <v>329.39280623765262</v>
      </c>
      <c r="U32">
        <v>2021</v>
      </c>
      <c r="V32" s="7">
        <f t="shared" si="24"/>
        <v>3083.2870679145153</v>
      </c>
      <c r="W32" s="111">
        <f t="shared" si="22"/>
        <v>7670.7157809839764</v>
      </c>
      <c r="X32" s="7">
        <f t="shared" si="25"/>
        <v>10754.002848898492</v>
      </c>
    </row>
    <row r="33" spans="2:24" x14ac:dyDescent="0.35">
      <c r="B33">
        <v>2742</v>
      </c>
      <c r="G33" s="7">
        <f>$B$33*G27</f>
        <v>291.02588558137495</v>
      </c>
      <c r="H33" s="7">
        <f t="shared" ref="H33:P33" si="28">$B$33*H27</f>
        <v>295.39127386509551</v>
      </c>
      <c r="I33" s="7">
        <f t="shared" si="28"/>
        <v>299.82214297307195</v>
      </c>
      <c r="J33" s="7">
        <f t="shared" si="28"/>
        <v>304.31947511766799</v>
      </c>
      <c r="K33" s="7">
        <f t="shared" si="28"/>
        <v>308.88426724443298</v>
      </c>
      <c r="L33" s="7">
        <f t="shared" si="28"/>
        <v>313.51753125309943</v>
      </c>
      <c r="M33" s="7">
        <f t="shared" si="28"/>
        <v>318.22029422189593</v>
      </c>
      <c r="N33" s="7">
        <f t="shared" si="28"/>
        <v>322.99359863522432</v>
      </c>
      <c r="O33" s="7">
        <f t="shared" si="28"/>
        <v>327.83850261475266</v>
      </c>
      <c r="P33" s="7">
        <f t="shared" si="28"/>
        <v>332.75608015397393</v>
      </c>
      <c r="U33">
        <v>2022</v>
      </c>
      <c r="V33" s="7">
        <f t="shared" si="24"/>
        <v>3114.7690516605894</v>
      </c>
      <c r="W33" s="111">
        <f t="shared" si="22"/>
        <v>7834.1020271189363</v>
      </c>
      <c r="X33" s="7">
        <f t="shared" si="25"/>
        <v>10948.871078779526</v>
      </c>
    </row>
    <row r="34" spans="2:24" x14ac:dyDescent="0.35">
      <c r="B34">
        <v>2728</v>
      </c>
      <c r="H34" s="7">
        <f>$B$34*H27</f>
        <v>293.8830762596574</v>
      </c>
      <c r="I34" s="7">
        <f t="shared" ref="I34:Q34" si="29">$B$34*I27</f>
        <v>298.29132240355221</v>
      </c>
      <c r="J34" s="7">
        <f t="shared" si="29"/>
        <v>302.76569223960553</v>
      </c>
      <c r="K34" s="7">
        <f t="shared" si="29"/>
        <v>307.30717762319955</v>
      </c>
      <c r="L34" s="7">
        <f t="shared" si="29"/>
        <v>311.9167852875475</v>
      </c>
      <c r="M34" s="7">
        <f t="shared" si="29"/>
        <v>316.59553706686069</v>
      </c>
      <c r="N34" s="7">
        <f t="shared" si="29"/>
        <v>321.34447012286358</v>
      </c>
      <c r="O34" s="7">
        <f t="shared" si="29"/>
        <v>326.16463717470651</v>
      </c>
      <c r="P34" s="7">
        <f t="shared" si="29"/>
        <v>331.0571067323271</v>
      </c>
      <c r="Q34" s="7">
        <f t="shared" si="29"/>
        <v>336.02296333331196</v>
      </c>
      <c r="U34">
        <v>2023</v>
      </c>
      <c r="V34" s="7">
        <f t="shared" si="24"/>
        <v>3145.3487682436321</v>
      </c>
      <c r="W34" s="111">
        <f t="shared" si="22"/>
        <v>8000.9684002965696</v>
      </c>
      <c r="X34" s="7">
        <f t="shared" si="25"/>
        <v>11146.317168540201</v>
      </c>
    </row>
    <row r="35" spans="2:24" x14ac:dyDescent="0.35">
      <c r="B35">
        <v>2714</v>
      </c>
      <c r="I35" s="7">
        <f>$B$35*I27</f>
        <v>296.76050183403254</v>
      </c>
      <c r="J35" s="7">
        <f t="shared" ref="J35:R35" si="30">$B$35*J27</f>
        <v>301.21190936154301</v>
      </c>
      <c r="K35" s="7">
        <f t="shared" si="30"/>
        <v>305.73008800196612</v>
      </c>
      <c r="L35" s="7">
        <f t="shared" si="30"/>
        <v>310.31603932199556</v>
      </c>
      <c r="M35" s="7">
        <f t="shared" si="30"/>
        <v>314.9707799118255</v>
      </c>
      <c r="N35" s="7">
        <f t="shared" si="30"/>
        <v>319.69534161050285</v>
      </c>
      <c r="O35" s="7">
        <f t="shared" si="30"/>
        <v>324.49077173466037</v>
      </c>
      <c r="P35" s="7">
        <f t="shared" si="30"/>
        <v>329.35813331068022</v>
      </c>
      <c r="Q35" s="7">
        <f t="shared" si="30"/>
        <v>334.29850531034043</v>
      </c>
      <c r="R35" s="7">
        <f t="shared" si="30"/>
        <v>339.31298288999545</v>
      </c>
      <c r="U35">
        <v>2024</v>
      </c>
      <c r="V35" s="7">
        <f t="shared" si="24"/>
        <v>3176.1450532875424</v>
      </c>
      <c r="W35" s="111">
        <f t="shared" si="22"/>
        <v>8171.3890272228882</v>
      </c>
      <c r="X35" s="7">
        <f t="shared" si="25"/>
        <v>11347.534080510432</v>
      </c>
    </row>
    <row r="36" spans="2:24" x14ac:dyDescent="0.35">
      <c r="B36">
        <v>2701</v>
      </c>
      <c r="J36" s="7">
        <f>$B$36*J27</f>
        <v>299.76911097477068</v>
      </c>
      <c r="K36" s="7">
        <f t="shared" ref="K36:S36" si="31">$B$36*K27</f>
        <v>304.26564763939223</v>
      </c>
      <c r="L36" s="7">
        <f t="shared" si="31"/>
        <v>308.82963235398307</v>
      </c>
      <c r="M36" s="7">
        <f t="shared" si="31"/>
        <v>313.46207683929282</v>
      </c>
      <c r="N36" s="7">
        <f t="shared" si="31"/>
        <v>318.16400799188216</v>
      </c>
      <c r="O36" s="7">
        <f t="shared" si="31"/>
        <v>322.93646811176035</v>
      </c>
      <c r="P36" s="7">
        <f t="shared" si="31"/>
        <v>327.78051513343672</v>
      </c>
      <c r="Q36" s="7">
        <f t="shared" si="31"/>
        <v>332.69722286043827</v>
      </c>
      <c r="R36" s="7">
        <f t="shared" si="31"/>
        <v>337.68768120334477</v>
      </c>
      <c r="S36" s="7">
        <f t="shared" si="31"/>
        <v>342.75299642139493</v>
      </c>
      <c r="U36">
        <v>2025</v>
      </c>
      <c r="V36" s="7">
        <f t="shared" si="24"/>
        <v>3208.345359529696</v>
      </c>
      <c r="W36" s="111">
        <f t="shared" si="22"/>
        <v>8345.4396135027346</v>
      </c>
      <c r="X36" s="7">
        <f t="shared" si="25"/>
        <v>11553.784973032431</v>
      </c>
    </row>
    <row r="37" spans="2:24" x14ac:dyDescent="0.35">
      <c r="B37" t="s">
        <v>218</v>
      </c>
      <c r="V37" s="7" t="s">
        <v>224</v>
      </c>
      <c r="X37" s="7"/>
    </row>
    <row r="38" spans="2:24" x14ac:dyDescent="0.35">
      <c r="B38">
        <v>2998</v>
      </c>
      <c r="C38" s="7">
        <f>$B$38*C27</f>
        <v>299.8</v>
      </c>
      <c r="D38" s="7">
        <f t="shared" ref="D38:L38" si="32">$B$38*D27</f>
        <v>304.29699999999997</v>
      </c>
      <c r="E38" s="7">
        <f t="shared" si="32"/>
        <v>308.86145499999998</v>
      </c>
      <c r="F38" s="7">
        <f t="shared" si="32"/>
        <v>313.49437682499996</v>
      </c>
      <c r="G38" s="7">
        <f t="shared" si="32"/>
        <v>318.19679247737491</v>
      </c>
      <c r="H38" s="7">
        <f t="shared" si="32"/>
        <v>322.96974436453553</v>
      </c>
      <c r="I38" s="7">
        <f t="shared" si="32"/>
        <v>327.81429053000352</v>
      </c>
      <c r="J38" s="7">
        <f t="shared" si="32"/>
        <v>332.73150488795358</v>
      </c>
      <c r="K38" s="7">
        <f t="shared" si="32"/>
        <v>337.72247746127283</v>
      </c>
      <c r="L38" s="7">
        <f t="shared" si="32"/>
        <v>342.78831462319187</v>
      </c>
      <c r="U38">
        <v>2018</v>
      </c>
      <c r="V38" s="7">
        <f t="shared" si="24"/>
        <v>3208.6759561693325</v>
      </c>
      <c r="W38" s="111">
        <f t="shared" ref="W38:W45" si="33">W48</f>
        <v>7200.7195345384043</v>
      </c>
      <c r="X38" s="7">
        <f t="shared" si="25"/>
        <v>10409.395490707737</v>
      </c>
    </row>
    <row r="39" spans="2:24" x14ac:dyDescent="0.35">
      <c r="B39">
        <v>2984</v>
      </c>
      <c r="D39" s="7">
        <f>$B$39*D27</f>
        <v>302.87599999999998</v>
      </c>
      <c r="E39" s="7">
        <f t="shared" ref="E39:M39" si="34">$B$39*E27</f>
        <v>307.41913999999997</v>
      </c>
      <c r="F39" s="7">
        <f t="shared" si="34"/>
        <v>312.03042709999994</v>
      </c>
      <c r="G39" s="7">
        <f t="shared" si="34"/>
        <v>316.71088350649995</v>
      </c>
      <c r="H39" s="7">
        <f t="shared" si="34"/>
        <v>321.46154675909742</v>
      </c>
      <c r="I39" s="7">
        <f t="shared" si="34"/>
        <v>326.28346996048384</v>
      </c>
      <c r="J39" s="7">
        <f t="shared" si="34"/>
        <v>331.17772200989106</v>
      </c>
      <c r="K39" s="7">
        <f t="shared" si="34"/>
        <v>336.1453878400394</v>
      </c>
      <c r="L39" s="7">
        <f t="shared" si="34"/>
        <v>341.18756865763993</v>
      </c>
      <c r="M39" s="7">
        <f t="shared" si="34"/>
        <v>346.30538218750451</v>
      </c>
      <c r="U39">
        <v>2019</v>
      </c>
      <c r="V39" s="7">
        <f t="shared" si="24"/>
        <v>3241.597528021156</v>
      </c>
      <c r="W39" s="111">
        <f t="shared" si="33"/>
        <v>7354.0948606240727</v>
      </c>
      <c r="X39" s="7">
        <f t="shared" si="25"/>
        <v>10595.692388645228</v>
      </c>
    </row>
    <row r="40" spans="2:24" x14ac:dyDescent="0.35">
      <c r="B40">
        <v>2969</v>
      </c>
      <c r="E40" s="7">
        <f>$B$40*E27</f>
        <v>305.87380249999995</v>
      </c>
      <c r="F40" s="7">
        <f t="shared" ref="F40:N40" si="35">$B$40*F27</f>
        <v>310.46190953749993</v>
      </c>
      <c r="G40" s="7">
        <f t="shared" si="35"/>
        <v>315.11883818056242</v>
      </c>
      <c r="H40" s="7">
        <f t="shared" si="35"/>
        <v>319.84562075327085</v>
      </c>
      <c r="I40" s="7">
        <f t="shared" si="35"/>
        <v>324.64330506456986</v>
      </c>
      <c r="J40" s="7">
        <f t="shared" si="35"/>
        <v>329.5129546405384</v>
      </c>
      <c r="K40" s="7">
        <f t="shared" si="35"/>
        <v>334.45564896014645</v>
      </c>
      <c r="L40" s="7">
        <f t="shared" si="35"/>
        <v>339.4724836945486</v>
      </c>
      <c r="M40" s="7">
        <f t="shared" si="35"/>
        <v>344.56457094996682</v>
      </c>
      <c r="N40" s="7">
        <f t="shared" si="35"/>
        <v>349.73303951421627</v>
      </c>
      <c r="U40">
        <v>2020</v>
      </c>
      <c r="V40" s="7">
        <f t="shared" si="24"/>
        <v>3273.6821737953196</v>
      </c>
      <c r="W40" s="111">
        <f t="shared" si="33"/>
        <v>7510.7370811553665</v>
      </c>
      <c r="X40" s="7">
        <f t="shared" si="25"/>
        <v>10784.419254950686</v>
      </c>
    </row>
    <row r="41" spans="2:24" x14ac:dyDescent="0.35">
      <c r="B41">
        <v>2954</v>
      </c>
      <c r="F41" s="7">
        <f>$B$41*F27</f>
        <v>308.89339197499993</v>
      </c>
      <c r="G41" s="7">
        <f t="shared" ref="G41:O41" si="36">$B$41*G27</f>
        <v>313.52679285462494</v>
      </c>
      <c r="H41" s="7">
        <f t="shared" si="36"/>
        <v>318.22969474744428</v>
      </c>
      <c r="I41" s="7">
        <f t="shared" si="36"/>
        <v>323.00314016865588</v>
      </c>
      <c r="J41" s="7">
        <f t="shared" si="36"/>
        <v>327.84818727118574</v>
      </c>
      <c r="K41" s="7">
        <f t="shared" si="36"/>
        <v>332.76591008025349</v>
      </c>
      <c r="L41" s="7">
        <f t="shared" si="36"/>
        <v>337.75739873145722</v>
      </c>
      <c r="M41" s="7">
        <f t="shared" si="36"/>
        <v>342.82375971242908</v>
      </c>
      <c r="N41" s="7">
        <f t="shared" si="36"/>
        <v>347.96611610811544</v>
      </c>
      <c r="O41" s="7">
        <f t="shared" si="36"/>
        <v>353.18560784973715</v>
      </c>
      <c r="U41">
        <v>2021</v>
      </c>
      <c r="V41" s="7">
        <f t="shared" si="24"/>
        <v>3305.999999498903</v>
      </c>
      <c r="W41" s="111">
        <f t="shared" si="33"/>
        <v>7670.7157809839764</v>
      </c>
      <c r="X41" s="7">
        <f t="shared" si="25"/>
        <v>10976.715780482878</v>
      </c>
    </row>
    <row r="42" spans="2:24" x14ac:dyDescent="0.35">
      <c r="B42">
        <v>2939</v>
      </c>
      <c r="G42" s="7">
        <f>$B$42*G27</f>
        <v>311.93474752868747</v>
      </c>
      <c r="H42" s="7">
        <f t="shared" ref="H42:P42" si="37">$B$42*H27</f>
        <v>316.61376874161772</v>
      </c>
      <c r="I42" s="7">
        <f t="shared" si="37"/>
        <v>321.36297527274195</v>
      </c>
      <c r="J42" s="7">
        <f t="shared" si="37"/>
        <v>326.18341990183308</v>
      </c>
      <c r="K42" s="7">
        <f t="shared" si="37"/>
        <v>331.07617120036053</v>
      </c>
      <c r="L42" s="7">
        <f t="shared" si="37"/>
        <v>336.04231376836589</v>
      </c>
      <c r="M42" s="7">
        <f t="shared" si="37"/>
        <v>341.08294847489134</v>
      </c>
      <c r="N42" s="7">
        <f t="shared" si="37"/>
        <v>346.19919270201467</v>
      </c>
      <c r="O42" s="7">
        <f t="shared" si="37"/>
        <v>351.39218059254489</v>
      </c>
      <c r="P42" s="7">
        <f t="shared" si="37"/>
        <v>356.663063301433</v>
      </c>
      <c r="U42">
        <v>2022</v>
      </c>
      <c r="V42" s="7">
        <f t="shared" si="24"/>
        <v>3338.5507814844905</v>
      </c>
      <c r="W42" s="111">
        <f t="shared" si="33"/>
        <v>7834.1020271189363</v>
      </c>
      <c r="X42" s="7">
        <f t="shared" si="25"/>
        <v>11172.652808603427</v>
      </c>
    </row>
    <row r="43" spans="2:24" x14ac:dyDescent="0.35">
      <c r="B43">
        <v>2925</v>
      </c>
      <c r="H43" s="7">
        <f>$B$43*H27</f>
        <v>315.10557113617961</v>
      </c>
      <c r="I43" s="7">
        <f t="shared" ref="I43:Q43" si="38">$B$43*I27</f>
        <v>319.83215470322227</v>
      </c>
      <c r="J43" s="7">
        <f t="shared" si="38"/>
        <v>324.62963702377056</v>
      </c>
      <c r="K43" s="7">
        <f t="shared" si="38"/>
        <v>329.49908157912711</v>
      </c>
      <c r="L43" s="7">
        <f t="shared" si="38"/>
        <v>334.44156780281395</v>
      </c>
      <c r="M43" s="7">
        <f t="shared" si="38"/>
        <v>339.45819131985616</v>
      </c>
      <c r="N43" s="7">
        <f t="shared" si="38"/>
        <v>344.55006418965394</v>
      </c>
      <c r="O43" s="7">
        <f t="shared" si="38"/>
        <v>349.71831515249875</v>
      </c>
      <c r="P43" s="7">
        <f t="shared" si="38"/>
        <v>354.96408987978617</v>
      </c>
      <c r="Q43" s="7">
        <f t="shared" si="38"/>
        <v>360.28855122798291</v>
      </c>
      <c r="U43">
        <v>2023</v>
      </c>
      <c r="V43" s="7">
        <f t="shared" si="24"/>
        <v>3372.4872240148916</v>
      </c>
      <c r="W43" s="111">
        <f t="shared" si="33"/>
        <v>8000.9684002965696</v>
      </c>
      <c r="X43" s="7">
        <f t="shared" si="25"/>
        <v>11373.45562431146</v>
      </c>
    </row>
    <row r="44" spans="2:24" x14ac:dyDescent="0.35">
      <c r="B44">
        <v>2910</v>
      </c>
      <c r="I44" s="7">
        <f>$B$44*I27</f>
        <v>318.19198980730829</v>
      </c>
      <c r="J44" s="7">
        <f t="shared" ref="J44:R44" si="39">$B$44*J27</f>
        <v>322.9648696544179</v>
      </c>
      <c r="K44" s="7">
        <f t="shared" si="39"/>
        <v>327.80934269923415</v>
      </c>
      <c r="L44" s="7">
        <f t="shared" si="39"/>
        <v>332.72648283972262</v>
      </c>
      <c r="M44" s="7">
        <f t="shared" si="39"/>
        <v>337.71738008231841</v>
      </c>
      <c r="N44" s="7">
        <f t="shared" si="39"/>
        <v>342.78314078355316</v>
      </c>
      <c r="O44" s="7">
        <f t="shared" si="39"/>
        <v>347.92488789530643</v>
      </c>
      <c r="P44" s="7">
        <f t="shared" si="39"/>
        <v>353.14376121373601</v>
      </c>
      <c r="Q44" s="7">
        <f t="shared" si="39"/>
        <v>358.440917631942</v>
      </c>
      <c r="R44" s="7">
        <f t="shared" si="39"/>
        <v>363.81753139642103</v>
      </c>
      <c r="U44">
        <v>2024</v>
      </c>
      <c r="V44" s="7">
        <f t="shared" si="24"/>
        <v>3405.5203040039601</v>
      </c>
      <c r="W44" s="111">
        <f t="shared" si="33"/>
        <v>8171.3890272228882</v>
      </c>
      <c r="X44" s="7">
        <f t="shared" si="25"/>
        <v>11576.909331226849</v>
      </c>
    </row>
    <row r="45" spans="2:24" x14ac:dyDescent="0.35">
      <c r="B45">
        <v>2896</v>
      </c>
      <c r="J45" s="7">
        <f>$B$45*J27</f>
        <v>321.41108677635538</v>
      </c>
      <c r="K45" s="7">
        <f t="shared" ref="K45:S45" si="40">$B$45*K27</f>
        <v>326.23225307800067</v>
      </c>
      <c r="L45" s="7">
        <f t="shared" si="40"/>
        <v>331.12573687417068</v>
      </c>
      <c r="M45" s="7">
        <f t="shared" si="40"/>
        <v>336.09262292728323</v>
      </c>
      <c r="N45" s="7">
        <f t="shared" si="40"/>
        <v>341.13401227119243</v>
      </c>
      <c r="O45" s="7">
        <f t="shared" si="40"/>
        <v>346.25102245526028</v>
      </c>
      <c r="P45" s="7">
        <f t="shared" si="40"/>
        <v>351.44478779208919</v>
      </c>
      <c r="Q45" s="7">
        <f t="shared" si="40"/>
        <v>356.71645960897047</v>
      </c>
      <c r="R45" s="7">
        <f t="shared" si="40"/>
        <v>362.06720650310496</v>
      </c>
      <c r="S45" s="7">
        <f t="shared" si="40"/>
        <v>367.49821460065152</v>
      </c>
      <c r="U45">
        <v>2025</v>
      </c>
      <c r="V45" s="7">
        <f t="shared" si="24"/>
        <v>3439.9734028870789</v>
      </c>
      <c r="W45" s="111">
        <f t="shared" si="33"/>
        <v>8345.4396135027346</v>
      </c>
      <c r="X45" s="7">
        <f t="shared" si="25"/>
        <v>11785.413016389813</v>
      </c>
    </row>
    <row r="46" spans="2:24" x14ac:dyDescent="0.35">
      <c r="J46" s="7"/>
      <c r="K46" s="7"/>
      <c r="L46" s="7"/>
      <c r="M46" s="7"/>
      <c r="N46" s="7"/>
      <c r="O46" s="7"/>
      <c r="P46" s="7"/>
      <c r="Q46" s="7"/>
      <c r="R46" s="7"/>
      <c r="S46" s="7"/>
      <c r="V46" s="7"/>
    </row>
    <row r="47" spans="2:24" x14ac:dyDescent="0.35">
      <c r="B47" t="s">
        <v>219</v>
      </c>
      <c r="C47" s="24">
        <f>'EV Phase-in CBA '!E31</f>
        <v>6.547E-2</v>
      </c>
      <c r="D47" s="24">
        <f>'EV Phase-in CBA '!F31</f>
        <v>6.6864511000000001E-2</v>
      </c>
      <c r="E47" s="24">
        <f>'EV Phase-in CBA '!G31</f>
        <v>6.8288725084300006E-2</v>
      </c>
      <c r="F47" s="24">
        <f>'EV Phase-in CBA '!H31</f>
        <v>6.9743274928595597E-2</v>
      </c>
      <c r="G47" s="24">
        <f>'EV Phase-in CBA '!I31</f>
        <v>7.1228806684574694E-2</v>
      </c>
      <c r="H47" s="24">
        <f>'EV Phase-in CBA '!J31</f>
        <v>7.274598026695614E-2</v>
      </c>
      <c r="I47" s="24">
        <f>'EV Phase-in CBA '!K31</f>
        <v>7.4295469646642312E-2</v>
      </c>
      <c r="J47" s="24">
        <f>'EV Phase-in CBA '!L31</f>
        <v>7.5877963150115801E-2</v>
      </c>
      <c r="K47" s="24">
        <f>'EV Phase-in CBA '!M31</f>
        <v>7.7494163765213273E-2</v>
      </c>
      <c r="L47" s="24">
        <f>'EV Phase-in CBA '!N31</f>
        <v>7.9144789453412329E-2</v>
      </c>
      <c r="M47" s="24">
        <f>'EV Phase-in CBA '!O31</f>
        <v>8.0830573468770026E-2</v>
      </c>
      <c r="N47" s="24">
        <f>'EV Phase-in CBA '!P31</f>
        <v>8.2552264683654841E-2</v>
      </c>
      <c r="O47" s="24">
        <f>'EV Phase-in CBA '!Q31</f>
        <v>8.4310627921416692E-2</v>
      </c>
      <c r="P47" s="24">
        <f>'EV Phase-in CBA '!R31</f>
        <v>8.6106444296142878E-2</v>
      </c>
      <c r="Q47" s="24">
        <f>'EV Phase-in CBA '!S31</f>
        <v>8.7940511559650728E-2</v>
      </c>
      <c r="R47" s="24">
        <f>'EV Phase-in CBA '!T31</f>
        <v>8.9813644455871297E-2</v>
      </c>
      <c r="S47" s="24">
        <f>'EV Phase-in CBA '!U31</f>
        <v>9.1726675082781359E-2</v>
      </c>
      <c r="T47" s="24">
        <f>'EV Phase-in CBA '!V31</f>
        <v>9.3680453262044605E-2</v>
      </c>
      <c r="V47" s="7"/>
      <c r="W47" t="s">
        <v>225</v>
      </c>
    </row>
    <row r="48" spans="2:24" x14ac:dyDescent="0.35">
      <c r="C48" s="111">
        <f>C47*$C$2</f>
        <v>653.71794999999997</v>
      </c>
      <c r="D48" s="111">
        <f t="shared" ref="D48:L48" si="41">D47*$C$2</f>
        <v>667.64214233500002</v>
      </c>
      <c r="E48" s="111">
        <f t="shared" si="41"/>
        <v>681.8629199667356</v>
      </c>
      <c r="F48" s="111">
        <f t="shared" si="41"/>
        <v>696.38660016202709</v>
      </c>
      <c r="G48" s="111">
        <f t="shared" si="41"/>
        <v>711.21963474547829</v>
      </c>
      <c r="H48" s="111">
        <f t="shared" si="41"/>
        <v>726.36861296555708</v>
      </c>
      <c r="I48" s="111">
        <f t="shared" si="41"/>
        <v>741.84026442172353</v>
      </c>
      <c r="J48" s="111">
        <f t="shared" si="41"/>
        <v>757.64146205390625</v>
      </c>
      <c r="K48" s="111">
        <f t="shared" si="41"/>
        <v>773.77922519565448</v>
      </c>
      <c r="L48" s="111">
        <f t="shared" si="41"/>
        <v>790.26072269232213</v>
      </c>
      <c r="U48">
        <v>2018</v>
      </c>
      <c r="V48" s="7"/>
      <c r="W48" s="111">
        <f>SUM(C48:T48)</f>
        <v>7200.7195345384043</v>
      </c>
    </row>
    <row r="49" spans="4:23" x14ac:dyDescent="0.35">
      <c r="D49" s="111">
        <f>D47*$C$2</f>
        <v>667.64214233500002</v>
      </c>
      <c r="E49" s="111">
        <f t="shared" ref="E49:M49" si="42">E47*$C$2</f>
        <v>681.8629199667356</v>
      </c>
      <c r="F49" s="111">
        <f t="shared" si="42"/>
        <v>696.38660016202709</v>
      </c>
      <c r="G49" s="111">
        <f t="shared" si="42"/>
        <v>711.21963474547829</v>
      </c>
      <c r="H49" s="111">
        <f t="shared" si="42"/>
        <v>726.36861296555708</v>
      </c>
      <c r="I49" s="111">
        <f t="shared" si="42"/>
        <v>741.84026442172353</v>
      </c>
      <c r="J49" s="111">
        <f t="shared" si="42"/>
        <v>757.64146205390625</v>
      </c>
      <c r="K49" s="111">
        <f t="shared" si="42"/>
        <v>773.77922519565448</v>
      </c>
      <c r="L49" s="111">
        <f t="shared" si="42"/>
        <v>790.26072269232213</v>
      </c>
      <c r="M49" s="111">
        <f t="shared" si="42"/>
        <v>807.09327608566866</v>
      </c>
      <c r="U49">
        <v>2019</v>
      </c>
      <c r="V49" s="7"/>
      <c r="W49" s="111">
        <f t="shared" ref="W49:W55" si="43">SUM(C49:T49)</f>
        <v>7354.0948606240727</v>
      </c>
    </row>
    <row r="50" spans="4:23" x14ac:dyDescent="0.35">
      <c r="E50" s="111">
        <f>E47*$C$2</f>
        <v>681.8629199667356</v>
      </c>
      <c r="F50" s="111">
        <f t="shared" ref="F50:N50" si="44">F47*$C$2</f>
        <v>696.38660016202709</v>
      </c>
      <c r="G50" s="111">
        <f t="shared" si="44"/>
        <v>711.21963474547829</v>
      </c>
      <c r="H50" s="111">
        <f t="shared" si="44"/>
        <v>726.36861296555708</v>
      </c>
      <c r="I50" s="111">
        <f t="shared" si="44"/>
        <v>741.84026442172353</v>
      </c>
      <c r="J50" s="111">
        <f t="shared" si="44"/>
        <v>757.64146205390625</v>
      </c>
      <c r="K50" s="111">
        <f t="shared" si="44"/>
        <v>773.77922519565448</v>
      </c>
      <c r="L50" s="111">
        <f t="shared" si="44"/>
        <v>790.26072269232213</v>
      </c>
      <c r="M50" s="111">
        <f t="shared" si="44"/>
        <v>807.09327608566866</v>
      </c>
      <c r="N50" s="111">
        <f t="shared" si="44"/>
        <v>824.28436286629358</v>
      </c>
      <c r="U50">
        <v>2020</v>
      </c>
      <c r="V50" s="7"/>
      <c r="W50" s="111">
        <f t="shared" si="43"/>
        <v>7510.7370811553665</v>
      </c>
    </row>
    <row r="51" spans="4:23" x14ac:dyDescent="0.35">
      <c r="F51" s="111">
        <f>F47*$C$2</f>
        <v>696.38660016202709</v>
      </c>
      <c r="G51" s="111">
        <f t="shared" ref="G51:O51" si="45">G47*$C$2</f>
        <v>711.21963474547829</v>
      </c>
      <c r="H51" s="111">
        <f t="shared" si="45"/>
        <v>726.36861296555708</v>
      </c>
      <c r="I51" s="111">
        <f t="shared" si="45"/>
        <v>741.84026442172353</v>
      </c>
      <c r="J51" s="111">
        <f t="shared" si="45"/>
        <v>757.64146205390625</v>
      </c>
      <c r="K51" s="111">
        <f t="shared" si="45"/>
        <v>773.77922519565448</v>
      </c>
      <c r="L51" s="111">
        <f t="shared" si="45"/>
        <v>790.26072269232213</v>
      </c>
      <c r="M51" s="111">
        <f t="shared" si="45"/>
        <v>807.09327608566866</v>
      </c>
      <c r="N51" s="111">
        <f t="shared" si="45"/>
        <v>824.28436286629358</v>
      </c>
      <c r="O51" s="111">
        <f t="shared" si="45"/>
        <v>841.84161979534565</v>
      </c>
      <c r="U51">
        <v>2021</v>
      </c>
      <c r="V51" s="7"/>
      <c r="W51" s="111">
        <f t="shared" si="43"/>
        <v>7670.7157809839764</v>
      </c>
    </row>
    <row r="52" spans="4:23" x14ac:dyDescent="0.35">
      <c r="G52" s="111">
        <f>G47*$C$2</f>
        <v>711.21963474547829</v>
      </c>
      <c r="H52" s="111">
        <f t="shared" ref="H52:P52" si="46">H47*$C$2</f>
        <v>726.36861296555708</v>
      </c>
      <c r="I52" s="111">
        <f t="shared" si="46"/>
        <v>741.84026442172353</v>
      </c>
      <c r="J52" s="111">
        <f t="shared" si="46"/>
        <v>757.64146205390625</v>
      </c>
      <c r="K52" s="111">
        <f t="shared" si="46"/>
        <v>773.77922519565448</v>
      </c>
      <c r="L52" s="111">
        <f t="shared" si="46"/>
        <v>790.26072269232213</v>
      </c>
      <c r="M52" s="111">
        <f t="shared" si="46"/>
        <v>807.09327608566866</v>
      </c>
      <c r="N52" s="111">
        <f t="shared" si="46"/>
        <v>824.28436286629358</v>
      </c>
      <c r="O52" s="111">
        <f t="shared" si="46"/>
        <v>841.84161979534565</v>
      </c>
      <c r="P52" s="111">
        <f t="shared" si="46"/>
        <v>859.77284629698659</v>
      </c>
      <c r="U52">
        <v>2022</v>
      </c>
      <c r="V52" s="7"/>
      <c r="W52" s="111">
        <f t="shared" si="43"/>
        <v>7834.1020271189363</v>
      </c>
    </row>
    <row r="53" spans="4:23" x14ac:dyDescent="0.35">
      <c r="H53" s="111">
        <f>H47*$C$2</f>
        <v>726.36861296555708</v>
      </c>
      <c r="I53" s="111">
        <f t="shared" ref="I53:Q53" si="47">I47*$C$2</f>
        <v>741.84026442172353</v>
      </c>
      <c r="J53" s="111">
        <f t="shared" si="47"/>
        <v>757.64146205390625</v>
      </c>
      <c r="K53" s="111">
        <f t="shared" si="47"/>
        <v>773.77922519565448</v>
      </c>
      <c r="L53" s="111">
        <f t="shared" si="47"/>
        <v>790.26072269232213</v>
      </c>
      <c r="M53" s="111">
        <f t="shared" si="47"/>
        <v>807.09327608566866</v>
      </c>
      <c r="N53" s="111">
        <f t="shared" si="47"/>
        <v>824.28436286629358</v>
      </c>
      <c r="O53" s="111">
        <f t="shared" si="47"/>
        <v>841.84161979534565</v>
      </c>
      <c r="P53" s="111">
        <f t="shared" si="47"/>
        <v>859.77284629698659</v>
      </c>
      <c r="Q53" s="111">
        <f t="shared" si="47"/>
        <v>878.08600792311256</v>
      </c>
      <c r="U53">
        <v>2023</v>
      </c>
      <c r="V53" s="7"/>
      <c r="W53" s="111">
        <f t="shared" si="43"/>
        <v>8000.9684002965696</v>
      </c>
    </row>
    <row r="54" spans="4:23" x14ac:dyDescent="0.35">
      <c r="I54" s="111">
        <f>I47*$C$2</f>
        <v>741.84026442172353</v>
      </c>
      <c r="J54" s="111">
        <f t="shared" ref="J54:R54" si="48">J47*$C$2</f>
        <v>757.64146205390625</v>
      </c>
      <c r="K54" s="111">
        <f t="shared" si="48"/>
        <v>773.77922519565448</v>
      </c>
      <c r="L54" s="111">
        <f t="shared" si="48"/>
        <v>790.26072269232213</v>
      </c>
      <c r="M54" s="111">
        <f t="shared" si="48"/>
        <v>807.09327608566866</v>
      </c>
      <c r="N54" s="111">
        <f t="shared" si="48"/>
        <v>824.28436286629358</v>
      </c>
      <c r="O54" s="111">
        <f t="shared" si="48"/>
        <v>841.84161979534565</v>
      </c>
      <c r="P54" s="111">
        <f t="shared" si="48"/>
        <v>859.77284629698659</v>
      </c>
      <c r="Q54" s="111">
        <f t="shared" si="48"/>
        <v>878.08600792311256</v>
      </c>
      <c r="R54" s="111">
        <f t="shared" si="48"/>
        <v>896.7892398918749</v>
      </c>
      <c r="U54">
        <v>2024</v>
      </c>
      <c r="V54" s="7"/>
      <c r="W54" s="111">
        <f t="shared" si="43"/>
        <v>8171.3890272228882</v>
      </c>
    </row>
    <row r="55" spans="4:23" x14ac:dyDescent="0.35">
      <c r="J55" s="111">
        <f>J47*$C$2</f>
        <v>757.64146205390625</v>
      </c>
      <c r="K55" s="111">
        <f t="shared" ref="K55:S55" si="49">K47*$C$2</f>
        <v>773.77922519565448</v>
      </c>
      <c r="L55" s="111">
        <f t="shared" si="49"/>
        <v>790.26072269232213</v>
      </c>
      <c r="M55" s="111">
        <f t="shared" si="49"/>
        <v>807.09327608566866</v>
      </c>
      <c r="N55" s="111">
        <f t="shared" si="49"/>
        <v>824.28436286629358</v>
      </c>
      <c r="O55" s="111">
        <f t="shared" si="49"/>
        <v>841.84161979534565</v>
      </c>
      <c r="P55" s="111">
        <f t="shared" si="49"/>
        <v>859.77284629698659</v>
      </c>
      <c r="Q55" s="111">
        <f t="shared" si="49"/>
        <v>878.08600792311256</v>
      </c>
      <c r="R55" s="111">
        <f t="shared" si="49"/>
        <v>896.7892398918749</v>
      </c>
      <c r="S55" s="111">
        <f t="shared" si="49"/>
        <v>915.89085070157182</v>
      </c>
      <c r="U55">
        <v>2025</v>
      </c>
      <c r="V55" s="7"/>
      <c r="W55" s="111">
        <f t="shared" si="43"/>
        <v>8345.4396135027346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K335"/>
  <sheetViews>
    <sheetView workbookViewId="0">
      <selection activeCell="D26" sqref="D26"/>
    </sheetView>
  </sheetViews>
  <sheetFormatPr defaultRowHeight="14.5" x14ac:dyDescent="0.35"/>
  <cols>
    <col min="1" max="1" width="21.54296875" bestFit="1" customWidth="1"/>
    <col min="2" max="2" width="8.54296875" bestFit="1" customWidth="1"/>
    <col min="3" max="9" width="9.54296875" bestFit="1" customWidth="1"/>
    <col min="11" max="11" width="10.1796875" bestFit="1" customWidth="1"/>
  </cols>
  <sheetData>
    <row r="1" spans="1:37" ht="15" thickBot="1" x14ac:dyDescent="0.4">
      <c r="A1" s="93" t="s">
        <v>159</v>
      </c>
      <c r="B1" s="94">
        <v>2016</v>
      </c>
      <c r="C1" s="94">
        <v>2017</v>
      </c>
      <c r="D1" s="94">
        <v>2018</v>
      </c>
      <c r="E1" s="94">
        <v>2019</v>
      </c>
      <c r="F1" s="94">
        <v>2020</v>
      </c>
      <c r="G1" s="94">
        <v>2021</v>
      </c>
      <c r="H1" s="94">
        <v>2022</v>
      </c>
      <c r="I1" s="94">
        <v>2023</v>
      </c>
      <c r="J1" s="94">
        <v>2024</v>
      </c>
      <c r="K1" s="94">
        <v>2025</v>
      </c>
      <c r="L1" s="94">
        <v>2026</v>
      </c>
      <c r="M1" s="94">
        <v>2027</v>
      </c>
      <c r="N1" s="94">
        <v>2028</v>
      </c>
      <c r="O1" s="94">
        <v>2029</v>
      </c>
      <c r="P1" s="94">
        <v>2030</v>
      </c>
      <c r="Q1" s="94">
        <v>2031</v>
      </c>
      <c r="R1" s="94">
        <v>2032</v>
      </c>
      <c r="S1" s="94">
        <v>2033</v>
      </c>
      <c r="T1" s="94">
        <v>2034</v>
      </c>
      <c r="U1" s="94">
        <v>2035</v>
      </c>
      <c r="V1" s="94">
        <v>2036</v>
      </c>
      <c r="W1" s="94">
        <v>2037</v>
      </c>
      <c r="X1" s="94">
        <v>2038</v>
      </c>
      <c r="Y1" s="94">
        <v>2039</v>
      </c>
      <c r="Z1" s="94">
        <v>2040</v>
      </c>
      <c r="AA1" s="94">
        <v>2041</v>
      </c>
      <c r="AB1" s="94">
        <v>2042</v>
      </c>
      <c r="AC1" s="94">
        <v>2043</v>
      </c>
      <c r="AD1" s="94">
        <v>2044</v>
      </c>
      <c r="AE1" s="94">
        <v>2045</v>
      </c>
      <c r="AF1" s="94">
        <v>2046</v>
      </c>
      <c r="AG1" s="94">
        <v>2047</v>
      </c>
      <c r="AH1" s="94">
        <v>2048</v>
      </c>
      <c r="AI1" s="94">
        <v>2049</v>
      </c>
      <c r="AJ1" s="94">
        <v>2050</v>
      </c>
    </row>
    <row r="2" spans="1:37" ht="15" thickTop="1" x14ac:dyDescent="0.35"/>
    <row r="3" spans="1:37" x14ac:dyDescent="0.35">
      <c r="B3" s="95" t="s">
        <v>160</v>
      </c>
      <c r="C3" s="95" t="s">
        <v>274</v>
      </c>
      <c r="D3" s="95"/>
      <c r="E3" s="95"/>
      <c r="F3" s="95"/>
    </row>
    <row r="4" spans="1:37" x14ac:dyDescent="0.35">
      <c r="B4" s="95" t="s">
        <v>162</v>
      </c>
      <c r="C4" s="95" t="s">
        <v>163</v>
      </c>
      <c r="D4" s="95"/>
      <c r="E4" s="95"/>
      <c r="F4" s="95" t="s">
        <v>164</v>
      </c>
      <c r="H4" s="71" t="s">
        <v>245</v>
      </c>
    </row>
    <row r="5" spans="1:37" x14ac:dyDescent="0.35">
      <c r="B5" s="95" t="s">
        <v>165</v>
      </c>
      <c r="C5" s="95" t="s">
        <v>166</v>
      </c>
      <c r="D5" s="95"/>
      <c r="E5" s="95"/>
      <c r="F5" s="95"/>
    </row>
    <row r="6" spans="1:37" x14ac:dyDescent="0.35">
      <c r="B6" s="95" t="s">
        <v>167</v>
      </c>
      <c r="C6" s="95"/>
      <c r="D6" s="95" t="s">
        <v>393</v>
      </c>
      <c r="E6" s="95"/>
      <c r="F6" s="95"/>
      <c r="G6" s="71" t="s">
        <v>394</v>
      </c>
    </row>
    <row r="8" spans="1:37" x14ac:dyDescent="0.35">
      <c r="B8" t="s">
        <v>182</v>
      </c>
      <c r="J8" s="2" t="s">
        <v>395</v>
      </c>
      <c r="K8" s="11">
        <v>116089</v>
      </c>
    </row>
    <row r="9" spans="1:37" x14ac:dyDescent="0.35">
      <c r="J9" s="2" t="s">
        <v>396</v>
      </c>
      <c r="K9">
        <v>0.73179300000000003</v>
      </c>
    </row>
    <row r="10" spans="1:37" ht="15.5" x14ac:dyDescent="0.35">
      <c r="A10" s="96" t="s">
        <v>168</v>
      </c>
      <c r="J10" t="s">
        <v>397</v>
      </c>
      <c r="K10" s="10">
        <f>K8*K9</f>
        <v>84953.117576999997</v>
      </c>
    </row>
    <row r="11" spans="1:37" x14ac:dyDescent="0.35">
      <c r="A11" s="93" t="s">
        <v>169</v>
      </c>
    </row>
    <row r="12" spans="1:37" x14ac:dyDescent="0.35">
      <c r="A12" s="93" t="s">
        <v>170</v>
      </c>
      <c r="B12" s="97" t="s">
        <v>170</v>
      </c>
      <c r="C12" s="97" t="s">
        <v>170</v>
      </c>
      <c r="D12" s="97" t="s">
        <v>170</v>
      </c>
      <c r="E12" s="97" t="s">
        <v>170</v>
      </c>
      <c r="F12" s="97" t="s">
        <v>170</v>
      </c>
      <c r="G12" s="97" t="s">
        <v>170</v>
      </c>
      <c r="H12" s="97" t="s">
        <v>170</v>
      </c>
      <c r="I12" s="97" t="s">
        <v>170</v>
      </c>
      <c r="J12" s="97" t="s">
        <v>170</v>
      </c>
      <c r="K12" s="97" t="s">
        <v>170</v>
      </c>
      <c r="L12" s="97" t="s">
        <v>170</v>
      </c>
      <c r="M12" s="97" t="s">
        <v>170</v>
      </c>
      <c r="N12" s="97" t="s">
        <v>170</v>
      </c>
      <c r="O12" s="97" t="s">
        <v>170</v>
      </c>
      <c r="P12" s="97" t="s">
        <v>170</v>
      </c>
      <c r="Q12" s="97" t="s">
        <v>170</v>
      </c>
      <c r="R12" s="97" t="s">
        <v>170</v>
      </c>
      <c r="S12" s="97" t="s">
        <v>170</v>
      </c>
      <c r="T12" s="97" t="s">
        <v>170</v>
      </c>
      <c r="U12" s="97" t="s">
        <v>170</v>
      </c>
      <c r="V12" s="97" t="s">
        <v>170</v>
      </c>
      <c r="W12" s="97" t="s">
        <v>170</v>
      </c>
      <c r="X12" s="97" t="s">
        <v>170</v>
      </c>
      <c r="Y12" s="97" t="s">
        <v>170</v>
      </c>
      <c r="Z12" s="97" t="s">
        <v>170</v>
      </c>
      <c r="AA12" s="97" t="s">
        <v>170</v>
      </c>
      <c r="AB12" s="97" t="s">
        <v>170</v>
      </c>
      <c r="AC12" s="97" t="s">
        <v>170</v>
      </c>
      <c r="AD12" s="97" t="s">
        <v>170</v>
      </c>
      <c r="AE12" s="97" t="s">
        <v>170</v>
      </c>
      <c r="AF12" s="97" t="s">
        <v>170</v>
      </c>
      <c r="AG12" s="97" t="s">
        <v>170</v>
      </c>
      <c r="AH12" s="97" t="s">
        <v>170</v>
      </c>
      <c r="AI12" s="97" t="s">
        <v>170</v>
      </c>
      <c r="AJ12" s="97" t="s">
        <v>170</v>
      </c>
      <c r="AK12" s="97" t="s">
        <v>171</v>
      </c>
    </row>
    <row r="13" spans="1:37" ht="15" thickBot="1" x14ac:dyDescent="0.4">
      <c r="A13" s="94" t="s">
        <v>172</v>
      </c>
      <c r="B13" s="94">
        <v>2016</v>
      </c>
      <c r="C13" s="94">
        <v>2017</v>
      </c>
      <c r="D13" s="94">
        <v>2018</v>
      </c>
      <c r="E13" s="94">
        <v>2019</v>
      </c>
      <c r="F13" s="94">
        <v>2020</v>
      </c>
      <c r="G13" s="94">
        <v>2021</v>
      </c>
      <c r="H13" s="94">
        <v>2022</v>
      </c>
      <c r="I13" s="94">
        <v>2023</v>
      </c>
      <c r="J13" s="94">
        <v>2024</v>
      </c>
      <c r="K13" s="94">
        <v>2025</v>
      </c>
      <c r="L13" s="94">
        <v>2026</v>
      </c>
      <c r="M13" s="94">
        <v>2027</v>
      </c>
      <c r="N13" s="94">
        <v>2028</v>
      </c>
      <c r="O13" s="94">
        <v>2029</v>
      </c>
      <c r="P13" s="94">
        <v>2030</v>
      </c>
      <c r="Q13" s="94">
        <v>2031</v>
      </c>
      <c r="R13" s="94">
        <v>2032</v>
      </c>
      <c r="S13" s="94">
        <v>2033</v>
      </c>
      <c r="T13" s="94">
        <v>2034</v>
      </c>
      <c r="U13" s="94">
        <v>2035</v>
      </c>
      <c r="V13" s="94">
        <v>2036</v>
      </c>
      <c r="W13" s="94">
        <v>2037</v>
      </c>
      <c r="X13" s="94">
        <v>2038</v>
      </c>
      <c r="Y13" s="94">
        <v>2039</v>
      </c>
      <c r="Z13" s="94">
        <v>2040</v>
      </c>
      <c r="AA13" s="94">
        <v>2041</v>
      </c>
      <c r="AB13" s="94">
        <v>2042</v>
      </c>
      <c r="AC13" s="94">
        <v>2043</v>
      </c>
      <c r="AD13" s="94">
        <v>2044</v>
      </c>
      <c r="AE13" s="94">
        <v>2045</v>
      </c>
      <c r="AF13" s="94">
        <v>2046</v>
      </c>
      <c r="AG13" s="94">
        <v>2047</v>
      </c>
      <c r="AH13" s="94">
        <v>2048</v>
      </c>
      <c r="AI13" s="94">
        <v>2049</v>
      </c>
      <c r="AJ13" s="94">
        <v>2050</v>
      </c>
      <c r="AK13" s="94">
        <v>2050</v>
      </c>
    </row>
    <row r="14" spans="1:37" ht="15" thickTop="1" x14ac:dyDescent="0.35">
      <c r="A14" s="98" t="s">
        <v>173</v>
      </c>
    </row>
    <row r="15" spans="1:37" x14ac:dyDescent="0.35">
      <c r="A15" s="99" t="s">
        <v>174</v>
      </c>
      <c r="B15" s="100">
        <v>17.741709</v>
      </c>
      <c r="C15">
        <v>19.093874</v>
      </c>
      <c r="D15">
        <v>18.011908999999999</v>
      </c>
      <c r="E15">
        <v>18.204725</v>
      </c>
      <c r="F15">
        <v>18.120722000000001</v>
      </c>
      <c r="G15">
        <v>18.36891</v>
      </c>
      <c r="H15">
        <v>18.845790999999998</v>
      </c>
      <c r="I15">
        <v>19.167532000000001</v>
      </c>
      <c r="J15">
        <v>19.618653999999999</v>
      </c>
      <c r="K15">
        <v>20.087505</v>
      </c>
      <c r="L15">
        <v>20.440956</v>
      </c>
      <c r="M15">
        <v>20.675909000000001</v>
      </c>
      <c r="N15">
        <v>20.838861000000001</v>
      </c>
      <c r="O15">
        <v>21.52054</v>
      </c>
      <c r="P15">
        <v>21.555557</v>
      </c>
      <c r="Q15">
        <v>21.671859999999999</v>
      </c>
      <c r="R15">
        <v>21.807725999999999</v>
      </c>
      <c r="S15">
        <v>21.969311000000001</v>
      </c>
      <c r="T15">
        <v>22.115055000000002</v>
      </c>
      <c r="U15">
        <v>22.233149000000001</v>
      </c>
      <c r="V15">
        <v>22.367972999999999</v>
      </c>
      <c r="W15">
        <v>22.448108999999999</v>
      </c>
      <c r="X15">
        <v>22.502665</v>
      </c>
      <c r="Y15">
        <v>22.564640000000001</v>
      </c>
      <c r="Z15">
        <v>22.621523</v>
      </c>
      <c r="AA15">
        <v>22.640591000000001</v>
      </c>
      <c r="AB15">
        <v>22.688993</v>
      </c>
      <c r="AC15">
        <v>22.745186</v>
      </c>
      <c r="AD15">
        <v>22.794394</v>
      </c>
      <c r="AE15">
        <v>22.814636</v>
      </c>
      <c r="AF15">
        <v>22.812548</v>
      </c>
      <c r="AG15">
        <v>22.802803000000001</v>
      </c>
      <c r="AH15">
        <v>22.793049</v>
      </c>
      <c r="AI15">
        <v>22.745712000000001</v>
      </c>
      <c r="AJ15">
        <v>22.661757999999999</v>
      </c>
      <c r="AK15" s="9">
        <v>7.0000000000000001E-3</v>
      </c>
    </row>
    <row r="16" spans="1:37" x14ac:dyDescent="0.35">
      <c r="A16" s="99" t="s">
        <v>175</v>
      </c>
      <c r="B16" s="100">
        <v>20.812339999999999</v>
      </c>
      <c r="C16">
        <v>22.146609999999999</v>
      </c>
      <c r="D16">
        <v>29.232935000000001</v>
      </c>
      <c r="E16">
        <v>34.052211999999997</v>
      </c>
      <c r="F16">
        <v>32.993298000000003</v>
      </c>
      <c r="G16">
        <v>32.699516000000003</v>
      </c>
      <c r="H16">
        <v>31.772414999999999</v>
      </c>
      <c r="I16">
        <v>31.519120999999998</v>
      </c>
      <c r="J16">
        <v>29.401441999999999</v>
      </c>
      <c r="K16">
        <v>26.987891999999999</v>
      </c>
      <c r="L16">
        <v>26.807842000000001</v>
      </c>
      <c r="M16">
        <v>26.192710999999999</v>
      </c>
      <c r="N16">
        <v>25.483084000000002</v>
      </c>
      <c r="O16">
        <v>25.746527</v>
      </c>
      <c r="P16">
        <v>24.796619</v>
      </c>
      <c r="Q16">
        <v>24.859034000000001</v>
      </c>
      <c r="R16">
        <v>24.914490000000001</v>
      </c>
      <c r="S16">
        <v>24.666086</v>
      </c>
      <c r="T16">
        <v>24.325018</v>
      </c>
      <c r="U16">
        <v>24.332386</v>
      </c>
      <c r="V16">
        <v>24.364547999999999</v>
      </c>
      <c r="W16">
        <v>24.223488</v>
      </c>
      <c r="X16">
        <v>24.431009</v>
      </c>
      <c r="Y16">
        <v>24.847304999999999</v>
      </c>
      <c r="Z16">
        <v>25.342030000000001</v>
      </c>
      <c r="AA16">
        <v>26.058499999999999</v>
      </c>
      <c r="AB16">
        <v>26.868804999999998</v>
      </c>
      <c r="AC16">
        <v>27.726488</v>
      </c>
      <c r="AD16">
        <v>28.261793000000001</v>
      </c>
      <c r="AE16">
        <v>28.801780999999998</v>
      </c>
      <c r="AF16">
        <v>30.356558</v>
      </c>
      <c r="AG16">
        <v>32.465274999999998</v>
      </c>
      <c r="AH16">
        <v>34.002827000000003</v>
      </c>
      <c r="AI16">
        <v>33.970126999999998</v>
      </c>
      <c r="AJ16">
        <v>33.849567</v>
      </c>
      <c r="AK16" s="9">
        <v>5.0000000000000001E-3</v>
      </c>
    </row>
    <row r="17" spans="1:37" x14ac:dyDescent="0.35">
      <c r="A17" s="99" t="s">
        <v>176</v>
      </c>
      <c r="B17" s="100">
        <v>19.123667000000001</v>
      </c>
      <c r="C17">
        <v>21.520517000000002</v>
      </c>
      <c r="D17">
        <v>24.06465</v>
      </c>
      <c r="E17">
        <v>24.234852</v>
      </c>
      <c r="F17">
        <v>24.960867</v>
      </c>
      <c r="G17">
        <v>25.147348000000001</v>
      </c>
      <c r="H17">
        <v>25.215456</v>
      </c>
      <c r="I17">
        <v>25.564999</v>
      </c>
      <c r="J17">
        <v>25.915911000000001</v>
      </c>
      <c r="K17">
        <v>26.205998999999998</v>
      </c>
      <c r="L17">
        <v>26.421569999999999</v>
      </c>
      <c r="M17">
        <v>26.967485</v>
      </c>
      <c r="N17">
        <v>27.159894999999999</v>
      </c>
      <c r="O17">
        <v>27.825689000000001</v>
      </c>
      <c r="P17">
        <v>27.940798000000001</v>
      </c>
      <c r="Q17">
        <v>28.244510999999999</v>
      </c>
      <c r="R17">
        <v>28.481456999999999</v>
      </c>
      <c r="S17">
        <v>28.597303</v>
      </c>
      <c r="T17">
        <v>28.805796000000001</v>
      </c>
      <c r="U17">
        <v>28.990618000000001</v>
      </c>
      <c r="V17">
        <v>29.231501000000002</v>
      </c>
      <c r="W17">
        <v>29.229696000000001</v>
      </c>
      <c r="X17">
        <v>29.398031</v>
      </c>
      <c r="Y17">
        <v>29.585927999999999</v>
      </c>
      <c r="Z17">
        <v>29.794042999999999</v>
      </c>
      <c r="AA17">
        <v>29.89752</v>
      </c>
      <c r="AB17">
        <v>30.132586</v>
      </c>
      <c r="AC17">
        <v>30.180281000000001</v>
      </c>
      <c r="AD17">
        <v>30.181252000000001</v>
      </c>
      <c r="AE17">
        <v>30.247581</v>
      </c>
      <c r="AF17">
        <v>30.342438000000001</v>
      </c>
      <c r="AG17">
        <v>30.418403999999999</v>
      </c>
      <c r="AH17">
        <v>30.564876999999999</v>
      </c>
      <c r="AI17">
        <v>30.581316000000001</v>
      </c>
      <c r="AJ17">
        <v>30.573440999999999</v>
      </c>
      <c r="AK17" s="9">
        <v>8.0000000000000002E-3</v>
      </c>
    </row>
    <row r="18" spans="1:37" x14ac:dyDescent="0.35">
      <c r="A18" s="99" t="s">
        <v>177</v>
      </c>
      <c r="B18" s="100">
        <v>9.9809680000000007</v>
      </c>
      <c r="C18">
        <v>12.362413999999999</v>
      </c>
      <c r="D18">
        <v>16.156372000000001</v>
      </c>
      <c r="E18">
        <v>16.221107</v>
      </c>
      <c r="F18">
        <v>17.391456999999999</v>
      </c>
      <c r="G18">
        <v>17.198521</v>
      </c>
      <c r="H18">
        <v>16.965547999999998</v>
      </c>
      <c r="I18">
        <v>17.220293000000002</v>
      </c>
      <c r="J18">
        <v>17.500954</v>
      </c>
      <c r="K18">
        <v>17.782360000000001</v>
      </c>
      <c r="L18">
        <v>18.167006000000001</v>
      </c>
      <c r="M18">
        <v>18.670538000000001</v>
      </c>
      <c r="N18">
        <v>19.052686999999999</v>
      </c>
      <c r="O18">
        <v>19.759250999999999</v>
      </c>
      <c r="P18">
        <v>19.880825000000002</v>
      </c>
      <c r="Q18">
        <v>20.144784999999999</v>
      </c>
      <c r="R18">
        <v>20.545508999999999</v>
      </c>
      <c r="S18">
        <v>20.768360000000001</v>
      </c>
      <c r="T18">
        <v>20.927616</v>
      </c>
      <c r="U18">
        <v>21.206121</v>
      </c>
      <c r="V18">
        <v>21.536283000000001</v>
      </c>
      <c r="W18">
        <v>21.578913</v>
      </c>
      <c r="X18">
        <v>21.784565000000001</v>
      </c>
      <c r="Y18">
        <v>21.975338000000001</v>
      </c>
      <c r="Z18">
        <v>22.095026000000001</v>
      </c>
      <c r="AA18">
        <v>22.210664999999999</v>
      </c>
      <c r="AB18">
        <v>22.446021999999999</v>
      </c>
      <c r="AC18">
        <v>22.556460999999999</v>
      </c>
      <c r="AD18">
        <v>22.518681999999998</v>
      </c>
      <c r="AE18">
        <v>22.683077000000001</v>
      </c>
      <c r="AF18">
        <v>22.670938</v>
      </c>
      <c r="AG18">
        <v>22.731850000000001</v>
      </c>
      <c r="AH18">
        <v>22.876764000000001</v>
      </c>
      <c r="AI18">
        <v>22.842226</v>
      </c>
      <c r="AJ18">
        <v>22.833984000000001</v>
      </c>
      <c r="AK18" s="9">
        <v>1.0999999999999999E-2</v>
      </c>
    </row>
    <row r="19" spans="1:37" ht="29" x14ac:dyDescent="0.35">
      <c r="A19" s="99" t="s">
        <v>178</v>
      </c>
      <c r="B19" s="100">
        <v>17.224471999999999</v>
      </c>
      <c r="C19">
        <v>19.586186999999999</v>
      </c>
      <c r="D19">
        <v>23.159742000000001</v>
      </c>
      <c r="E19">
        <v>22.720023999999999</v>
      </c>
      <c r="F19">
        <v>24.200548000000001</v>
      </c>
      <c r="G19">
        <v>24.279845999999999</v>
      </c>
      <c r="H19">
        <v>24.073951999999998</v>
      </c>
      <c r="I19">
        <v>24.335906999999999</v>
      </c>
      <c r="J19">
        <v>24.835159000000001</v>
      </c>
      <c r="K19">
        <v>25.221354000000002</v>
      </c>
      <c r="L19">
        <v>25.402543999999999</v>
      </c>
      <c r="M19">
        <v>26.099861000000001</v>
      </c>
      <c r="N19">
        <v>26.332129999999999</v>
      </c>
      <c r="O19">
        <v>27.170646999999999</v>
      </c>
      <c r="P19">
        <v>27.382055000000001</v>
      </c>
      <c r="Q19">
        <v>27.67717</v>
      </c>
      <c r="R19">
        <v>27.993576000000001</v>
      </c>
      <c r="S19">
        <v>28.269873</v>
      </c>
      <c r="T19">
        <v>28.361291999999999</v>
      </c>
      <c r="U19">
        <v>28.632473000000001</v>
      </c>
      <c r="V19">
        <v>28.963840000000001</v>
      </c>
      <c r="W19">
        <v>28.901509999999998</v>
      </c>
      <c r="X19">
        <v>29.080636999999999</v>
      </c>
      <c r="Y19">
        <v>29.239021000000001</v>
      </c>
      <c r="Z19">
        <v>29.376836999999998</v>
      </c>
      <c r="AA19">
        <v>29.398700999999999</v>
      </c>
      <c r="AB19">
        <v>29.566365999999999</v>
      </c>
      <c r="AC19">
        <v>29.566801000000002</v>
      </c>
      <c r="AD19">
        <v>29.445443999999998</v>
      </c>
      <c r="AE19">
        <v>29.487279999999998</v>
      </c>
      <c r="AF19">
        <v>29.349450999999998</v>
      </c>
      <c r="AG19">
        <v>29.202044999999998</v>
      </c>
      <c r="AH19">
        <v>29.22777</v>
      </c>
      <c r="AI19">
        <v>29.166457999999999</v>
      </c>
      <c r="AJ19">
        <v>29.156123999999998</v>
      </c>
      <c r="AK19" s="9">
        <v>7.0000000000000001E-3</v>
      </c>
    </row>
    <row r="20" spans="1:37" x14ac:dyDescent="0.35">
      <c r="A20" s="99" t="s">
        <v>179</v>
      </c>
      <c r="B20" s="100">
        <v>6.2571779999999997</v>
      </c>
      <c r="C20">
        <v>8.6428510000000003</v>
      </c>
      <c r="D20">
        <v>10.938333999999999</v>
      </c>
      <c r="E20">
        <v>11.130122</v>
      </c>
      <c r="F20">
        <v>11.747704000000001</v>
      </c>
      <c r="G20">
        <v>11.759416</v>
      </c>
      <c r="H20">
        <v>10.426277000000001</v>
      </c>
      <c r="I20">
        <v>10.785151000000001</v>
      </c>
      <c r="J20">
        <v>11.267358</v>
      </c>
      <c r="K20">
        <v>11.574894</v>
      </c>
      <c r="L20">
        <v>11.929773000000001</v>
      </c>
      <c r="M20">
        <v>12.348798</v>
      </c>
      <c r="N20">
        <v>12.531955</v>
      </c>
      <c r="O20">
        <v>12.831950000000001</v>
      </c>
      <c r="P20">
        <v>13.384979</v>
      </c>
      <c r="Q20">
        <v>13.537853</v>
      </c>
      <c r="R20">
        <v>13.660610999999999</v>
      </c>
      <c r="S20">
        <v>13.825775999999999</v>
      </c>
      <c r="T20">
        <v>14.468102999999999</v>
      </c>
      <c r="U20">
        <v>14.792304</v>
      </c>
      <c r="V20">
        <v>14.941297</v>
      </c>
      <c r="W20">
        <v>15.426805</v>
      </c>
      <c r="X20">
        <v>15.487436000000001</v>
      </c>
      <c r="Y20">
        <v>15.571839000000001</v>
      </c>
      <c r="Z20">
        <v>15.668426999999999</v>
      </c>
      <c r="AA20">
        <v>15.737202</v>
      </c>
      <c r="AB20">
        <v>15.909072</v>
      </c>
      <c r="AC20">
        <v>15.939170000000001</v>
      </c>
      <c r="AD20">
        <v>15.735325</v>
      </c>
      <c r="AE20">
        <v>15.767515</v>
      </c>
      <c r="AF20">
        <v>16.297256000000001</v>
      </c>
      <c r="AG20">
        <v>16.66431</v>
      </c>
      <c r="AH20">
        <v>16.141355999999998</v>
      </c>
      <c r="AI20">
        <v>16.134052000000001</v>
      </c>
      <c r="AJ20">
        <v>16.508320000000001</v>
      </c>
      <c r="AK20" s="9">
        <v>1.2999999999999999E-2</v>
      </c>
    </row>
    <row r="21" spans="1:37" x14ac:dyDescent="0.35">
      <c r="A21" s="99" t="s">
        <v>180</v>
      </c>
      <c r="B21" s="100">
        <v>14.278964</v>
      </c>
      <c r="C21">
        <v>14.744268999999999</v>
      </c>
      <c r="D21">
        <v>14.392683999999999</v>
      </c>
      <c r="E21">
        <v>14.124518999999999</v>
      </c>
      <c r="F21">
        <v>14.000322000000001</v>
      </c>
      <c r="G21">
        <v>13.208526000000001</v>
      </c>
      <c r="H21">
        <v>13.279814999999999</v>
      </c>
      <c r="I21">
        <v>13.273958</v>
      </c>
      <c r="J21">
        <v>13.282501</v>
      </c>
      <c r="K21">
        <v>13.364941999999999</v>
      </c>
      <c r="L21">
        <v>13.239671</v>
      </c>
      <c r="M21">
        <v>13.009452</v>
      </c>
      <c r="N21">
        <v>12.856463</v>
      </c>
      <c r="O21">
        <v>13.310276999999999</v>
      </c>
      <c r="P21">
        <v>13.111701999999999</v>
      </c>
      <c r="Q21">
        <v>13.016131</v>
      </c>
      <c r="R21">
        <v>12.979464999999999</v>
      </c>
      <c r="S21">
        <v>12.903319</v>
      </c>
      <c r="T21">
        <v>12.829945</v>
      </c>
      <c r="U21">
        <v>12.770699</v>
      </c>
      <c r="V21">
        <v>12.741168999999999</v>
      </c>
      <c r="W21">
        <v>12.694189</v>
      </c>
      <c r="X21">
        <v>12.624283999999999</v>
      </c>
      <c r="Y21">
        <v>12.578768</v>
      </c>
      <c r="Z21">
        <v>12.578671999999999</v>
      </c>
      <c r="AA21">
        <v>12.525743</v>
      </c>
      <c r="AB21">
        <v>12.527932</v>
      </c>
      <c r="AC21">
        <v>12.546165</v>
      </c>
      <c r="AD21">
        <v>12.597267</v>
      </c>
      <c r="AE21">
        <v>12.650783000000001</v>
      </c>
      <c r="AF21">
        <v>12.693562999999999</v>
      </c>
      <c r="AG21">
        <v>12.752255</v>
      </c>
      <c r="AH21">
        <v>12.861394000000001</v>
      </c>
      <c r="AI21">
        <v>12.955595000000001</v>
      </c>
      <c r="AJ21">
        <v>13.027087</v>
      </c>
      <c r="AK21" s="9">
        <v>-3.0000000000000001E-3</v>
      </c>
    </row>
    <row r="22" spans="1:37" x14ac:dyDescent="0.35">
      <c r="A22" s="99" t="s">
        <v>181</v>
      </c>
      <c r="B22" s="100">
        <v>28.885411999999999</v>
      </c>
      <c r="C22">
        <v>29.101451999999998</v>
      </c>
      <c r="D22">
        <v>33.287472000000001</v>
      </c>
      <c r="E22">
        <v>35.301769</v>
      </c>
      <c r="F22">
        <v>35.655743000000001</v>
      </c>
      <c r="G22">
        <v>36.136142999999997</v>
      </c>
      <c r="H22">
        <v>36.865479000000001</v>
      </c>
      <c r="I22">
        <v>37.499865999999997</v>
      </c>
      <c r="J22">
        <v>37.917560999999999</v>
      </c>
      <c r="K22">
        <v>38.429222000000003</v>
      </c>
      <c r="L22">
        <v>38.868603</v>
      </c>
      <c r="M22">
        <v>38.934277000000002</v>
      </c>
      <c r="N22">
        <v>38.963169000000001</v>
      </c>
      <c r="O22">
        <v>38.951664000000001</v>
      </c>
      <c r="P22">
        <v>38.994388999999998</v>
      </c>
      <c r="Q22">
        <v>38.99868</v>
      </c>
      <c r="R22">
        <v>39.170242000000002</v>
      </c>
      <c r="S22">
        <v>39.252037000000001</v>
      </c>
      <c r="T22">
        <v>39.125346999999998</v>
      </c>
      <c r="U22">
        <v>38.958587999999999</v>
      </c>
      <c r="V22">
        <v>38.886947999999997</v>
      </c>
      <c r="W22">
        <v>38.818939</v>
      </c>
      <c r="X22">
        <v>38.574703</v>
      </c>
      <c r="Y22">
        <v>38.337806999999998</v>
      </c>
      <c r="Z22">
        <v>38.110615000000003</v>
      </c>
      <c r="AA22">
        <v>37.905239000000002</v>
      </c>
      <c r="AB22">
        <v>37.682907</v>
      </c>
      <c r="AC22">
        <v>37.382308999999999</v>
      </c>
      <c r="AD22">
        <v>37.188625000000002</v>
      </c>
      <c r="AE22">
        <v>37.069915999999999</v>
      </c>
      <c r="AF22">
        <v>36.974594000000003</v>
      </c>
      <c r="AG22">
        <v>36.833530000000003</v>
      </c>
      <c r="AH22">
        <v>36.703105999999998</v>
      </c>
      <c r="AI22">
        <v>36.565514</v>
      </c>
      <c r="AJ22">
        <v>36.355133000000002</v>
      </c>
      <c r="AK22" s="9">
        <v>3.0000000000000001E-3</v>
      </c>
    </row>
    <row r="24" spans="1:37" x14ac:dyDescent="0.35">
      <c r="A24" s="101" t="s">
        <v>183</v>
      </c>
      <c r="B24" s="11">
        <v>116089</v>
      </c>
    </row>
    <row r="25" spans="1:37" ht="15" customHeight="1" x14ac:dyDescent="0.35">
      <c r="A25" s="101" t="s">
        <v>184</v>
      </c>
      <c r="B25">
        <f>1000000/B24</f>
        <v>8.6140805761097088</v>
      </c>
    </row>
    <row r="26" spans="1:37" x14ac:dyDescent="0.35">
      <c r="A26" s="101" t="s">
        <v>185</v>
      </c>
      <c r="B26">
        <f>B17/$B$25</f>
        <v>2.2200473783630001</v>
      </c>
      <c r="C26">
        <f t="shared" ref="C26:AJ26" si="0">C17/$B$25</f>
        <v>2.4982952980130002</v>
      </c>
      <c r="D26">
        <f t="shared" si="0"/>
        <v>2.7936411538499999</v>
      </c>
      <c r="E26">
        <f t="shared" si="0"/>
        <v>2.8133997338280001</v>
      </c>
      <c r="F26">
        <f t="shared" si="0"/>
        <v>2.8976820891630002</v>
      </c>
      <c r="G26">
        <f t="shared" si="0"/>
        <v>2.9193304819720001</v>
      </c>
      <c r="H26">
        <f t="shared" si="0"/>
        <v>2.9272370715839999</v>
      </c>
      <c r="I26">
        <f t="shared" si="0"/>
        <v>2.9678151689110002</v>
      </c>
      <c r="J26">
        <f t="shared" si="0"/>
        <v>3.0085521920790002</v>
      </c>
      <c r="K26">
        <f t="shared" si="0"/>
        <v>3.0422282179110001</v>
      </c>
      <c r="L26">
        <f t="shared" si="0"/>
        <v>3.0672536397300001</v>
      </c>
      <c r="M26">
        <f t="shared" si="0"/>
        <v>3.1306283661649998</v>
      </c>
      <c r="N26">
        <f t="shared" si="0"/>
        <v>3.1529650506549998</v>
      </c>
      <c r="O26">
        <f t="shared" si="0"/>
        <v>3.2302564103210001</v>
      </c>
      <c r="P26">
        <f t="shared" si="0"/>
        <v>3.2436192990220003</v>
      </c>
      <c r="Q26">
        <f t="shared" si="0"/>
        <v>3.2788770374789999</v>
      </c>
      <c r="R26">
        <f t="shared" si="0"/>
        <v>3.3063838616729999</v>
      </c>
      <c r="S26">
        <f t="shared" si="0"/>
        <v>3.3198323079670002</v>
      </c>
      <c r="T26">
        <f t="shared" si="0"/>
        <v>3.3440360518440002</v>
      </c>
      <c r="U26">
        <f t="shared" si="0"/>
        <v>3.3654918530020002</v>
      </c>
      <c r="V26">
        <f t="shared" si="0"/>
        <v>3.3934557195890003</v>
      </c>
      <c r="W26">
        <f t="shared" si="0"/>
        <v>3.393246178944</v>
      </c>
      <c r="X26">
        <f t="shared" si="0"/>
        <v>3.4127880207590002</v>
      </c>
      <c r="Y26">
        <f t="shared" si="0"/>
        <v>3.4346007955919999</v>
      </c>
      <c r="Z26">
        <f t="shared" si="0"/>
        <v>3.4587606578269998</v>
      </c>
      <c r="AA26">
        <f t="shared" si="0"/>
        <v>3.4707731992799999</v>
      </c>
      <c r="AB26">
        <f t="shared" si="0"/>
        <v>3.498061776154</v>
      </c>
      <c r="AC26">
        <f t="shared" si="0"/>
        <v>3.5035986410090003</v>
      </c>
      <c r="AD26">
        <f t="shared" si="0"/>
        <v>3.5037113634280002</v>
      </c>
      <c r="AE26">
        <f t="shared" si="0"/>
        <v>3.5114114307090003</v>
      </c>
      <c r="AF26">
        <f t="shared" si="0"/>
        <v>3.5224232849820001</v>
      </c>
      <c r="AG26">
        <f t="shared" si="0"/>
        <v>3.5312421019559999</v>
      </c>
      <c r="AH26">
        <f t="shared" si="0"/>
        <v>3.5482460060530001</v>
      </c>
      <c r="AI26">
        <f t="shared" si="0"/>
        <v>3.5501543931240001</v>
      </c>
      <c r="AJ26">
        <f t="shared" si="0"/>
        <v>3.549240192249</v>
      </c>
    </row>
    <row r="27" spans="1:37" x14ac:dyDescent="0.35">
      <c r="B27">
        <f>B29-B26</f>
        <v>0.10995262163699993</v>
      </c>
      <c r="C27">
        <f>C29-C26</f>
        <v>0.13170470198699968</v>
      </c>
      <c r="D27">
        <f t="shared" ref="D27:N27" si="1">D29-D26</f>
        <v>-9.3641153849999714E-2</v>
      </c>
      <c r="E27">
        <f t="shared" si="1"/>
        <v>0.1208286618119998</v>
      </c>
      <c r="F27">
        <f t="shared" si="1"/>
        <v>0.1208286618119998</v>
      </c>
      <c r="G27">
        <f t="shared" si="1"/>
        <v>0.1208286618119998</v>
      </c>
      <c r="H27">
        <f t="shared" si="1"/>
        <v>0.1208286618119998</v>
      </c>
      <c r="I27">
        <f t="shared" si="1"/>
        <v>0.1208286618119998</v>
      </c>
      <c r="J27">
        <f t="shared" si="1"/>
        <v>0.1208286618119998</v>
      </c>
      <c r="K27">
        <f t="shared" si="1"/>
        <v>0.1208286618119998</v>
      </c>
      <c r="L27">
        <f t="shared" si="1"/>
        <v>0.1208286618119998</v>
      </c>
      <c r="M27">
        <f t="shared" si="1"/>
        <v>0.1208286618119998</v>
      </c>
      <c r="N27">
        <f t="shared" si="1"/>
        <v>0.1208286618119998</v>
      </c>
      <c r="O27">
        <f t="shared" ref="O27" si="2">O29-O26</f>
        <v>0.1208286618119998</v>
      </c>
      <c r="P27">
        <f t="shared" ref="P27" si="3">P29-P26</f>
        <v>0.1208286618119998</v>
      </c>
      <c r="Q27">
        <f t="shared" ref="Q27" si="4">Q29-Q26</f>
        <v>0.1208286618119998</v>
      </c>
      <c r="R27">
        <f t="shared" ref="R27" si="5">R29-R26</f>
        <v>0.1208286618119998</v>
      </c>
      <c r="S27">
        <f t="shared" ref="S27" si="6">S29-S26</f>
        <v>0.1208286618119998</v>
      </c>
      <c r="T27">
        <f t="shared" ref="T27" si="7">T29-T26</f>
        <v>0.1208286618119998</v>
      </c>
      <c r="U27">
        <f t="shared" ref="U27" si="8">U29-U26</f>
        <v>0.1208286618119998</v>
      </c>
      <c r="V27">
        <f t="shared" ref="V27" si="9">V29-V26</f>
        <v>-3.3934557195890003</v>
      </c>
      <c r="W27">
        <f t="shared" ref="W27" si="10">W29-W26</f>
        <v>-3.393246178944</v>
      </c>
      <c r="X27">
        <f t="shared" ref="X27:Y27" si="11">X29-X26</f>
        <v>-3.4127880207590002</v>
      </c>
      <c r="Y27">
        <f t="shared" si="11"/>
        <v>-3.4346007955919999</v>
      </c>
      <c r="Z27">
        <f t="shared" ref="Z27" si="12">Z29-Z26</f>
        <v>-3.4587606578269998</v>
      </c>
      <c r="AA27">
        <f t="shared" ref="AA27" si="13">AA29-AA26</f>
        <v>-3.4707731992799999</v>
      </c>
      <c r="AB27">
        <f t="shared" ref="AB27" si="14">AB29-AB26</f>
        <v>-3.498061776154</v>
      </c>
      <c r="AC27">
        <f t="shared" ref="AC27" si="15">AC29-AC26</f>
        <v>-3.5035986410090003</v>
      </c>
      <c r="AD27">
        <f t="shared" ref="AD27" si="16">AD29-AD26</f>
        <v>-3.5037113634280002</v>
      </c>
      <c r="AE27">
        <f t="shared" ref="AE27" si="17">AE29-AE26</f>
        <v>-3.5114114307090003</v>
      </c>
      <c r="AF27">
        <f t="shared" ref="AF27" si="18">AF29-AF26</f>
        <v>-3.5224232849820001</v>
      </c>
      <c r="AG27">
        <f t="shared" ref="AG27" si="19">AG29-AG26</f>
        <v>-3.5312421019559999</v>
      </c>
      <c r="AH27">
        <f t="shared" ref="AH27" si="20">AH29-AH26</f>
        <v>-3.5482460060530001</v>
      </c>
      <c r="AI27">
        <f t="shared" ref="AI27:AJ27" si="21">AI29-AI26</f>
        <v>-3.5501543931240001</v>
      </c>
      <c r="AJ27">
        <f t="shared" si="21"/>
        <v>-3.549240192249</v>
      </c>
    </row>
    <row r="28" spans="1:37" x14ac:dyDescent="0.35">
      <c r="B28">
        <f>1-(B26/C26)</f>
        <v>0.11137511241017117</v>
      </c>
      <c r="C28">
        <f>(C26/D26)-1</f>
        <v>-0.10572075637917022</v>
      </c>
      <c r="D28">
        <f>1-(D26/E26)</f>
        <v>7.0230261773417402E-3</v>
      </c>
      <c r="E28">
        <f t="shared" ref="E28:AI28" si="22">1-(E26/F26)</f>
        <v>2.9086129099602176E-2</v>
      </c>
      <c r="F28">
        <f t="shared" si="22"/>
        <v>7.4155334391522443E-3</v>
      </c>
      <c r="G28">
        <f t="shared" si="22"/>
        <v>2.7010417737437509E-3</v>
      </c>
      <c r="H28">
        <f t="shared" si="22"/>
        <v>1.3672717139554869E-2</v>
      </c>
      <c r="I28">
        <f t="shared" si="22"/>
        <v>1.3540407666934762E-2</v>
      </c>
      <c r="J28">
        <f t="shared" si="22"/>
        <v>1.1069526485137926E-2</v>
      </c>
      <c r="K28">
        <f t="shared" si="22"/>
        <v>8.1589019880348168E-3</v>
      </c>
      <c r="L28">
        <f t="shared" si="22"/>
        <v>2.0243452439113185E-2</v>
      </c>
      <c r="M28">
        <f t="shared" si="22"/>
        <v>7.0843425572889585E-3</v>
      </c>
      <c r="N28">
        <f t="shared" si="22"/>
        <v>2.3927314072977768E-2</v>
      </c>
      <c r="O28">
        <f t="shared" si="22"/>
        <v>4.1197463293640713E-3</v>
      </c>
      <c r="P28">
        <f t="shared" si="22"/>
        <v>1.0752991970722992E-2</v>
      </c>
      <c r="Q28">
        <f t="shared" si="22"/>
        <v>8.3193075410432638E-3</v>
      </c>
      <c r="R28">
        <f t="shared" si="22"/>
        <v>4.050941447170886E-3</v>
      </c>
      <c r="S28">
        <f t="shared" si="22"/>
        <v>7.2378836536924895E-3</v>
      </c>
      <c r="T28">
        <f t="shared" si="22"/>
        <v>6.3752349122050411E-3</v>
      </c>
      <c r="U28">
        <f t="shared" si="22"/>
        <v>8.2405279154156297E-3</v>
      </c>
      <c r="V28">
        <f t="shared" si="22"/>
        <v>-6.1752267283221585E-5</v>
      </c>
      <c r="W28">
        <f t="shared" si="22"/>
        <v>5.7260637625696775E-3</v>
      </c>
      <c r="X28">
        <f t="shared" si="22"/>
        <v>6.3508908694700494E-3</v>
      </c>
      <c r="Y28">
        <f t="shared" si="22"/>
        <v>6.9851211532452329E-3</v>
      </c>
      <c r="Z28">
        <f t="shared" si="22"/>
        <v>3.4610563016598261E-3</v>
      </c>
      <c r="AA28">
        <f t="shared" si="22"/>
        <v>7.8010563049584203E-3</v>
      </c>
      <c r="AB28">
        <f t="shared" si="22"/>
        <v>1.5803365117774693E-3</v>
      </c>
      <c r="AC28">
        <f t="shared" si="22"/>
        <v>3.2172290268084325E-5</v>
      </c>
      <c r="AD28">
        <f t="shared" si="22"/>
        <v>2.1928695719503066E-3</v>
      </c>
      <c r="AE28">
        <f t="shared" si="22"/>
        <v>3.1262155005473691E-3</v>
      </c>
      <c r="AF28">
        <f t="shared" si="22"/>
        <v>2.4973696844843296E-3</v>
      </c>
      <c r="AG28">
        <f t="shared" si="22"/>
        <v>4.7921998835461777E-3</v>
      </c>
      <c r="AH28">
        <f t="shared" si="22"/>
        <v>5.3755044419934173E-4</v>
      </c>
      <c r="AI28">
        <f t="shared" si="22"/>
        <v>-2.5757650242907992E-4</v>
      </c>
    </row>
    <row r="29" spans="1:37" x14ac:dyDescent="0.35">
      <c r="A29" s="101" t="s">
        <v>244</v>
      </c>
      <c r="B29">
        <v>2.33</v>
      </c>
      <c r="C29">
        <v>2.63</v>
      </c>
      <c r="D29">
        <v>2.7</v>
      </c>
      <c r="E29">
        <f t="shared" ref="E29:U29" si="23">E26+$B$31</f>
        <v>2.9342283956399999</v>
      </c>
      <c r="F29">
        <f t="shared" si="23"/>
        <v>3.018510750975</v>
      </c>
      <c r="G29">
        <f t="shared" si="23"/>
        <v>3.0401591437839999</v>
      </c>
      <c r="H29">
        <f t="shared" si="23"/>
        <v>3.0480657333959997</v>
      </c>
      <c r="I29">
        <f t="shared" si="23"/>
        <v>3.088643830723</v>
      </c>
      <c r="J29">
        <f t="shared" si="23"/>
        <v>3.129380853891</v>
      </c>
      <c r="K29">
        <f t="shared" si="23"/>
        <v>3.1630568797229999</v>
      </c>
      <c r="L29">
        <f t="shared" si="23"/>
        <v>3.1880823015419999</v>
      </c>
      <c r="M29">
        <f t="shared" si="23"/>
        <v>3.2514570279769996</v>
      </c>
      <c r="N29">
        <f t="shared" si="23"/>
        <v>3.2737937124669996</v>
      </c>
      <c r="O29">
        <f t="shared" si="23"/>
        <v>3.3510850721329999</v>
      </c>
      <c r="P29">
        <f t="shared" si="23"/>
        <v>3.3644479608340001</v>
      </c>
      <c r="Q29">
        <f t="shared" si="23"/>
        <v>3.3997056992909997</v>
      </c>
      <c r="R29">
        <f t="shared" si="23"/>
        <v>3.4272125234849997</v>
      </c>
      <c r="S29">
        <f t="shared" si="23"/>
        <v>3.440660969779</v>
      </c>
      <c r="T29">
        <f t="shared" si="23"/>
        <v>3.464864713656</v>
      </c>
      <c r="U29">
        <f t="shared" si="23"/>
        <v>3.486320514814</v>
      </c>
    </row>
    <row r="30" spans="1:37" x14ac:dyDescent="0.35">
      <c r="B30">
        <f>B29-B26</f>
        <v>0.10995262163699993</v>
      </c>
      <c r="C30">
        <f>C29-C26</f>
        <v>0.13170470198699968</v>
      </c>
    </row>
    <row r="31" spans="1:37" x14ac:dyDescent="0.35">
      <c r="B31">
        <f>(B30+C30)/2</f>
        <v>0.1208286618119998</v>
      </c>
    </row>
    <row r="34" spans="1:1" x14ac:dyDescent="0.35">
      <c r="A34" s="125" t="s">
        <v>246</v>
      </c>
    </row>
    <row r="35" spans="1:1" x14ac:dyDescent="0.35">
      <c r="A35" s="126" t="s">
        <v>247</v>
      </c>
    </row>
    <row r="36" spans="1:1" x14ac:dyDescent="0.35">
      <c r="A36" s="126" t="s">
        <v>248</v>
      </c>
    </row>
    <row r="37" spans="1:1" x14ac:dyDescent="0.35">
      <c r="A37" s="125" t="s">
        <v>249</v>
      </c>
    </row>
    <row r="38" spans="1:1" x14ac:dyDescent="0.35">
      <c r="A38" s="126" t="s">
        <v>250</v>
      </c>
    </row>
    <row r="39" spans="1:1" x14ac:dyDescent="0.35">
      <c r="A39" s="126" t="s">
        <v>251</v>
      </c>
    </row>
    <row r="40" spans="1:1" x14ac:dyDescent="0.35">
      <c r="A40" s="126" t="s">
        <v>252</v>
      </c>
    </row>
    <row r="41" spans="1:1" x14ac:dyDescent="0.35">
      <c r="A41" s="126" t="s">
        <v>253</v>
      </c>
    </row>
    <row r="42" spans="1:1" x14ac:dyDescent="0.35">
      <c r="A42" s="125" t="s">
        <v>254</v>
      </c>
    </row>
    <row r="43" spans="1:1" x14ac:dyDescent="0.35">
      <c r="A43" s="126" t="s">
        <v>255</v>
      </c>
    </row>
    <row r="44" spans="1:1" x14ac:dyDescent="0.35">
      <c r="A44" s="126" t="s">
        <v>256</v>
      </c>
    </row>
    <row r="45" spans="1:1" x14ac:dyDescent="0.35">
      <c r="A45" s="125" t="s">
        <v>257</v>
      </c>
    </row>
    <row r="46" spans="1:1" x14ac:dyDescent="0.35">
      <c r="A46" s="125" t="s">
        <v>258</v>
      </c>
    </row>
    <row r="47" spans="1:1" x14ac:dyDescent="0.35">
      <c r="A47" s="125" t="s">
        <v>259</v>
      </c>
    </row>
    <row r="48" spans="1:1" x14ac:dyDescent="0.35">
      <c r="A48" s="125" t="s">
        <v>260</v>
      </c>
    </row>
    <row r="49" spans="1:1" x14ac:dyDescent="0.35">
      <c r="A49" s="125" t="s">
        <v>261</v>
      </c>
    </row>
    <row r="50" spans="1:1" x14ac:dyDescent="0.35">
      <c r="A50" s="125" t="s">
        <v>262</v>
      </c>
    </row>
    <row r="51" spans="1:1" x14ac:dyDescent="0.35">
      <c r="A51" s="125" t="s">
        <v>263</v>
      </c>
    </row>
    <row r="52" spans="1:1" x14ac:dyDescent="0.35">
      <c r="A52" s="125" t="s">
        <v>264</v>
      </c>
    </row>
    <row r="53" spans="1:1" x14ac:dyDescent="0.35">
      <c r="A53" s="125" t="s">
        <v>265</v>
      </c>
    </row>
    <row r="54" spans="1:1" x14ac:dyDescent="0.35">
      <c r="A54" s="125" t="s">
        <v>266</v>
      </c>
    </row>
    <row r="55" spans="1:1" x14ac:dyDescent="0.35">
      <c r="A55" s="125" t="s">
        <v>267</v>
      </c>
    </row>
    <row r="56" spans="1:1" x14ac:dyDescent="0.35">
      <c r="A56" s="125" t="s">
        <v>268</v>
      </c>
    </row>
    <row r="57" spans="1:1" x14ac:dyDescent="0.35">
      <c r="A57" s="125" t="s">
        <v>269</v>
      </c>
    </row>
    <row r="58" spans="1:1" x14ac:dyDescent="0.35">
      <c r="A58" s="125" t="s">
        <v>270</v>
      </c>
    </row>
    <row r="59" spans="1:1" x14ac:dyDescent="0.35">
      <c r="A59" s="125" t="s">
        <v>271</v>
      </c>
    </row>
    <row r="60" spans="1:1" ht="15" thickBot="1" x14ac:dyDescent="0.4">
      <c r="A60" s="127" t="s">
        <v>272</v>
      </c>
    </row>
    <row r="61" spans="1:1" x14ac:dyDescent="0.35">
      <c r="A61" s="128"/>
    </row>
    <row r="62" spans="1:1" ht="16" thickBot="1" x14ac:dyDescent="0.4">
      <c r="A62" s="129" t="s">
        <v>273</v>
      </c>
    </row>
    <row r="63" spans="1:1" x14ac:dyDescent="0.35">
      <c r="A63" t="s">
        <v>274</v>
      </c>
    </row>
    <row r="64" spans="1:1" x14ac:dyDescent="0.35">
      <c r="A64" s="130" t="s">
        <v>161</v>
      </c>
    </row>
    <row r="65" spans="1:1" x14ac:dyDescent="0.35">
      <c r="A65" s="130" t="s">
        <v>275</v>
      </c>
    </row>
    <row r="66" spans="1:1" x14ac:dyDescent="0.35">
      <c r="A66" s="130" t="s">
        <v>276</v>
      </c>
    </row>
    <row r="67" spans="1:1" x14ac:dyDescent="0.35">
      <c r="A67" s="130" t="s">
        <v>277</v>
      </c>
    </row>
    <row r="68" spans="1:1" x14ac:dyDescent="0.35">
      <c r="A68" s="130" t="s">
        <v>278</v>
      </c>
    </row>
    <row r="69" spans="1:1" x14ac:dyDescent="0.35">
      <c r="A69" s="130" t="s">
        <v>279</v>
      </c>
    </row>
    <row r="70" spans="1:1" x14ac:dyDescent="0.35">
      <c r="A70" s="130" t="s">
        <v>280</v>
      </c>
    </row>
    <row r="71" spans="1:1" x14ac:dyDescent="0.35">
      <c r="A71" s="130" t="s">
        <v>281</v>
      </c>
    </row>
    <row r="72" spans="1:1" x14ac:dyDescent="0.35">
      <c r="A72" s="130" t="s">
        <v>282</v>
      </c>
    </row>
    <row r="73" spans="1:1" x14ac:dyDescent="0.35">
      <c r="A73" s="130" t="s">
        <v>283</v>
      </c>
    </row>
    <row r="74" spans="1:1" x14ac:dyDescent="0.35">
      <c r="A74" s="130" t="s">
        <v>284</v>
      </c>
    </row>
    <row r="75" spans="1:1" x14ac:dyDescent="0.35">
      <c r="A75" s="130" t="s">
        <v>285</v>
      </c>
    </row>
    <row r="76" spans="1:1" x14ac:dyDescent="0.35">
      <c r="A76" s="130" t="s">
        <v>286</v>
      </c>
    </row>
    <row r="77" spans="1:1" x14ac:dyDescent="0.35">
      <c r="A77" s="130" t="s">
        <v>287</v>
      </c>
    </row>
    <row r="78" spans="1:1" x14ac:dyDescent="0.35">
      <c r="A78" s="130" t="s">
        <v>288</v>
      </c>
    </row>
    <row r="79" spans="1:1" x14ac:dyDescent="0.35">
      <c r="A79" s="130" t="s">
        <v>289</v>
      </c>
    </row>
    <row r="80" spans="1:1" x14ac:dyDescent="0.35">
      <c r="A80" s="130" t="s">
        <v>290</v>
      </c>
    </row>
    <row r="81" spans="1:1" x14ac:dyDescent="0.35">
      <c r="A81" s="130" t="s">
        <v>291</v>
      </c>
    </row>
    <row r="82" spans="1:1" x14ac:dyDescent="0.35">
      <c r="A82" s="130" t="s">
        <v>292</v>
      </c>
    </row>
    <row r="83" spans="1:1" x14ac:dyDescent="0.35">
      <c r="A83" s="130" t="s">
        <v>293</v>
      </c>
    </row>
    <row r="84" spans="1:1" x14ac:dyDescent="0.35">
      <c r="A84" s="130" t="s">
        <v>294</v>
      </c>
    </row>
    <row r="85" spans="1:1" x14ac:dyDescent="0.35">
      <c r="A85" s="130" t="s">
        <v>295</v>
      </c>
    </row>
    <row r="86" spans="1:1" x14ac:dyDescent="0.35">
      <c r="A86" s="130" t="s">
        <v>296</v>
      </c>
    </row>
    <row r="87" spans="1:1" x14ac:dyDescent="0.35">
      <c r="A87" s="130" t="s">
        <v>297</v>
      </c>
    </row>
    <row r="88" spans="1:1" x14ac:dyDescent="0.35">
      <c r="A88" s="130" t="s">
        <v>298</v>
      </c>
    </row>
    <row r="89" spans="1:1" x14ac:dyDescent="0.35">
      <c r="A89" s="130" t="s">
        <v>299</v>
      </c>
    </row>
    <row r="90" spans="1:1" ht="16" thickBot="1" x14ac:dyDescent="0.4">
      <c r="A90" s="129" t="s">
        <v>300</v>
      </c>
    </row>
    <row r="91" spans="1:1" ht="16" thickBot="1" x14ac:dyDescent="0.4">
      <c r="A91" s="131" t="s">
        <v>301</v>
      </c>
    </row>
    <row r="92" spans="1:1" x14ac:dyDescent="0.35">
      <c r="A92" s="130"/>
    </row>
    <row r="93" spans="1:1" ht="15" thickBot="1" x14ac:dyDescent="0.4">
      <c r="A93" s="132"/>
    </row>
    <row r="94" spans="1:1" ht="15" thickBot="1" x14ac:dyDescent="0.4">
      <c r="A94" s="132" t="s">
        <v>302</v>
      </c>
    </row>
    <row r="95" spans="1:1" ht="15" thickBot="1" x14ac:dyDescent="0.4">
      <c r="A95" s="134" t="s">
        <v>303</v>
      </c>
    </row>
    <row r="96" spans="1:1" ht="15" thickBot="1" x14ac:dyDescent="0.4">
      <c r="A96" s="133" t="s">
        <v>304</v>
      </c>
    </row>
    <row r="97" spans="1:1" ht="15" thickBot="1" x14ac:dyDescent="0.4">
      <c r="A97" s="134" t="s">
        <v>305</v>
      </c>
    </row>
    <row r="98" spans="1:1" ht="15" thickBot="1" x14ac:dyDescent="0.4">
      <c r="A98" s="134" t="s">
        <v>306</v>
      </c>
    </row>
    <row r="99" spans="1:1" ht="15" thickBot="1" x14ac:dyDescent="0.4">
      <c r="A99" s="134" t="s">
        <v>307</v>
      </c>
    </row>
    <row r="100" spans="1:1" ht="15" thickBot="1" x14ac:dyDescent="0.4">
      <c r="A100" s="134" t="s">
        <v>308</v>
      </c>
    </row>
    <row r="101" spans="1:1" ht="15" thickBot="1" x14ac:dyDescent="0.4">
      <c r="A101" s="134" t="s">
        <v>309</v>
      </c>
    </row>
    <row r="102" spans="1:1" ht="15" thickBot="1" x14ac:dyDescent="0.4">
      <c r="A102" s="134" t="s">
        <v>310</v>
      </c>
    </row>
    <row r="103" spans="1:1" ht="15" thickBot="1" x14ac:dyDescent="0.4">
      <c r="A103" s="132" t="s">
        <v>311</v>
      </c>
    </row>
    <row r="104" spans="1:1" ht="15" thickBot="1" x14ac:dyDescent="0.4">
      <c r="A104" s="133" t="s">
        <v>304</v>
      </c>
    </row>
    <row r="105" spans="1:1" ht="15" thickBot="1" x14ac:dyDescent="0.4">
      <c r="A105" s="134" t="s">
        <v>312</v>
      </c>
    </row>
    <row r="106" spans="1:1" ht="15" thickBot="1" x14ac:dyDescent="0.4">
      <c r="A106" s="134" t="s">
        <v>313</v>
      </c>
    </row>
    <row r="107" spans="1:1" ht="15" thickBot="1" x14ac:dyDescent="0.4">
      <c r="A107" s="134" t="s">
        <v>314</v>
      </c>
    </row>
    <row r="108" spans="1:1" ht="15" thickBot="1" x14ac:dyDescent="0.4">
      <c r="A108" s="134" t="s">
        <v>315</v>
      </c>
    </row>
    <row r="109" spans="1:1" ht="15" thickBot="1" x14ac:dyDescent="0.4">
      <c r="A109" s="134" t="s">
        <v>316</v>
      </c>
    </row>
    <row r="110" spans="1:1" ht="15" thickBot="1" x14ac:dyDescent="0.4">
      <c r="A110" s="134" t="s">
        <v>317</v>
      </c>
    </row>
    <row r="111" spans="1:1" ht="15" thickBot="1" x14ac:dyDescent="0.4">
      <c r="A111" s="134" t="s">
        <v>318</v>
      </c>
    </row>
    <row r="112" spans="1:1" ht="15" thickBot="1" x14ac:dyDescent="0.4">
      <c r="A112" s="134" t="s">
        <v>319</v>
      </c>
    </row>
    <row r="113" spans="1:1" ht="15" thickBot="1" x14ac:dyDescent="0.4">
      <c r="A113" s="134" t="s">
        <v>320</v>
      </c>
    </row>
    <row r="114" spans="1:1" ht="15" thickBot="1" x14ac:dyDescent="0.4">
      <c r="A114" s="134" t="s">
        <v>321</v>
      </c>
    </row>
    <row r="115" spans="1:1" ht="15" thickBot="1" x14ac:dyDescent="0.4">
      <c r="A115" s="134" t="s">
        <v>322</v>
      </c>
    </row>
    <row r="116" spans="1:1" ht="15" thickBot="1" x14ac:dyDescent="0.4">
      <c r="A116" s="134" t="s">
        <v>323</v>
      </c>
    </row>
    <row r="117" spans="1:1" ht="15" thickBot="1" x14ac:dyDescent="0.4">
      <c r="A117" s="134" t="s">
        <v>324</v>
      </c>
    </row>
    <row r="118" spans="1:1" ht="15" thickBot="1" x14ac:dyDescent="0.4">
      <c r="A118" s="134" t="s">
        <v>325</v>
      </c>
    </row>
    <row r="119" spans="1:1" ht="15" thickBot="1" x14ac:dyDescent="0.4">
      <c r="A119" s="134" t="s">
        <v>326</v>
      </c>
    </row>
    <row r="120" spans="1:1" ht="15" thickBot="1" x14ac:dyDescent="0.4">
      <c r="A120" s="134" t="s">
        <v>327</v>
      </c>
    </row>
    <row r="121" spans="1:1" ht="15" thickBot="1" x14ac:dyDescent="0.4">
      <c r="A121" s="134" t="s">
        <v>328</v>
      </c>
    </row>
    <row r="122" spans="1:1" ht="15" thickBot="1" x14ac:dyDescent="0.4">
      <c r="A122" s="134" t="s">
        <v>329</v>
      </c>
    </row>
    <row r="123" spans="1:1" ht="15" thickBot="1" x14ac:dyDescent="0.4">
      <c r="A123" s="134" t="s">
        <v>330</v>
      </c>
    </row>
    <row r="124" spans="1:1" ht="15" thickBot="1" x14ac:dyDescent="0.4">
      <c r="A124" s="134" t="s">
        <v>331</v>
      </c>
    </row>
    <row r="125" spans="1:1" ht="15" thickBot="1" x14ac:dyDescent="0.4">
      <c r="A125" s="134" t="s">
        <v>332</v>
      </c>
    </row>
    <row r="126" spans="1:1" ht="15" thickBot="1" x14ac:dyDescent="0.4">
      <c r="A126" s="134" t="s">
        <v>333</v>
      </c>
    </row>
    <row r="127" spans="1:1" ht="15" thickBot="1" x14ac:dyDescent="0.4">
      <c r="A127" s="134" t="s">
        <v>334</v>
      </c>
    </row>
    <row r="128" spans="1:1" ht="15" thickBot="1" x14ac:dyDescent="0.4">
      <c r="A128" s="134" t="s">
        <v>335</v>
      </c>
    </row>
    <row r="129" spans="1:1" ht="15" thickBot="1" x14ac:dyDescent="0.4">
      <c r="A129" s="134" t="s">
        <v>336</v>
      </c>
    </row>
    <row r="130" spans="1:1" ht="15" thickBot="1" x14ac:dyDescent="0.4">
      <c r="A130" s="134" t="s">
        <v>337</v>
      </c>
    </row>
    <row r="131" spans="1:1" ht="15" thickBot="1" x14ac:dyDescent="0.4">
      <c r="A131" s="134" t="s">
        <v>338</v>
      </c>
    </row>
    <row r="132" spans="1:1" ht="15" thickBot="1" x14ac:dyDescent="0.4">
      <c r="A132" s="134" t="s">
        <v>339</v>
      </c>
    </row>
    <row r="133" spans="1:1" ht="15" thickBot="1" x14ac:dyDescent="0.4">
      <c r="A133" s="132" t="s">
        <v>340</v>
      </c>
    </row>
    <row r="134" spans="1:1" ht="15" thickBot="1" x14ac:dyDescent="0.4">
      <c r="A134" s="134" t="s">
        <v>305</v>
      </c>
    </row>
    <row r="135" spans="1:1" ht="15" thickBot="1" x14ac:dyDescent="0.4">
      <c r="A135" s="134" t="s">
        <v>341</v>
      </c>
    </row>
    <row r="136" spans="1:1" ht="15" thickBot="1" x14ac:dyDescent="0.4">
      <c r="A136" s="134" t="s">
        <v>342</v>
      </c>
    </row>
    <row r="137" spans="1:1" ht="15" thickBot="1" x14ac:dyDescent="0.4">
      <c r="A137" s="134" t="s">
        <v>318</v>
      </c>
    </row>
    <row r="138" spans="1:1" ht="15" thickBot="1" x14ac:dyDescent="0.4">
      <c r="A138" s="134" t="s">
        <v>319</v>
      </c>
    </row>
    <row r="139" spans="1:1" ht="15" thickBot="1" x14ac:dyDescent="0.4">
      <c r="A139" s="134" t="s">
        <v>343</v>
      </c>
    </row>
    <row r="140" spans="1:1" ht="15" thickBot="1" x14ac:dyDescent="0.4">
      <c r="A140" s="134" t="s">
        <v>344</v>
      </c>
    </row>
    <row r="141" spans="1:1" ht="15" thickBot="1" x14ac:dyDescent="0.4">
      <c r="A141" s="134" t="s">
        <v>345</v>
      </c>
    </row>
    <row r="142" spans="1:1" ht="15" thickBot="1" x14ac:dyDescent="0.4">
      <c r="A142" s="134" t="s">
        <v>346</v>
      </c>
    </row>
    <row r="143" spans="1:1" ht="15" thickBot="1" x14ac:dyDescent="0.4">
      <c r="A143" s="134" t="s">
        <v>347</v>
      </c>
    </row>
    <row r="144" spans="1:1" ht="15" thickBot="1" x14ac:dyDescent="0.4">
      <c r="A144" s="134" t="s">
        <v>348</v>
      </c>
    </row>
    <row r="145" spans="1:1" ht="15" thickBot="1" x14ac:dyDescent="0.4">
      <c r="A145" s="134" t="s">
        <v>349</v>
      </c>
    </row>
    <row r="146" spans="1:1" ht="15" thickBot="1" x14ac:dyDescent="0.4">
      <c r="A146" s="134" t="s">
        <v>350</v>
      </c>
    </row>
    <row r="147" spans="1:1" ht="15" thickBot="1" x14ac:dyDescent="0.4">
      <c r="A147" s="134" t="s">
        <v>314</v>
      </c>
    </row>
    <row r="148" spans="1:1" ht="15" thickBot="1" x14ac:dyDescent="0.4">
      <c r="A148" s="134" t="s">
        <v>351</v>
      </c>
    </row>
    <row r="149" spans="1:1" ht="15" thickBot="1" x14ac:dyDescent="0.4">
      <c r="A149" s="132" t="s">
        <v>352</v>
      </c>
    </row>
    <row r="150" spans="1:1" ht="15" thickBot="1" x14ac:dyDescent="0.4">
      <c r="A150" s="134" t="s">
        <v>306</v>
      </c>
    </row>
    <row r="151" spans="1:1" ht="15" thickBot="1" x14ac:dyDescent="0.4">
      <c r="A151" s="134" t="s">
        <v>353</v>
      </c>
    </row>
    <row r="152" spans="1:1" ht="15" thickBot="1" x14ac:dyDescent="0.4">
      <c r="A152" s="134" t="s">
        <v>341</v>
      </c>
    </row>
    <row r="153" spans="1:1" ht="15" thickBot="1" x14ac:dyDescent="0.4">
      <c r="A153" s="134" t="s">
        <v>343</v>
      </c>
    </row>
    <row r="154" spans="1:1" ht="15" thickBot="1" x14ac:dyDescent="0.4">
      <c r="A154" s="132" t="s">
        <v>354</v>
      </c>
    </row>
    <row r="155" spans="1:1" ht="15" thickBot="1" x14ac:dyDescent="0.4">
      <c r="A155" s="134" t="s">
        <v>307</v>
      </c>
    </row>
    <row r="156" spans="1:1" ht="15" thickBot="1" x14ac:dyDescent="0.4">
      <c r="A156" s="134" t="s">
        <v>355</v>
      </c>
    </row>
    <row r="157" spans="1:1" ht="15" thickBot="1" x14ac:dyDescent="0.4">
      <c r="A157" s="134" t="s">
        <v>310</v>
      </c>
    </row>
    <row r="158" spans="1:1" ht="15" thickBot="1" x14ac:dyDescent="0.4">
      <c r="A158" s="133" t="s">
        <v>304</v>
      </c>
    </row>
    <row r="159" spans="1:1" ht="15" thickBot="1" x14ac:dyDescent="0.4">
      <c r="A159" s="132" t="s">
        <v>356</v>
      </c>
    </row>
    <row r="160" spans="1:1" ht="15" thickBot="1" x14ac:dyDescent="0.4">
      <c r="A160" s="134" t="s">
        <v>341</v>
      </c>
    </row>
    <row r="161" spans="1:1" ht="15" thickBot="1" x14ac:dyDescent="0.4">
      <c r="A161" s="134" t="s">
        <v>357</v>
      </c>
    </row>
    <row r="162" spans="1:1" ht="15" thickBot="1" x14ac:dyDescent="0.4">
      <c r="A162" s="134" t="s">
        <v>343</v>
      </c>
    </row>
    <row r="163" spans="1:1" ht="15" thickBot="1" x14ac:dyDescent="0.4">
      <c r="A163" s="134" t="s">
        <v>358</v>
      </c>
    </row>
    <row r="164" spans="1:1" ht="15" thickBot="1" x14ac:dyDescent="0.4">
      <c r="A164" s="134" t="s">
        <v>359</v>
      </c>
    </row>
    <row r="165" spans="1:1" ht="15" thickBot="1" x14ac:dyDescent="0.4">
      <c r="A165" s="134" t="s">
        <v>338</v>
      </c>
    </row>
    <row r="166" spans="1:1" ht="15" thickBot="1" x14ac:dyDescent="0.4">
      <c r="A166" s="134" t="s">
        <v>360</v>
      </c>
    </row>
    <row r="167" spans="1:1" ht="15" thickBot="1" x14ac:dyDescent="0.4">
      <c r="A167" s="134" t="s">
        <v>361</v>
      </c>
    </row>
    <row r="168" spans="1:1" ht="15" thickBot="1" x14ac:dyDescent="0.4">
      <c r="A168" s="133" t="s">
        <v>304</v>
      </c>
    </row>
    <row r="169" spans="1:1" ht="15" thickBot="1" x14ac:dyDescent="0.4">
      <c r="A169" s="134" t="s">
        <v>305</v>
      </c>
    </row>
    <row r="170" spans="1:1" ht="15" thickBot="1" x14ac:dyDescent="0.4">
      <c r="A170" s="134" t="s">
        <v>306</v>
      </c>
    </row>
    <row r="171" spans="1:1" ht="15" thickBot="1" x14ac:dyDescent="0.4">
      <c r="A171" s="134" t="s">
        <v>316</v>
      </c>
    </row>
    <row r="172" spans="1:1" ht="15" thickBot="1" x14ac:dyDescent="0.4">
      <c r="A172" s="132" t="s">
        <v>362</v>
      </c>
    </row>
    <row r="173" spans="1:1" ht="15" thickBot="1" x14ac:dyDescent="0.4">
      <c r="A173" s="134" t="s">
        <v>319</v>
      </c>
    </row>
    <row r="174" spans="1:1" ht="15" thickBot="1" x14ac:dyDescent="0.4">
      <c r="A174" s="134" t="s">
        <v>363</v>
      </c>
    </row>
    <row r="175" spans="1:1" ht="15" thickBot="1" x14ac:dyDescent="0.4">
      <c r="A175" s="134" t="s">
        <v>350</v>
      </c>
    </row>
    <row r="176" spans="1:1" ht="15" thickBot="1" x14ac:dyDescent="0.4">
      <c r="A176" s="134" t="s">
        <v>303</v>
      </c>
    </row>
    <row r="177" spans="1:1" ht="15" thickBot="1" x14ac:dyDescent="0.4">
      <c r="A177" s="134" t="s">
        <v>349</v>
      </c>
    </row>
    <row r="178" spans="1:1" ht="15" thickBot="1" x14ac:dyDescent="0.4">
      <c r="A178" s="134" t="s">
        <v>364</v>
      </c>
    </row>
    <row r="179" spans="1:1" ht="15" thickBot="1" x14ac:dyDescent="0.4">
      <c r="A179" s="134" t="s">
        <v>365</v>
      </c>
    </row>
    <row r="180" spans="1:1" ht="15" thickBot="1" x14ac:dyDescent="0.4">
      <c r="A180" s="134" t="s">
        <v>366</v>
      </c>
    </row>
    <row r="181" spans="1:1" ht="15" thickBot="1" x14ac:dyDescent="0.4">
      <c r="A181" s="132" t="s">
        <v>367</v>
      </c>
    </row>
    <row r="182" spans="1:1" ht="15" thickBot="1" x14ac:dyDescent="0.4">
      <c r="A182" s="134" t="s">
        <v>317</v>
      </c>
    </row>
    <row r="183" spans="1:1" ht="15" thickBot="1" x14ac:dyDescent="0.4">
      <c r="A183" s="134" t="s">
        <v>342</v>
      </c>
    </row>
    <row r="184" spans="1:1" ht="15" thickBot="1" x14ac:dyDescent="0.4">
      <c r="A184" s="134" t="s">
        <v>318</v>
      </c>
    </row>
    <row r="185" spans="1:1" ht="15" thickBot="1" x14ac:dyDescent="0.4">
      <c r="A185" s="134" t="s">
        <v>351</v>
      </c>
    </row>
    <row r="186" spans="1:1" ht="15" thickBot="1" x14ac:dyDescent="0.4">
      <c r="A186" s="134" t="s">
        <v>303</v>
      </c>
    </row>
    <row r="187" spans="1:1" ht="15" thickBot="1" x14ac:dyDescent="0.4">
      <c r="A187" s="134" t="s">
        <v>308</v>
      </c>
    </row>
    <row r="188" spans="1:1" ht="15" thickBot="1" x14ac:dyDescent="0.4">
      <c r="A188" s="134" t="s">
        <v>344</v>
      </c>
    </row>
    <row r="189" spans="1:1" ht="15" thickBot="1" x14ac:dyDescent="0.4">
      <c r="A189" s="134" t="s">
        <v>345</v>
      </c>
    </row>
    <row r="190" spans="1:1" ht="15" thickBot="1" x14ac:dyDescent="0.4">
      <c r="A190" s="134" t="s">
        <v>346</v>
      </c>
    </row>
    <row r="191" spans="1:1" ht="15" thickBot="1" x14ac:dyDescent="0.4">
      <c r="A191" s="134" t="s">
        <v>348</v>
      </c>
    </row>
    <row r="192" spans="1:1" ht="15" thickBot="1" x14ac:dyDescent="0.4">
      <c r="A192" s="134" t="s">
        <v>368</v>
      </c>
    </row>
    <row r="193" spans="1:1" ht="15" thickBot="1" x14ac:dyDescent="0.4">
      <c r="A193" s="134" t="s">
        <v>347</v>
      </c>
    </row>
    <row r="194" spans="1:1" ht="15" thickBot="1" x14ac:dyDescent="0.4">
      <c r="A194" s="134" t="s">
        <v>339</v>
      </c>
    </row>
    <row r="195" spans="1:1" ht="15" thickBot="1" x14ac:dyDescent="0.4">
      <c r="A195" s="132" t="s">
        <v>369</v>
      </c>
    </row>
    <row r="196" spans="1:1" ht="15" thickBot="1" x14ac:dyDescent="0.4">
      <c r="A196" s="134" t="s">
        <v>321</v>
      </c>
    </row>
    <row r="197" spans="1:1" ht="15" thickBot="1" x14ac:dyDescent="0.4">
      <c r="A197" s="134" t="s">
        <v>344</v>
      </c>
    </row>
    <row r="198" spans="1:1" ht="15" thickBot="1" x14ac:dyDescent="0.4">
      <c r="A198" s="134" t="s">
        <v>342</v>
      </c>
    </row>
    <row r="199" spans="1:1" ht="15" thickBot="1" x14ac:dyDescent="0.4">
      <c r="A199" s="134" t="s">
        <v>317</v>
      </c>
    </row>
    <row r="200" spans="1:1" ht="15" thickBot="1" x14ac:dyDescent="0.4">
      <c r="A200" s="134" t="s">
        <v>314</v>
      </c>
    </row>
    <row r="201" spans="1:1" ht="15" thickBot="1" x14ac:dyDescent="0.4">
      <c r="A201" s="132" t="s">
        <v>370</v>
      </c>
    </row>
    <row r="202" spans="1:1" ht="15" thickBot="1" x14ac:dyDescent="0.4">
      <c r="A202" s="134" t="s">
        <v>338</v>
      </c>
    </row>
    <row r="203" spans="1:1" ht="15" thickBot="1" x14ac:dyDescent="0.4">
      <c r="A203" s="134" t="s">
        <v>360</v>
      </c>
    </row>
    <row r="204" spans="1:1" ht="15" thickBot="1" x14ac:dyDescent="0.4">
      <c r="A204" s="134" t="s">
        <v>316</v>
      </c>
    </row>
    <row r="205" spans="1:1" ht="15" thickBot="1" x14ac:dyDescent="0.4">
      <c r="A205" s="134" t="s">
        <v>303</v>
      </c>
    </row>
    <row r="206" spans="1:1" ht="15" thickBot="1" x14ac:dyDescent="0.4">
      <c r="A206" s="133" t="s">
        <v>304</v>
      </c>
    </row>
    <row r="207" spans="1:1" ht="15" thickBot="1" x14ac:dyDescent="0.4">
      <c r="A207" s="132" t="s">
        <v>371</v>
      </c>
    </row>
    <row r="208" spans="1:1" ht="15" thickBot="1" x14ac:dyDescent="0.4">
      <c r="A208" s="134" t="s">
        <v>308</v>
      </c>
    </row>
    <row r="209" spans="1:1" ht="15" thickBot="1" x14ac:dyDescent="0.4">
      <c r="A209" s="134" t="s">
        <v>364</v>
      </c>
    </row>
    <row r="210" spans="1:1" ht="15" thickBot="1" x14ac:dyDescent="0.4">
      <c r="A210" s="134" t="s">
        <v>365</v>
      </c>
    </row>
    <row r="211" spans="1:1" ht="15" thickBot="1" x14ac:dyDescent="0.4">
      <c r="A211" s="134" t="s">
        <v>366</v>
      </c>
    </row>
    <row r="212" spans="1:1" ht="15" thickBot="1" x14ac:dyDescent="0.4">
      <c r="A212" s="134" t="s">
        <v>361</v>
      </c>
    </row>
    <row r="213" spans="1:1" ht="15" thickBot="1" x14ac:dyDescent="0.4">
      <c r="A213" s="134" t="s">
        <v>317</v>
      </c>
    </row>
    <row r="214" spans="1:1" ht="15" thickBot="1" x14ac:dyDescent="0.4">
      <c r="A214" s="134" t="s">
        <v>348</v>
      </c>
    </row>
    <row r="215" spans="1:1" ht="15" thickBot="1" x14ac:dyDescent="0.4">
      <c r="A215" s="134" t="s">
        <v>318</v>
      </c>
    </row>
    <row r="216" spans="1:1" ht="15" thickBot="1" x14ac:dyDescent="0.4">
      <c r="A216" s="134" t="s">
        <v>368</v>
      </c>
    </row>
    <row r="217" spans="1:1" ht="15" thickBot="1" x14ac:dyDescent="0.4">
      <c r="A217" s="134" t="s">
        <v>336</v>
      </c>
    </row>
    <row r="218" spans="1:1" ht="15" thickBot="1" x14ac:dyDescent="0.4">
      <c r="A218" s="134" t="s">
        <v>372</v>
      </c>
    </row>
    <row r="219" spans="1:1" ht="15" thickBot="1" x14ac:dyDescent="0.4">
      <c r="A219" s="132" t="s">
        <v>373</v>
      </c>
    </row>
    <row r="220" spans="1:1" ht="15" thickBot="1" x14ac:dyDescent="0.4">
      <c r="A220" s="134" t="s">
        <v>312</v>
      </c>
    </row>
    <row r="221" spans="1:1" ht="15" thickBot="1" x14ac:dyDescent="0.4">
      <c r="A221" s="134" t="s">
        <v>374</v>
      </c>
    </row>
    <row r="222" spans="1:1" ht="15" thickBot="1" x14ac:dyDescent="0.4">
      <c r="A222" s="133" t="s">
        <v>304</v>
      </c>
    </row>
    <row r="223" spans="1:1" ht="15" thickBot="1" x14ac:dyDescent="0.4">
      <c r="A223" s="134" t="s">
        <v>305</v>
      </c>
    </row>
    <row r="224" spans="1:1" ht="15" thickBot="1" x14ac:dyDescent="0.4">
      <c r="A224" s="134" t="s">
        <v>306</v>
      </c>
    </row>
    <row r="225" spans="1:1" ht="15" thickBot="1" x14ac:dyDescent="0.4">
      <c r="A225" s="134" t="s">
        <v>353</v>
      </c>
    </row>
    <row r="226" spans="1:1" ht="15" thickBot="1" x14ac:dyDescent="0.4">
      <c r="A226" s="134" t="s">
        <v>316</v>
      </c>
    </row>
    <row r="227" spans="1:1" ht="15" thickBot="1" x14ac:dyDescent="0.4">
      <c r="A227" s="134" t="s">
        <v>341</v>
      </c>
    </row>
    <row r="228" spans="1:1" ht="15" thickBot="1" x14ac:dyDescent="0.4">
      <c r="A228" s="134" t="s">
        <v>317</v>
      </c>
    </row>
    <row r="229" spans="1:1" ht="15" thickBot="1" x14ac:dyDescent="0.4">
      <c r="A229" s="134" t="s">
        <v>342</v>
      </c>
    </row>
    <row r="230" spans="1:1" ht="15" thickBot="1" x14ac:dyDescent="0.4">
      <c r="A230" s="134" t="s">
        <v>318</v>
      </c>
    </row>
    <row r="231" spans="1:1" ht="15" thickBot="1" x14ac:dyDescent="0.4">
      <c r="A231" s="134" t="s">
        <v>319</v>
      </c>
    </row>
    <row r="232" spans="1:1" ht="15" thickBot="1" x14ac:dyDescent="0.4">
      <c r="A232" s="134" t="s">
        <v>343</v>
      </c>
    </row>
    <row r="233" spans="1:1" ht="15" thickBot="1" x14ac:dyDescent="0.4">
      <c r="A233" s="134" t="s">
        <v>344</v>
      </c>
    </row>
    <row r="234" spans="1:1" ht="15" thickBot="1" x14ac:dyDescent="0.4">
      <c r="A234" s="134" t="s">
        <v>339</v>
      </c>
    </row>
    <row r="235" spans="1:1" ht="15" thickBot="1" x14ac:dyDescent="0.4">
      <c r="A235" s="134" t="s">
        <v>347</v>
      </c>
    </row>
    <row r="236" spans="1:1" ht="15" thickBot="1" x14ac:dyDescent="0.4">
      <c r="A236" s="132" t="s">
        <v>375</v>
      </c>
    </row>
    <row r="237" spans="1:1" ht="15" thickBot="1" x14ac:dyDescent="0.4">
      <c r="A237" s="134" t="s">
        <v>313</v>
      </c>
    </row>
    <row r="238" spans="1:1" ht="15" thickBot="1" x14ac:dyDescent="0.4">
      <c r="A238" s="134" t="s">
        <v>320</v>
      </c>
    </row>
    <row r="239" spans="1:1" ht="15" thickBot="1" x14ac:dyDescent="0.4">
      <c r="A239" s="133" t="s">
        <v>304</v>
      </c>
    </row>
    <row r="240" spans="1:1" ht="15" thickBot="1" x14ac:dyDescent="0.4">
      <c r="A240" s="134" t="s">
        <v>305</v>
      </c>
    </row>
    <row r="241" spans="1:1" ht="15" thickBot="1" x14ac:dyDescent="0.4">
      <c r="A241" s="134" t="s">
        <v>306</v>
      </c>
    </row>
    <row r="242" spans="1:1" ht="15" thickBot="1" x14ac:dyDescent="0.4">
      <c r="A242" s="134" t="s">
        <v>353</v>
      </c>
    </row>
    <row r="243" spans="1:1" ht="15" thickBot="1" x14ac:dyDescent="0.4">
      <c r="A243" s="134" t="s">
        <v>316</v>
      </c>
    </row>
    <row r="244" spans="1:1" ht="15" thickBot="1" x14ac:dyDescent="0.4">
      <c r="A244" s="134" t="s">
        <v>341</v>
      </c>
    </row>
    <row r="245" spans="1:1" ht="15" thickBot="1" x14ac:dyDescent="0.4">
      <c r="A245" s="134" t="s">
        <v>317</v>
      </c>
    </row>
    <row r="246" spans="1:1" ht="15" thickBot="1" x14ac:dyDescent="0.4">
      <c r="A246" s="134" t="s">
        <v>342</v>
      </c>
    </row>
    <row r="247" spans="1:1" ht="15" thickBot="1" x14ac:dyDescent="0.4">
      <c r="A247" s="134" t="s">
        <v>318</v>
      </c>
    </row>
    <row r="248" spans="1:1" ht="15" thickBot="1" x14ac:dyDescent="0.4">
      <c r="A248" s="134" t="s">
        <v>319</v>
      </c>
    </row>
    <row r="249" spans="1:1" ht="15" thickBot="1" x14ac:dyDescent="0.4">
      <c r="A249" s="134" t="s">
        <v>343</v>
      </c>
    </row>
    <row r="250" spans="1:1" ht="15" thickBot="1" x14ac:dyDescent="0.4">
      <c r="A250" s="134" t="s">
        <v>339</v>
      </c>
    </row>
    <row r="251" spans="1:1" ht="15" thickBot="1" x14ac:dyDescent="0.4">
      <c r="A251" s="134" t="s">
        <v>347</v>
      </c>
    </row>
    <row r="252" spans="1:1" ht="15" thickBot="1" x14ac:dyDescent="0.4">
      <c r="A252" s="132" t="s">
        <v>376</v>
      </c>
    </row>
    <row r="253" spans="1:1" ht="15" thickBot="1" x14ac:dyDescent="0.4">
      <c r="A253" s="134" t="s">
        <v>314</v>
      </c>
    </row>
    <row r="254" spans="1:1" ht="15" thickBot="1" x14ac:dyDescent="0.4">
      <c r="A254" s="134" t="s">
        <v>316</v>
      </c>
    </row>
    <row r="255" spans="1:1" ht="15" thickBot="1" x14ac:dyDescent="0.4">
      <c r="A255" s="134" t="s">
        <v>321</v>
      </c>
    </row>
    <row r="256" spans="1:1" ht="15" thickBot="1" x14ac:dyDescent="0.4">
      <c r="A256" s="134" t="s">
        <v>322</v>
      </c>
    </row>
    <row r="257" spans="1:1" ht="15" thickBot="1" x14ac:dyDescent="0.4">
      <c r="A257" s="134" t="s">
        <v>323</v>
      </c>
    </row>
    <row r="258" spans="1:1" ht="15" thickBot="1" x14ac:dyDescent="0.4">
      <c r="A258" s="134" t="s">
        <v>324</v>
      </c>
    </row>
    <row r="259" spans="1:1" ht="15" thickBot="1" x14ac:dyDescent="0.4">
      <c r="A259" s="134" t="s">
        <v>325</v>
      </c>
    </row>
    <row r="260" spans="1:1" ht="15" thickBot="1" x14ac:dyDescent="0.4">
      <c r="A260" s="134" t="s">
        <v>326</v>
      </c>
    </row>
    <row r="261" spans="1:1" ht="15" thickBot="1" x14ac:dyDescent="0.4">
      <c r="A261" s="134" t="s">
        <v>327</v>
      </c>
    </row>
    <row r="262" spans="1:1" ht="15" thickBot="1" x14ac:dyDescent="0.4">
      <c r="A262" s="134" t="s">
        <v>328</v>
      </c>
    </row>
    <row r="263" spans="1:1" ht="15" thickBot="1" x14ac:dyDescent="0.4">
      <c r="A263" s="134" t="s">
        <v>331</v>
      </c>
    </row>
    <row r="264" spans="1:1" ht="15" thickBot="1" x14ac:dyDescent="0.4">
      <c r="A264" s="134" t="s">
        <v>329</v>
      </c>
    </row>
    <row r="265" spans="1:1" ht="15" thickBot="1" x14ac:dyDescent="0.4">
      <c r="A265" s="134" t="s">
        <v>330</v>
      </c>
    </row>
    <row r="266" spans="1:1" ht="15" thickBot="1" x14ac:dyDescent="0.4">
      <c r="A266" s="133" t="s">
        <v>304</v>
      </c>
    </row>
    <row r="267" spans="1:1" ht="15" thickBot="1" x14ac:dyDescent="0.4">
      <c r="A267" s="134" t="s">
        <v>305</v>
      </c>
    </row>
    <row r="268" spans="1:1" ht="15" thickBot="1" x14ac:dyDescent="0.4">
      <c r="A268" s="134" t="s">
        <v>306</v>
      </c>
    </row>
    <row r="269" spans="1:1" ht="15" thickBot="1" x14ac:dyDescent="0.4">
      <c r="A269" s="134" t="s">
        <v>353</v>
      </c>
    </row>
    <row r="270" spans="1:1" ht="15" thickBot="1" x14ac:dyDescent="0.4">
      <c r="A270" s="134" t="s">
        <v>341</v>
      </c>
    </row>
    <row r="271" spans="1:1" ht="15" thickBot="1" x14ac:dyDescent="0.4">
      <c r="A271" s="134" t="s">
        <v>317</v>
      </c>
    </row>
    <row r="272" spans="1:1" ht="15" thickBot="1" x14ac:dyDescent="0.4">
      <c r="A272" s="134" t="s">
        <v>342</v>
      </c>
    </row>
    <row r="273" spans="1:1" ht="15" thickBot="1" x14ac:dyDescent="0.4">
      <c r="A273" s="134" t="s">
        <v>318</v>
      </c>
    </row>
    <row r="274" spans="1:1" ht="15" thickBot="1" x14ac:dyDescent="0.4">
      <c r="A274" s="134" t="s">
        <v>319</v>
      </c>
    </row>
    <row r="275" spans="1:1" ht="15" thickBot="1" x14ac:dyDescent="0.4">
      <c r="A275" s="134" t="s">
        <v>343</v>
      </c>
    </row>
    <row r="276" spans="1:1" ht="15" thickBot="1" x14ac:dyDescent="0.4">
      <c r="A276" s="134" t="s">
        <v>339</v>
      </c>
    </row>
    <row r="277" spans="1:1" ht="15" thickBot="1" x14ac:dyDescent="0.4">
      <c r="A277" s="134" t="s">
        <v>347</v>
      </c>
    </row>
    <row r="278" spans="1:1" ht="15" thickBot="1" x14ac:dyDescent="0.4">
      <c r="A278" s="134" t="s">
        <v>355</v>
      </c>
    </row>
    <row r="279" spans="1:1" ht="15" thickBot="1" x14ac:dyDescent="0.4">
      <c r="A279" s="134" t="s">
        <v>310</v>
      </c>
    </row>
    <row r="280" spans="1:1" ht="15" thickBot="1" x14ac:dyDescent="0.4">
      <c r="A280" s="134" t="s">
        <v>307</v>
      </c>
    </row>
    <row r="281" spans="1:1" ht="15" thickBot="1" x14ac:dyDescent="0.4">
      <c r="A281" s="132" t="s">
        <v>377</v>
      </c>
    </row>
    <row r="282" spans="1:1" ht="15" thickBot="1" x14ac:dyDescent="0.4">
      <c r="A282" s="134" t="s">
        <v>315</v>
      </c>
    </row>
    <row r="283" spans="1:1" ht="15" thickBot="1" x14ac:dyDescent="0.4">
      <c r="A283" s="134" t="s">
        <v>332</v>
      </c>
    </row>
    <row r="284" spans="1:1" ht="15" thickBot="1" x14ac:dyDescent="0.4">
      <c r="A284" s="134" t="s">
        <v>333</v>
      </c>
    </row>
    <row r="285" spans="1:1" ht="15" thickBot="1" x14ac:dyDescent="0.4">
      <c r="A285" s="134" t="s">
        <v>337</v>
      </c>
    </row>
    <row r="286" spans="1:1" ht="15" thickBot="1" x14ac:dyDescent="0.4">
      <c r="A286" s="134" t="s">
        <v>334</v>
      </c>
    </row>
    <row r="287" spans="1:1" ht="15" thickBot="1" x14ac:dyDescent="0.4">
      <c r="A287" s="134" t="s">
        <v>378</v>
      </c>
    </row>
    <row r="288" spans="1:1" ht="15" thickBot="1" x14ac:dyDescent="0.4">
      <c r="A288" s="134" t="s">
        <v>379</v>
      </c>
    </row>
    <row r="289" spans="1:1" ht="15" thickBot="1" x14ac:dyDescent="0.4">
      <c r="A289" s="134" t="s">
        <v>380</v>
      </c>
    </row>
    <row r="290" spans="1:1" ht="15" thickBot="1" x14ac:dyDescent="0.4">
      <c r="A290" s="134" t="s">
        <v>381</v>
      </c>
    </row>
    <row r="291" spans="1:1" ht="15" thickBot="1" x14ac:dyDescent="0.4">
      <c r="A291" s="134" t="s">
        <v>382</v>
      </c>
    </row>
    <row r="292" spans="1:1" ht="15" thickBot="1" x14ac:dyDescent="0.4">
      <c r="A292" s="134" t="s">
        <v>335</v>
      </c>
    </row>
    <row r="293" spans="1:1" ht="15" thickBot="1" x14ac:dyDescent="0.4">
      <c r="A293" s="134" t="s">
        <v>383</v>
      </c>
    </row>
    <row r="294" spans="1:1" ht="15" thickBot="1" x14ac:dyDescent="0.4">
      <c r="A294" s="134" t="s">
        <v>384</v>
      </c>
    </row>
    <row r="295" spans="1:1" ht="15" thickBot="1" x14ac:dyDescent="0.4">
      <c r="A295" s="134" t="s">
        <v>385</v>
      </c>
    </row>
    <row r="296" spans="1:1" ht="15" thickBot="1" x14ac:dyDescent="0.4">
      <c r="A296" s="134" t="s">
        <v>336</v>
      </c>
    </row>
    <row r="297" spans="1:1" ht="15" thickBot="1" x14ac:dyDescent="0.4">
      <c r="A297" s="134" t="s">
        <v>372</v>
      </c>
    </row>
    <row r="298" spans="1:1" ht="15" thickBot="1" x14ac:dyDescent="0.4">
      <c r="A298" s="134" t="s">
        <v>386</v>
      </c>
    </row>
    <row r="299" spans="1:1" ht="15" thickBot="1" x14ac:dyDescent="0.4">
      <c r="A299" s="134" t="s">
        <v>387</v>
      </c>
    </row>
    <row r="300" spans="1:1" ht="15" thickBot="1" x14ac:dyDescent="0.4">
      <c r="A300" s="134" t="s">
        <v>388</v>
      </c>
    </row>
    <row r="301" spans="1:1" ht="15" thickBot="1" x14ac:dyDescent="0.4">
      <c r="A301" s="134" t="s">
        <v>389</v>
      </c>
    </row>
    <row r="302" spans="1:1" ht="15" thickBot="1" x14ac:dyDescent="0.4">
      <c r="A302" s="133" t="s">
        <v>304</v>
      </c>
    </row>
    <row r="303" spans="1:1" ht="15" thickBot="1" x14ac:dyDescent="0.4">
      <c r="A303" s="134" t="s">
        <v>316</v>
      </c>
    </row>
    <row r="304" spans="1:1" ht="15" thickBot="1" x14ac:dyDescent="0.4">
      <c r="A304" s="134" t="s">
        <v>306</v>
      </c>
    </row>
    <row r="305" spans="1:1" ht="15" thickBot="1" x14ac:dyDescent="0.4">
      <c r="A305" s="134" t="s">
        <v>353</v>
      </c>
    </row>
    <row r="306" spans="1:1" ht="15" thickBot="1" x14ac:dyDescent="0.4">
      <c r="A306" s="134" t="s">
        <v>341</v>
      </c>
    </row>
    <row r="307" spans="1:1" ht="15" thickBot="1" x14ac:dyDescent="0.4">
      <c r="A307" s="134" t="s">
        <v>342</v>
      </c>
    </row>
    <row r="308" spans="1:1" ht="15" thickBot="1" x14ac:dyDescent="0.4">
      <c r="A308" s="134" t="s">
        <v>344</v>
      </c>
    </row>
    <row r="309" spans="1:1" ht="15" thickBot="1" x14ac:dyDescent="0.4">
      <c r="A309" s="134" t="s">
        <v>317</v>
      </c>
    </row>
    <row r="310" spans="1:1" ht="15" thickBot="1" x14ac:dyDescent="0.4">
      <c r="A310" s="134" t="s">
        <v>318</v>
      </c>
    </row>
    <row r="311" spans="1:1" ht="15" thickBot="1" x14ac:dyDescent="0.4">
      <c r="A311" s="134" t="s">
        <v>319</v>
      </c>
    </row>
    <row r="312" spans="1:1" ht="15" thickBot="1" x14ac:dyDescent="0.4">
      <c r="A312" s="134" t="s">
        <v>343</v>
      </c>
    </row>
    <row r="313" spans="1:1" ht="15" thickBot="1" x14ac:dyDescent="0.4">
      <c r="A313" s="134" t="s">
        <v>339</v>
      </c>
    </row>
    <row r="314" spans="1:1" ht="15" thickBot="1" x14ac:dyDescent="0.4">
      <c r="A314" s="134" t="s">
        <v>347</v>
      </c>
    </row>
    <row r="315" spans="1:1" ht="15" thickBot="1" x14ac:dyDescent="0.4">
      <c r="A315" s="132" t="s">
        <v>390</v>
      </c>
    </row>
    <row r="316" spans="1:1" ht="15" thickBot="1" x14ac:dyDescent="0.4">
      <c r="A316" s="133" t="s">
        <v>304</v>
      </c>
    </row>
    <row r="317" spans="1:1" ht="15" thickBot="1" x14ac:dyDescent="0.4">
      <c r="A317" s="134" t="s">
        <v>305</v>
      </c>
    </row>
    <row r="318" spans="1:1" ht="15" thickBot="1" x14ac:dyDescent="0.4">
      <c r="A318" s="134" t="s">
        <v>306</v>
      </c>
    </row>
    <row r="319" spans="1:1" ht="15" thickBot="1" x14ac:dyDescent="0.4">
      <c r="A319" s="134" t="s">
        <v>378</v>
      </c>
    </row>
    <row r="320" spans="1:1" ht="15" thickBot="1" x14ac:dyDescent="0.4">
      <c r="A320" s="134" t="s">
        <v>343</v>
      </c>
    </row>
    <row r="321" spans="1:1" ht="15" thickBot="1" x14ac:dyDescent="0.4">
      <c r="A321" s="134" t="s">
        <v>338</v>
      </c>
    </row>
    <row r="322" spans="1:1" ht="15" thickBot="1" x14ac:dyDescent="0.4">
      <c r="A322" s="134" t="s">
        <v>344</v>
      </c>
    </row>
    <row r="323" spans="1:1" ht="15" thickBot="1" x14ac:dyDescent="0.4">
      <c r="A323" s="132" t="s">
        <v>391</v>
      </c>
    </row>
    <row r="324" spans="1:1" ht="15" thickBot="1" x14ac:dyDescent="0.4">
      <c r="A324" s="134" t="s">
        <v>358</v>
      </c>
    </row>
    <row r="325" spans="1:1" ht="15" thickBot="1" x14ac:dyDescent="0.4">
      <c r="A325" s="134" t="s">
        <v>359</v>
      </c>
    </row>
    <row r="326" spans="1:1" ht="15" thickBot="1" x14ac:dyDescent="0.4">
      <c r="A326" s="134" t="s">
        <v>345</v>
      </c>
    </row>
    <row r="327" spans="1:1" ht="15" thickBot="1" x14ac:dyDescent="0.4">
      <c r="A327" s="134" t="s">
        <v>346</v>
      </c>
    </row>
    <row r="328" spans="1:1" ht="15" thickBot="1" x14ac:dyDescent="0.4">
      <c r="A328" s="134" t="s">
        <v>339</v>
      </c>
    </row>
    <row r="329" spans="1:1" ht="15" thickBot="1" x14ac:dyDescent="0.4">
      <c r="A329" s="134" t="s">
        <v>347</v>
      </c>
    </row>
    <row r="330" spans="1:1" ht="15" thickBot="1" x14ac:dyDescent="0.4">
      <c r="A330" s="134" t="s">
        <v>368</v>
      </c>
    </row>
    <row r="331" spans="1:1" ht="15" thickBot="1" x14ac:dyDescent="0.4">
      <c r="A331" s="134" t="s">
        <v>363</v>
      </c>
    </row>
    <row r="332" spans="1:1" ht="15" thickBot="1" x14ac:dyDescent="0.4">
      <c r="A332" s="134" t="s">
        <v>350</v>
      </c>
    </row>
    <row r="333" spans="1:1" ht="15" thickBot="1" x14ac:dyDescent="0.4">
      <c r="A333" s="134" t="s">
        <v>349</v>
      </c>
    </row>
    <row r="334" spans="1:1" ht="15" thickBot="1" x14ac:dyDescent="0.4">
      <c r="A334" s="134" t="s">
        <v>310</v>
      </c>
    </row>
    <row r="335" spans="1:1" ht="15" thickBot="1" x14ac:dyDescent="0.4">
      <c r="A335" s="134" t="s">
        <v>372</v>
      </c>
    </row>
  </sheetData>
  <hyperlinks>
    <hyperlink ref="H4" r:id="rId1"/>
    <hyperlink ref="G6" r:id="rId2" location="/?id=3-AEO2019&amp;region=1-0&amp;cases=ref2019&amp;start=2017&amp;end=2050&amp;f=A&amp;linechart=ref2019-d111618a.3-3-AEO2019.1-0~ref2019-d111618a.28-3-AEO2019.1-0&amp;map=ref2019-d111618a.4-3-AEO2019.1-0&amp;ctype=linechart&amp;sourcekey=0"/>
  </hyperlinks>
  <pageMargins left="0.7" right="0.7" top="0.75" bottom="0.75" header="0.3" footer="0.3"/>
  <pageSetup orientation="portrait" r:id="rId3"/>
  <drawing r:id="rId4"/>
  <legacyDrawing r:id="rId5"/>
  <controls>
    <mc:AlternateContent xmlns:mc="http://schemas.openxmlformats.org/markup-compatibility/2006">
      <mc:Choice Requires="x14">
        <control shapeId="21505" r:id="rId6" name="Control 1">
          <controlPr defaultSize="0" autoPict="0" r:id="rId7">
            <anchor moveWithCells="1">
              <from>
                <xdr:col>0</xdr:col>
                <xdr:colOff>0</xdr:colOff>
                <xdr:row>92</xdr:row>
                <xdr:rowOff>76200</xdr:rowOff>
              </from>
              <to>
                <xdr:col>0</xdr:col>
                <xdr:colOff>914400</xdr:colOff>
                <xdr:row>93</xdr:row>
                <xdr:rowOff>114300</xdr:rowOff>
              </to>
            </anchor>
          </controlPr>
        </control>
      </mc:Choice>
      <mc:Fallback>
        <control shapeId="21505" r:id="rId6" name="Control 1"/>
      </mc:Fallback>
    </mc:AlternateContent>
  </control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9"/>
  <sheetViews>
    <sheetView topLeftCell="A3" workbookViewId="0">
      <selection activeCell="E39" sqref="E39"/>
    </sheetView>
  </sheetViews>
  <sheetFormatPr defaultRowHeight="14.5" x14ac:dyDescent="0.35"/>
  <cols>
    <col min="3" max="3" width="14.1796875" customWidth="1"/>
    <col min="5" max="5" width="11.54296875" bestFit="1" customWidth="1"/>
  </cols>
  <sheetData>
    <row r="2" spans="2:14" x14ac:dyDescent="0.35">
      <c r="B2" s="71" t="s">
        <v>85</v>
      </c>
    </row>
    <row r="16" spans="2:14" x14ac:dyDescent="0.35">
      <c r="M16">
        <v>10</v>
      </c>
      <c r="N16" t="s">
        <v>204</v>
      </c>
    </row>
    <row r="17" spans="3:14" x14ac:dyDescent="0.35">
      <c r="M17" s="11">
        <v>9985</v>
      </c>
      <c r="N17" t="s">
        <v>203</v>
      </c>
    </row>
    <row r="31" spans="3:14" x14ac:dyDescent="0.35">
      <c r="C31">
        <v>2008</v>
      </c>
    </row>
    <row r="32" spans="3:14" x14ac:dyDescent="0.35">
      <c r="C32" s="71" t="s">
        <v>86</v>
      </c>
    </row>
    <row r="34" spans="2:5" x14ac:dyDescent="0.35">
      <c r="C34" t="s">
        <v>87</v>
      </c>
    </row>
    <row r="35" spans="2:5" x14ac:dyDescent="0.35">
      <c r="B35" t="s">
        <v>88</v>
      </c>
      <c r="C35" t="s">
        <v>89</v>
      </c>
      <c r="D35" t="s">
        <v>90</v>
      </c>
      <c r="E35" t="s">
        <v>91</v>
      </c>
    </row>
    <row r="36" spans="2:5" x14ac:dyDescent="0.35">
      <c r="B36" t="s">
        <v>92</v>
      </c>
      <c r="C36" t="s">
        <v>93</v>
      </c>
      <c r="D36">
        <v>6.0999999999999999E-2</v>
      </c>
      <c r="E36">
        <v>2.4500000000000001E-2</v>
      </c>
    </row>
    <row r="37" spans="2:5" x14ac:dyDescent="0.35">
      <c r="B37" s="2" t="s">
        <v>94</v>
      </c>
      <c r="C37" t="s">
        <v>95</v>
      </c>
      <c r="D37">
        <v>3.1600000000000003E-2</v>
      </c>
      <c r="E37">
        <v>3.0999999999999999E-3</v>
      </c>
    </row>
    <row r="39" spans="2:5" x14ac:dyDescent="0.35">
      <c r="D39" s="2" t="s">
        <v>96</v>
      </c>
      <c r="E39" s="12">
        <f>E37*'EV Phase-in CBA '!X8</f>
        <v>43923.016499999998</v>
      </c>
    </row>
  </sheetData>
  <hyperlinks>
    <hyperlink ref="B2" r:id="rId1"/>
    <hyperlink ref="C32" r:id="rId2"/>
  </hyperlinks>
  <pageMargins left="0.7" right="0.7" top="0.75" bottom="0.75" header="0.3" footer="0.3"/>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34"/>
  <sheetViews>
    <sheetView topLeftCell="A10" workbookViewId="0">
      <selection activeCell="K25" sqref="K25"/>
    </sheetView>
  </sheetViews>
  <sheetFormatPr defaultRowHeight="14.5" x14ac:dyDescent="0.35"/>
  <sheetData>
    <row r="2" spans="8:12" x14ac:dyDescent="0.35">
      <c r="H2" s="69" t="s">
        <v>66</v>
      </c>
      <c r="K2" s="71" t="s">
        <v>67</v>
      </c>
    </row>
    <row r="3" spans="8:12" ht="17.5" x14ac:dyDescent="0.35">
      <c r="L3" s="70"/>
    </row>
    <row r="28" spans="3:12" x14ac:dyDescent="0.35">
      <c r="L28" t="s">
        <v>72</v>
      </c>
    </row>
    <row r="32" spans="3:12" x14ac:dyDescent="0.35">
      <c r="C32" s="68" t="s">
        <v>65</v>
      </c>
    </row>
    <row r="33" spans="2:8" x14ac:dyDescent="0.35">
      <c r="D33" t="s">
        <v>68</v>
      </c>
      <c r="F33" t="s">
        <v>70</v>
      </c>
      <c r="H33" t="s">
        <v>71</v>
      </c>
    </row>
    <row r="34" spans="2:8" x14ac:dyDescent="0.35">
      <c r="B34" t="s">
        <v>69</v>
      </c>
      <c r="D34" s="5">
        <v>400</v>
      </c>
      <c r="F34" s="5">
        <v>800</v>
      </c>
    </row>
  </sheetData>
  <hyperlinks>
    <hyperlink ref="K2" r:id="rId1"/>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Category xmlns="f8d4342b-6093-4203-94fe-15d5f4f477b7">ROI</Category>
    <Business_x0020_Area xmlns="f8d4342b-6093-4203-94fe-15d5f4f477b7">Fleet</Business_x0020_Area>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B717B9447C5444391444A1B3C3F374E" ma:contentTypeVersion="6" ma:contentTypeDescription="Create a new document." ma:contentTypeScope="" ma:versionID="19677abe9baee156cf4b144e92fbddbe">
  <xsd:schema xmlns:xsd="http://www.w3.org/2001/XMLSchema" xmlns:xs="http://www.w3.org/2001/XMLSchema" xmlns:p="http://schemas.microsoft.com/office/2006/metadata/properties" xmlns:ns1="http://schemas.microsoft.com/sharepoint/v3" xmlns:ns2="f8d4342b-6093-4203-94fe-15d5f4f477b7" xmlns:ns3="c11a4dd1-9999-41de-ad6b-508521c3559d" targetNamespace="http://schemas.microsoft.com/office/2006/metadata/properties" ma:root="true" ma:fieldsID="15ceda77dcaa0b149f01f6c867f3546d" ns1:_="" ns2:_="" ns3:_="">
    <xsd:import namespace="http://schemas.microsoft.com/sharepoint/v3"/>
    <xsd:import namespace="f8d4342b-6093-4203-94fe-15d5f4f477b7"/>
    <xsd:import namespace="c11a4dd1-9999-41de-ad6b-508521c3559d"/>
    <xsd:element name="properties">
      <xsd:complexType>
        <xsd:sequence>
          <xsd:element name="documentManagement">
            <xsd:complexType>
              <xsd:all>
                <xsd:element ref="ns1:PublishingStartDate" minOccurs="0"/>
                <xsd:element ref="ns1:PublishingExpirationDate" minOccurs="0"/>
                <xsd:element ref="ns2:Business_x0020_Area" minOccurs="0"/>
                <xsd:element ref="ns2:Categor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d4342b-6093-4203-94fe-15d5f4f477b7" elementFormDefault="qualified">
    <xsd:import namespace="http://schemas.microsoft.com/office/2006/documentManagement/types"/>
    <xsd:import namespace="http://schemas.microsoft.com/office/infopath/2007/PartnerControls"/>
    <xsd:element name="Business_x0020_Area" ma:index="10" nillable="true" ma:displayName="Business Area" ma:format="Dropdown" ma:internalName="Business_x0020_Area">
      <xsd:simpleType>
        <xsd:restriction base="dms:Choice">
          <xsd:enumeration value="Fleet"/>
          <xsd:enumeration value="Parking"/>
          <xsd:enumeration value="Misc."/>
        </xsd:restriction>
      </xsd:simpleType>
    </xsd:element>
    <xsd:element name="Category" ma:index="11" nillable="true" ma:displayName="Category" ma:format="Dropdown" ma:internalName="Category">
      <xsd:simpleType>
        <xsd:restriction base="dms:Choice">
          <xsd:enumeration value="Form"/>
          <xsd:enumeration value="Map"/>
          <xsd:enumeration value="Fuel"/>
          <xsd:enumeration value="Maintenance"/>
          <xsd:enumeration value="Commute"/>
          <xsd:enumeration value="SLA"/>
          <xsd:enumeration value="Misc."/>
          <xsd:enumeration value="Project"/>
          <xsd:enumeration value="Policy"/>
          <xsd:enumeration value="Rates"/>
          <xsd:enumeration value="ROI"/>
          <xsd:enumeration value="Portal"/>
        </xsd:restriction>
      </xsd:simple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CA172E-6674-4F57-8196-DC1A6AF7AA72}"/>
</file>

<file path=customXml/itemProps2.xml><?xml version="1.0" encoding="utf-8"?>
<ds:datastoreItem xmlns:ds="http://schemas.openxmlformats.org/officeDocument/2006/customXml" ds:itemID="{D8FA97A6-59F9-4924-B343-3F8072B3E067}"/>
</file>

<file path=customXml/itemProps3.xml><?xml version="1.0" encoding="utf-8"?>
<ds:datastoreItem xmlns:ds="http://schemas.openxmlformats.org/officeDocument/2006/customXml" ds:itemID="{098E61C5-8E1F-433C-8542-922E518D788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 Page</vt:lpstr>
      <vt:lpstr>EV Phase-in CBA </vt:lpstr>
      <vt:lpstr>Est Charger #'s and cost</vt:lpstr>
      <vt:lpstr>GHG emissions</vt:lpstr>
      <vt:lpstr>Veh Annual Costs</vt:lpstr>
      <vt:lpstr>2019 AEO Fuel Price</vt:lpstr>
      <vt:lpstr>Est Pollutant Costs</vt:lpstr>
      <vt:lpstr>Projected Veh Costs</vt:lpstr>
    </vt:vector>
  </TitlesOfParts>
  <Company>State of Oregon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Long-term ZEV ROI and infrastructure cost tool</dc:title>
  <dc:creator>KING Brian * EAM</dc:creator>
  <cp:lastModifiedBy>DUNCAN Inga C * DAS</cp:lastModifiedBy>
  <dcterms:created xsi:type="dcterms:W3CDTF">2017-10-10T23:53:27Z</dcterms:created>
  <dcterms:modified xsi:type="dcterms:W3CDTF">2019-12-02T21:41:17Z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0x0101001B717B9447C5444391444A1B3C3F374E</vt:lpwstr>
  </property>
</Properties>
</file>