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drawings/drawing3.xml" ContentType="application/vnd.openxmlformats-officedocument.drawingml.chartshapes+xml"/>
  <Override PartName="/xl/drawings/drawing2.xml" ContentType="application/vnd.openxmlformats-officedocument.drawingml.chartshapes+xml"/>
  <Override PartName="/xl/drawings/drawing7.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harts/colors6.xml" ContentType="application/vnd.ms-office.chartcolorsty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2.xml" ContentType="application/vnd.openxmlformats-officedocument.spreadsheetml.pivotTable+xml"/>
  <Override PartName="/xl/drawings/drawing5.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harts/colors19.xml" ContentType="application/vnd.ms-office.chartcolorstyle+xml"/>
  <Override PartName="/xl/drawings/drawing6.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pivotTables/pivotTable7.xml" ContentType="application/vnd.openxmlformats-officedocument.spreadsheetml.pivotTable+xml"/>
  <Override PartName="/xl/drawings/drawing8.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28.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connections.xml" ContentType="application/vnd.openxmlformats-officedocument.spreadsheetml.connection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Wpdasclr05c\coo\OEA\Clean Fuels\2023 Forecast\"/>
    </mc:Choice>
  </mc:AlternateContent>
  <xr:revisionPtr revIDLastSave="0" documentId="13_ncr:1_{9365DDE6-C1DB-418B-8C3D-49AC7F6773FB}" xr6:coauthVersionLast="47" xr6:coauthVersionMax="47" xr10:uidLastSave="{00000000-0000-0000-0000-000000000000}"/>
  <bookViews>
    <workbookView xWindow="-120" yWindow="-120" windowWidth="29040" windowHeight="15840" tabRatio="870" activeTab="1" xr2:uid="{00000000-000D-0000-FFFF-FFFF00000000}"/>
  </bookViews>
  <sheets>
    <sheet name="Intro" sheetId="30" r:id="rId1"/>
    <sheet name="Forecast_Main" sheetId="13" r:id="rId2"/>
    <sheet name="Table 1 - Volumes" sheetId="19" r:id="rId3"/>
    <sheet name="Table 3+4 - Credit" sheetId="26" r:id="rId4"/>
    <sheet name="CI Trend" sheetId="29" r:id="rId5"/>
    <sheet name="CI Facility" sheetId="23" r:id="rId6"/>
    <sheet name="Electric Vehicles" sheetId="9" r:id="rId7"/>
    <sheet name="AEO Pacific" sheetId="16" r:id="rId8"/>
    <sheet name="AEO Renewable" sheetId="18" r:id="rId9"/>
    <sheet name="Constants Pivot" sheetId="22" r:id="rId10"/>
    <sheet name="Constants_out" sheetId="25" r:id="rId11"/>
    <sheet name="Growth Rate Tables" sheetId="17" r:id="rId12"/>
    <sheet name="Charts" sheetId="28" r:id="rId13"/>
  </sheets>
  <externalReferences>
    <externalReference r:id="rId14"/>
  </externalReferences>
  <definedNames>
    <definedName name="BR_bgs_T0">'Constants Pivot'!$C$42</definedName>
    <definedName name="BR_bgs_T1">'Constants Pivot'!$D$42</definedName>
    <definedName name="BR_bgs_T2">'Constants Pivot'!$F$42</definedName>
    <definedName name="BR_bio_T0">'Constants Pivot'!$C$41</definedName>
    <definedName name="BR_bio_T1">'Constants Pivot'!$D$41</definedName>
    <definedName name="BR_bio_T2">'Constants Pivot'!$F$41</definedName>
    <definedName name="BR_eth_T0">'Constants Pivot'!$C$40</definedName>
    <definedName name="BR_eth_T1">'Constants Pivot'!$D$40</definedName>
    <definedName name="BR_eth_T2">'Constants Pivot'!$F$40</definedName>
    <definedName name="BR_ren_T0">'Constants Pivot'!$C$43</definedName>
    <definedName name="BR_ren_T1">'Constants Pivot'!$D$43</definedName>
    <definedName name="BR_ren_T2">'Constants Pivot'!$F$43</definedName>
    <definedName name="CIA_bgs_T0">'Constants Pivot'!$C$26</definedName>
    <definedName name="CIA_bgs_T1">'Constants Pivot'!$D$26</definedName>
    <definedName name="CIA_bgs_T2">'Constants Pivot'!$F$26</definedName>
    <definedName name="CIA_bio_T0">'Constants Pivot'!$C$25</definedName>
    <definedName name="CIA_Bio_T1">'Constants Pivot'!$D$25</definedName>
    <definedName name="CIA_bio_T2">'Constants Pivot'!$F$25</definedName>
    <definedName name="CIA_cbob_T0">'Constants Pivot'!$C$31</definedName>
    <definedName name="CIA_cbob_T1">'Constants Pivot'!$E$31</definedName>
    <definedName name="CIA_cbob_T2">'Constants Pivot'!$G$31</definedName>
    <definedName name="CIA_die_T0">'Constants Pivot'!$C$24</definedName>
    <definedName name="CIA_die_T1">'Constants Pivot'!$E$24</definedName>
    <definedName name="CIA_die_T2">'Constants Pivot'!$G$24</definedName>
    <definedName name="CIA_E10_T0">'Constants Pivot'!$C$22</definedName>
    <definedName name="CIA_E10_T1">'Constants Pivot'!$E$22</definedName>
    <definedName name="CIA_E10_T2">'Constants Pivot'!$G$22</definedName>
    <definedName name="CIA_eon_T0">'Constants Pivot'!$C$28</definedName>
    <definedName name="CIA_eon_T1">'Constants Pivot'!$E$28</definedName>
    <definedName name="CIA_eon_T2">'Constants Pivot'!$G$28</definedName>
    <definedName name="CIA_Eth_T0">'Constants Pivot'!$C$23</definedName>
    <definedName name="CIA_eth_T1">'Constants Pivot'!$D$23</definedName>
    <definedName name="CIA_eth_T2">'Constants Pivot'!$F$23</definedName>
    <definedName name="CIA_fcg_T0">'Constants Pivot'!$C$29</definedName>
    <definedName name="CIA_fcg_T1">'Constants Pivot'!$E$29</definedName>
    <definedName name="CIA_fcg_T2">'Constants Pivot'!$G$29</definedName>
    <definedName name="CIA_gas_T0">'Constants Pivot'!$C$21</definedName>
    <definedName name="CIA_gas_T1">'Constants Pivot'!$E$21</definedName>
    <definedName name="CIA_gas_T2">'Constants Pivot'!$G$21</definedName>
    <definedName name="CIA_lp_T0">'Constants Pivot'!$C$30</definedName>
    <definedName name="CIA_lp_T1">'Constants Pivot'!$E$30</definedName>
    <definedName name="CIA_lp_T2">'Constants Pivot'!$G$30</definedName>
    <definedName name="CIA_ren_T0">'Constants Pivot'!$C$27</definedName>
    <definedName name="CIA_ren_T1">'Constants Pivot'!$D$27</definedName>
    <definedName name="CIA_ren_T2">'Constants Pivot'!$F$27</definedName>
    <definedName name="CIT_die_T0">'Constants Pivot'!$C$19</definedName>
    <definedName name="CIT_die_T1">'Constants Pivot'!$E$19</definedName>
    <definedName name="CIT_die_T2">'Constants Pivot'!$G$19</definedName>
    <definedName name="CIT_gas_T0">'Constants Pivot'!$C$18</definedName>
    <definedName name="CIT_gas_T1">'Constants Pivot'!$E$18</definedName>
    <definedName name="CIT_gas_T2">'Constants Pivot'!$G$18</definedName>
    <definedName name="CIT_jf_T0">'Constants Pivot'!$C$20</definedName>
    <definedName name="CIT_jf_T1">'Constants Pivot'!$E$20</definedName>
    <definedName name="CIT_jf_T2">'Constants Pivot'!$G$20</definedName>
    <definedName name="constants_data_out">Constants_out!$A$1:$E$52</definedName>
    <definedName name="ED_Bio_T0">'Constants Pivot'!$C$10</definedName>
    <definedName name="ED_bio_T1">'Constants Pivot'!$E$10</definedName>
    <definedName name="ED_bio_T2">'Constants Pivot'!$G$10</definedName>
    <definedName name="ED_die_T0">'Constants Pivot'!$C$9</definedName>
    <definedName name="ED_die_T1">'Constants Pivot'!$E$9</definedName>
    <definedName name="ED_die_T2">'Constants Pivot'!$G$9</definedName>
    <definedName name="ED_E10_T0">'Constants Pivot'!$C$7</definedName>
    <definedName name="ED_E10_T1">'Constants Pivot'!$E$7</definedName>
    <definedName name="ED_E10_T2">'Constants Pivot'!$G$7</definedName>
    <definedName name="ED_eon_T0">'Constants Pivot'!$C$12</definedName>
    <definedName name="ED_eon_T1">'Constants Pivot'!$E$12</definedName>
    <definedName name="ED_eon_T2">'Constants Pivot'!$G$12</definedName>
    <definedName name="ED_eth_T0">'Constants Pivot'!$C$8</definedName>
    <definedName name="ED_eth_T1">'Constants Pivot'!$E$8</definedName>
    <definedName name="ED_eth_T2">'Constants Pivot'!$G$8</definedName>
    <definedName name="ED_fcg_T0">'Constants Pivot'!$C$13</definedName>
    <definedName name="ED_fcg_T1">'Constants Pivot'!$E$13</definedName>
    <definedName name="ED_fcg_T2">'Constants Pivot'!$G$13</definedName>
    <definedName name="ED_flg_T0">'Constants Pivot'!$C$14</definedName>
    <definedName name="ED_flg_T1">'Constants Pivot'!$E$14</definedName>
    <definedName name="ED_flg_T2">'Constants Pivot'!$G$14</definedName>
    <definedName name="ED_gas_2018">'Constants Pivot'!$H$6</definedName>
    <definedName name="ED_gas_T0">'Constants Pivot'!$C$6</definedName>
    <definedName name="ED_gas_T1">'Constants Pivot'!$E$6</definedName>
    <definedName name="ED_gas_T2">'Constants Pivot'!$G$6</definedName>
    <definedName name="ED_hyd_T0">'Constants Pivot'!$C$16</definedName>
    <definedName name="ED_hyd_T1">'Constants Pivot'!$E$16</definedName>
    <definedName name="ED_hyd_T2">'Constants Pivot'!$G$16</definedName>
    <definedName name="ED_jf_T0">'Constants Pivot'!$C$17</definedName>
    <definedName name="ED_jf_T1">'Constants Pivot'!$E$17</definedName>
    <definedName name="ED_jf_T2">'Constants Pivot'!$G$17</definedName>
    <definedName name="ED_lp_T0">'Constants Pivot'!$C$15</definedName>
    <definedName name="ED_lp_T1">'Constants Pivot'!$E$15</definedName>
    <definedName name="ED_lp_T2">'Constants Pivot'!$G$15</definedName>
    <definedName name="ED_ren_T0">'Constants Pivot'!$C$11</definedName>
    <definedName name="ED_ren_T1">'Constants Pivot'!$E$11</definedName>
    <definedName name="ED_ren_T2">'Constants Pivot'!$G$11</definedName>
    <definedName name="EEReon_T0">'Constants Pivot'!$C$33</definedName>
    <definedName name="EEReon_T1">'Constants Pivot'!$E$33</definedName>
    <definedName name="EEReon_T2">'Constants Pivot'!$G$33</definedName>
    <definedName name="EERng_T0">'Constants Pivot'!$C$34</definedName>
    <definedName name="EERng_T1">'Constants Pivot'!$E$34</definedName>
    <definedName name="EERng_T2">'Constants Pivot'!$G$34</definedName>
    <definedName name="GR_die_T0">'Constants Pivot'!$C$36</definedName>
    <definedName name="GR_die_T1">'Constants Pivot'!$D$36</definedName>
    <definedName name="GR_die_T2">'Constants Pivot'!$F$36</definedName>
    <definedName name="GR_eof_T0">'Constants Pivot'!$C$38</definedName>
    <definedName name="GR_eof_T1">'Constants Pivot'!$D$38</definedName>
    <definedName name="GR_eof_T2">'Constants Pivot'!$F$38</definedName>
    <definedName name="GR_gas_T0">'Constants Pivot'!$C$35</definedName>
    <definedName name="GR_gas_T1">'Constants Pivot'!$D$35</definedName>
    <definedName name="GR_gas_T2">'Constants Pivot'!$F$35</definedName>
    <definedName name="GR_lp_T0">'Constants Pivot'!$C$37</definedName>
    <definedName name="GR_lp_T1">'Constants Pivot'!$D$37</definedName>
    <definedName name="GR_lp_T2">'Constants Pivot'!$F$37</definedName>
    <definedName name="GR_ng_T0">'Constants Pivot'!$C$39</definedName>
    <definedName name="GR_ng_T1">'Constants Pivot'!$D$39</definedName>
    <definedName name="GR_ng_T2">'Constants Pivot'!$F$39</definedName>
    <definedName name="KWh_T0">'Constants Pivot'!$C$32</definedName>
    <definedName name="KWh_T1">'Constants Pivot'!$D$32</definedName>
    <definedName name="KWh_T2">'Constants Pivot'!$F$32</definedName>
  </definedNames>
  <calcPr calcId="191029"/>
  <pivotCaches>
    <pivotCache cacheId="92" r:id="rId15"/>
    <pivotCache cacheId="93" r:id="rId16"/>
    <pivotCache cacheId="94" r:id="rId17"/>
    <pivotCache cacheId="95" r:id="rId1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98" i="13" l="1"/>
  <c r="AL98" i="13"/>
  <c r="AM98" i="13"/>
  <c r="AJ98" i="13"/>
  <c r="AG98" i="13"/>
  <c r="AH98" i="13"/>
  <c r="AI98" i="13"/>
  <c r="AF98" i="13"/>
  <c r="AE98" i="13"/>
  <c r="D102" i="9"/>
  <c r="B102" i="9"/>
  <c r="D101" i="9"/>
  <c r="C101" i="9"/>
  <c r="B101" i="9"/>
  <c r="I158" i="13"/>
  <c r="J158" i="13"/>
  <c r="K158" i="13"/>
  <c r="L158" i="13"/>
  <c r="M158" i="13"/>
  <c r="N158" i="13"/>
  <c r="O158" i="13"/>
  <c r="P158" i="13"/>
  <c r="Q158" i="13"/>
  <c r="R158" i="13"/>
  <c r="S158" i="13"/>
  <c r="T158" i="13"/>
  <c r="U158" i="13"/>
  <c r="V158" i="13"/>
  <c r="W158" i="13"/>
  <c r="X158" i="13"/>
  <c r="Y158" i="13"/>
  <c r="Z158" i="13"/>
  <c r="AA158" i="13"/>
  <c r="AB158" i="13"/>
  <c r="AC158" i="13"/>
  <c r="AD158" i="13"/>
  <c r="AE158" i="13"/>
  <c r="AF158" i="13"/>
  <c r="AG158" i="13"/>
  <c r="AH158" i="13"/>
  <c r="AI158" i="13"/>
  <c r="AJ158" i="13"/>
  <c r="AK158" i="13"/>
  <c r="AL158" i="13"/>
  <c r="AM158" i="13"/>
  <c r="H158" i="13"/>
  <c r="AF93" i="13"/>
  <c r="AG90" i="13" a="1"/>
  <c r="AG90" i="13" s="1"/>
  <c r="AF90" i="13" a="1"/>
  <c r="AF90" i="13" s="1"/>
  <c r="AH90" i="13" l="1" a="1"/>
  <c r="AH90" i="13" s="1"/>
  <c r="AG93" i="13"/>
  <c r="AI90" i="13" l="1" a="1"/>
  <c r="AI90" i="13" s="1"/>
  <c r="AI93" i="13" s="1"/>
  <c r="AH93" i="13"/>
  <c r="AJ90" i="13" l="1" a="1"/>
  <c r="AJ90" i="13" s="1"/>
  <c r="AJ93" i="13" s="1"/>
  <c r="AK90" i="13" l="1" a="1"/>
  <c r="AK90" i="13" s="1"/>
  <c r="AK93" i="13" s="1"/>
  <c r="AL90" i="13" l="1" a="1"/>
  <c r="AL90" i="13" s="1"/>
  <c r="AM90" i="13" s="1" a="1"/>
  <c r="AM90" i="13" s="1"/>
  <c r="AM93" i="13"/>
  <c r="AL93" i="13"/>
  <c r="AG97" i="13" l="1"/>
  <c r="AH97" i="13"/>
  <c r="AI97" i="13"/>
  <c r="AJ97" i="13"/>
  <c r="AK97" i="13"/>
  <c r="AL97" i="13"/>
  <c r="AM97" i="13"/>
  <c r="AF97" i="13"/>
  <c r="AF96" i="13" a="1"/>
  <c r="AF96" i="13" s="1"/>
  <c r="AG96" i="13" s="1" a="1"/>
  <c r="AG96" i="13" s="1"/>
  <c r="AF121" i="13"/>
  <c r="AE96" i="13"/>
  <c r="AD96" i="13"/>
  <c r="AC96" i="13"/>
  <c r="AB96" i="13"/>
  <c r="AA96" i="13"/>
  <c r="Z96" i="13"/>
  <c r="Y96" i="13"/>
  <c r="X96" i="13"/>
  <c r="W96" i="13"/>
  <c r="V96" i="13"/>
  <c r="U96" i="13"/>
  <c r="T96" i="13"/>
  <c r="S96" i="13"/>
  <c r="R96" i="13"/>
  <c r="Q96" i="13"/>
  <c r="P96" i="13"/>
  <c r="O96" i="13"/>
  <c r="N96" i="13"/>
  <c r="M96" i="13"/>
  <c r="L96" i="13"/>
  <c r="K96" i="13"/>
  <c r="J96" i="13"/>
  <c r="I96" i="13"/>
  <c r="H96" i="13"/>
  <c r="AF131" i="13"/>
  <c r="AF114" i="13" s="1"/>
  <c r="AF132" i="13"/>
  <c r="AF133" i="13"/>
  <c r="AF118" i="13" s="1"/>
  <c r="AF134" i="13"/>
  <c r="AF135" i="13"/>
  <c r="AF136" i="13"/>
  <c r="AF137" i="13"/>
  <c r="AF138" i="13"/>
  <c r="AF139" i="13"/>
  <c r="AF120" i="13" s="1"/>
  <c r="AF140" i="13"/>
  <c r="AF141" i="13"/>
  <c r="AF142" i="13"/>
  <c r="AF143" i="13"/>
  <c r="AF122" i="13" s="1"/>
  <c r="AF144" i="13"/>
  <c r="AF145" i="13"/>
  <c r="AF146" i="13"/>
  <c r="AF147" i="13"/>
  <c r="AF148" i="13"/>
  <c r="AF149" i="13"/>
  <c r="AF150" i="13"/>
  <c r="AF152" i="13"/>
  <c r="AN17" i="26"/>
  <c r="AG36" i="13" a="1"/>
  <c r="AG36" i="13" s="1"/>
  <c r="AG121" i="13" s="1"/>
  <c r="AH96" i="13" l="1" a="1"/>
  <c r="AH96" i="13" s="1"/>
  <c r="AF119" i="13"/>
  <c r="AF115" i="13"/>
  <c r="AF116" i="13" s="1"/>
  <c r="AF124" i="13"/>
  <c r="AF153" i="13"/>
  <c r="AF123" i="13"/>
  <c r="AH36" i="13" a="1"/>
  <c r="AH36" i="13" s="1"/>
  <c r="AI96" i="13" l="1" a="1"/>
  <c r="AI96" i="13" s="1"/>
  <c r="AF125" i="13"/>
  <c r="AF127" i="13" s="1"/>
  <c r="AI36" i="13" a="1"/>
  <c r="AI36" i="13" s="1"/>
  <c r="AI121" i="13" s="1"/>
  <c r="AH121" i="13"/>
  <c r="AJ96" i="13" l="1" a="1"/>
  <c r="AJ96" i="13" s="1"/>
  <c r="AJ36" i="13" a="1"/>
  <c r="AJ36" i="13" s="1"/>
  <c r="AJ121" i="13" s="1"/>
  <c r="AK96" i="13" l="1" a="1"/>
  <c r="AK96" i="13" s="1"/>
  <c r="AK36" i="13" a="1"/>
  <c r="AK36" i="13" s="1"/>
  <c r="AL36" i="13" s="1" a="1"/>
  <c r="AL36" i="13" s="1"/>
  <c r="AL121" i="13" s="1"/>
  <c r="AK121" i="13" l="1"/>
  <c r="AL96" i="13" a="1"/>
  <c r="AL96" i="13" s="1"/>
  <c r="AM36" i="13" a="1"/>
  <c r="AM36" i="13" s="1"/>
  <c r="AM121" i="13" s="1"/>
  <c r="U29" i="22"/>
  <c r="C102" i="9"/>
  <c r="F41" i="9"/>
  <c r="G41" i="9"/>
  <c r="C41" i="9"/>
  <c r="D41" i="9"/>
  <c r="AM96" i="13" l="1" a="1"/>
  <c r="AM96" i="13" s="1"/>
  <c r="J98" i="23"/>
  <c r="F92" i="23"/>
  <c r="F93" i="23"/>
  <c r="F94" i="23"/>
  <c r="F95" i="23"/>
  <c r="F96" i="23"/>
  <c r="F97" i="23"/>
  <c r="F98" i="23"/>
  <c r="F91" i="23"/>
  <c r="AN96" i="13" l="1"/>
  <c r="J41" i="17"/>
  <c r="I41" i="17"/>
  <c r="H41" i="17"/>
  <c r="G41" i="17"/>
  <c r="F41" i="17"/>
  <c r="E41" i="17"/>
  <c r="D41" i="17"/>
  <c r="C41" i="17"/>
  <c r="B41" i="17"/>
  <c r="G36" i="17"/>
  <c r="H36" i="17"/>
  <c r="I36" i="17"/>
  <c r="J36" i="17"/>
  <c r="F36" i="17"/>
  <c r="J37" i="17"/>
  <c r="J17" i="17"/>
  <c r="J29" i="17" s="1"/>
  <c r="I17" i="17"/>
  <c r="J52" i="17"/>
  <c r="J46" i="17"/>
  <c r="J28" i="17"/>
  <c r="J21" i="17"/>
  <c r="J16" i="17"/>
  <c r="J9" i="17"/>
  <c r="J5" i="17"/>
  <c r="J10" i="17" s="1"/>
  <c r="I5" i="17"/>
  <c r="J4" i="17"/>
  <c r="G91" i="9"/>
  <c r="AM88" i="13"/>
  <c r="AL88" i="13"/>
  <c r="AK88" i="13"/>
  <c r="AJ88" i="13"/>
  <c r="AI88" i="13"/>
  <c r="AM80" i="13"/>
  <c r="AL80" i="13"/>
  <c r="AK80" i="13"/>
  <c r="AJ80" i="13"/>
  <c r="C11" i="26" l="1"/>
  <c r="C24" i="26" s="1"/>
  <c r="J22" i="17"/>
  <c r="L44" i="9"/>
  <c r="M44" i="9"/>
  <c r="L45" i="9"/>
  <c r="M45" i="9"/>
  <c r="L46" i="9"/>
  <c r="M46" i="9"/>
  <c r="L47" i="9"/>
  <c r="M47" i="9"/>
  <c r="L48" i="9"/>
  <c r="M48" i="9"/>
  <c r="L49" i="9"/>
  <c r="M49" i="9"/>
  <c r="L50" i="9"/>
  <c r="M50" i="9"/>
  <c r="L51" i="9"/>
  <c r="M51" i="9"/>
  <c r="L52" i="9"/>
  <c r="M52" i="9"/>
  <c r="L53" i="9"/>
  <c r="M53" i="9"/>
  <c r="L54" i="9"/>
  <c r="M54" i="9"/>
  <c r="L55" i="9"/>
  <c r="M55" i="9"/>
  <c r="L56" i="9"/>
  <c r="M56" i="9"/>
  <c r="L57" i="9"/>
  <c r="M57" i="9"/>
  <c r="L58" i="9"/>
  <c r="M58" i="9"/>
  <c r="L59" i="9"/>
  <c r="M59" i="9"/>
  <c r="L60" i="9"/>
  <c r="M60" i="9"/>
  <c r="L61" i="9"/>
  <c r="M61" i="9"/>
  <c r="L62" i="9"/>
  <c r="M62" i="9"/>
  <c r="L63" i="9"/>
  <c r="M63" i="9"/>
  <c r="L34" i="9"/>
  <c r="M34" i="9"/>
  <c r="L35" i="9"/>
  <c r="M35" i="9"/>
  <c r="L36" i="9"/>
  <c r="M36" i="9"/>
  <c r="L37" i="9"/>
  <c r="M37" i="9"/>
  <c r="L38" i="9"/>
  <c r="M38" i="9"/>
  <c r="L39" i="9"/>
  <c r="M39" i="9"/>
  <c r="L40" i="9"/>
  <c r="M40" i="9"/>
  <c r="L41" i="9"/>
  <c r="M41" i="9"/>
  <c r="L42" i="9"/>
  <c r="M42" i="9"/>
  <c r="L43" i="9"/>
  <c r="M43" i="9"/>
  <c r="L33" i="9"/>
  <c r="AA24" i="29"/>
  <c r="AA18" i="29"/>
  <c r="AA12" i="29"/>
  <c r="AD142" i="13" l="1"/>
  <c r="AE131" i="13"/>
  <c r="AE132" i="13"/>
  <c r="AE133" i="13"/>
  <c r="AE134" i="13"/>
  <c r="AE135" i="13"/>
  <c r="AE136" i="13"/>
  <c r="AE137" i="13"/>
  <c r="AE138" i="13"/>
  <c r="AE139" i="13"/>
  <c r="AE140" i="13"/>
  <c r="AE141" i="13"/>
  <c r="AE121" i="13" s="1"/>
  <c r="AE142" i="13"/>
  <c r="AE143" i="13"/>
  <c r="AE144" i="13"/>
  <c r="AE145" i="13"/>
  <c r="AE146" i="13"/>
  <c r="AE147" i="13"/>
  <c r="AE148" i="13"/>
  <c r="AE149" i="13"/>
  <c r="AE150" i="13"/>
  <c r="AE152" i="13"/>
  <c r="AE109" i="13"/>
  <c r="AE104" i="13"/>
  <c r="AE106" i="13"/>
  <c r="AD100" i="13"/>
  <c r="AE100" i="13"/>
  <c r="AE90" i="13"/>
  <c r="AE82" i="13"/>
  <c r="AE83" i="13"/>
  <c r="AE85" i="13"/>
  <c r="AE87" i="13"/>
  <c r="AE76" i="13"/>
  <c r="AE77" i="13"/>
  <c r="AE153" i="13" l="1"/>
  <c r="AE122" i="13"/>
  <c r="AE115" i="13"/>
  <c r="AE124" i="13"/>
  <c r="AE86" i="13"/>
  <c r="AE79" i="13"/>
  <c r="AE114" i="13"/>
  <c r="AE116" i="13" s="1"/>
  <c r="AE84" i="13"/>
  <c r="AE123" i="13"/>
  <c r="AE78" i="13"/>
  <c r="AE118" i="13"/>
  <c r="AE119" i="13"/>
  <c r="AE105" i="13"/>
  <c r="AE120" i="13"/>
  <c r="AE103" i="13"/>
  <c r="Z24" i="29"/>
  <c r="Z18" i="29"/>
  <c r="Z12" i="29"/>
  <c r="I131" i="13"/>
  <c r="J131" i="13"/>
  <c r="K131" i="13"/>
  <c r="L131" i="13"/>
  <c r="M131" i="13"/>
  <c r="N131" i="13"/>
  <c r="O131" i="13"/>
  <c r="P131" i="13"/>
  <c r="Q131" i="13"/>
  <c r="R131" i="13"/>
  <c r="S131" i="13"/>
  <c r="T131" i="13"/>
  <c r="U131" i="13"/>
  <c r="V131" i="13"/>
  <c r="W131" i="13"/>
  <c r="X131" i="13"/>
  <c r="Y131" i="13"/>
  <c r="Z131" i="13"/>
  <c r="AA131" i="13"/>
  <c r="AB131" i="13"/>
  <c r="AC131" i="13"/>
  <c r="AD131" i="13"/>
  <c r="I132" i="13"/>
  <c r="J132" i="13"/>
  <c r="K132" i="13"/>
  <c r="L132" i="13"/>
  <c r="M132" i="13"/>
  <c r="N132" i="13"/>
  <c r="O132" i="13"/>
  <c r="P132" i="13"/>
  <c r="Q132" i="13"/>
  <c r="R132" i="13"/>
  <c r="S132" i="13"/>
  <c r="T132" i="13"/>
  <c r="U132" i="13"/>
  <c r="V132" i="13"/>
  <c r="W132" i="13"/>
  <c r="X132" i="13"/>
  <c r="Y132" i="13"/>
  <c r="Z132" i="13"/>
  <c r="AA132" i="13"/>
  <c r="AB132" i="13"/>
  <c r="AC132" i="13"/>
  <c r="AD132" i="13"/>
  <c r="I133" i="13"/>
  <c r="J133" i="13"/>
  <c r="K133" i="13"/>
  <c r="L133" i="13"/>
  <c r="M133" i="13"/>
  <c r="N133" i="13"/>
  <c r="O133" i="13"/>
  <c r="P133" i="13"/>
  <c r="Q133" i="13"/>
  <c r="R133" i="13"/>
  <c r="S133" i="13"/>
  <c r="T133" i="13"/>
  <c r="U133" i="13"/>
  <c r="V133" i="13"/>
  <c r="W133" i="13"/>
  <c r="X133" i="13"/>
  <c r="Y133" i="13"/>
  <c r="Z133" i="13"/>
  <c r="AA133" i="13"/>
  <c r="AB133" i="13"/>
  <c r="AC133" i="13"/>
  <c r="AD133" i="13"/>
  <c r="I134" i="13"/>
  <c r="J134" i="13"/>
  <c r="K134" i="13"/>
  <c r="L134" i="13"/>
  <c r="M134" i="13"/>
  <c r="N134" i="13"/>
  <c r="O134" i="13"/>
  <c r="P134" i="13"/>
  <c r="Q134" i="13"/>
  <c r="R134" i="13"/>
  <c r="S134" i="13"/>
  <c r="T134" i="13"/>
  <c r="U134" i="13"/>
  <c r="V134" i="13"/>
  <c r="W134" i="13"/>
  <c r="X134" i="13"/>
  <c r="Y134" i="13"/>
  <c r="Z134" i="13"/>
  <c r="AA134" i="13"/>
  <c r="AB134" i="13"/>
  <c r="AC134" i="13"/>
  <c r="AD134" i="13"/>
  <c r="I135" i="13"/>
  <c r="J135" i="13"/>
  <c r="K135" i="13"/>
  <c r="L135" i="13"/>
  <c r="M135" i="13"/>
  <c r="N135" i="13"/>
  <c r="O135" i="13"/>
  <c r="P135" i="13"/>
  <c r="Q135" i="13"/>
  <c r="R135" i="13"/>
  <c r="S135" i="13"/>
  <c r="T135" i="13"/>
  <c r="U135" i="13"/>
  <c r="V135" i="13"/>
  <c r="W135" i="13"/>
  <c r="X135" i="13"/>
  <c r="Y135" i="13"/>
  <c r="Z135" i="13"/>
  <c r="AA135" i="13"/>
  <c r="AB135" i="13"/>
  <c r="AC135" i="13"/>
  <c r="AD135" i="13"/>
  <c r="I136" i="13"/>
  <c r="J136" i="13"/>
  <c r="K136" i="13"/>
  <c r="L136" i="13"/>
  <c r="M136" i="13"/>
  <c r="N136" i="13"/>
  <c r="O136" i="13"/>
  <c r="P136" i="13"/>
  <c r="Q136" i="13"/>
  <c r="R136" i="13"/>
  <c r="S136" i="13"/>
  <c r="T136" i="13"/>
  <c r="U136" i="13"/>
  <c r="V136" i="13"/>
  <c r="W136" i="13"/>
  <c r="X136" i="13"/>
  <c r="Y136" i="13"/>
  <c r="Z136" i="13"/>
  <c r="AA136" i="13"/>
  <c r="AB136" i="13"/>
  <c r="AC136" i="13"/>
  <c r="AD136" i="13"/>
  <c r="I137" i="13"/>
  <c r="J137" i="13"/>
  <c r="K137" i="13"/>
  <c r="L137" i="13"/>
  <c r="M137" i="13"/>
  <c r="N137" i="13"/>
  <c r="O137" i="13"/>
  <c r="P137" i="13"/>
  <c r="Q137" i="13"/>
  <c r="R137" i="13"/>
  <c r="S137" i="13"/>
  <c r="T137" i="13"/>
  <c r="U137" i="13"/>
  <c r="V137" i="13"/>
  <c r="W137" i="13"/>
  <c r="X137" i="13"/>
  <c r="Y137" i="13"/>
  <c r="Z137" i="13"/>
  <c r="AA137" i="13"/>
  <c r="AB137" i="13"/>
  <c r="AC137" i="13"/>
  <c r="AD137" i="13"/>
  <c r="I138" i="13"/>
  <c r="J138" i="13"/>
  <c r="K138" i="13"/>
  <c r="L138" i="13"/>
  <c r="M138" i="13"/>
  <c r="N138" i="13"/>
  <c r="O138" i="13"/>
  <c r="P138" i="13"/>
  <c r="Q138" i="13"/>
  <c r="R138" i="13"/>
  <c r="S138" i="13"/>
  <c r="T138" i="13"/>
  <c r="U138" i="13"/>
  <c r="V138" i="13"/>
  <c r="W138" i="13"/>
  <c r="X138" i="13"/>
  <c r="Y138" i="13"/>
  <c r="Z138" i="13"/>
  <c r="AA138" i="13"/>
  <c r="AB138" i="13"/>
  <c r="AC138" i="13"/>
  <c r="AD138" i="13"/>
  <c r="I139" i="13"/>
  <c r="J139" i="13"/>
  <c r="K139" i="13"/>
  <c r="L139" i="13"/>
  <c r="M139" i="13"/>
  <c r="N139" i="13"/>
  <c r="O139" i="13"/>
  <c r="P139" i="13"/>
  <c r="Q139" i="13"/>
  <c r="R139" i="13"/>
  <c r="S139" i="13"/>
  <c r="T139" i="13"/>
  <c r="U139" i="13"/>
  <c r="V139" i="13"/>
  <c r="W139" i="13"/>
  <c r="X139" i="13"/>
  <c r="Y139" i="13"/>
  <c r="Z139" i="13"/>
  <c r="AA139" i="13"/>
  <c r="AB139" i="13"/>
  <c r="AC139" i="13"/>
  <c r="AD139" i="13"/>
  <c r="I140" i="13"/>
  <c r="J140" i="13"/>
  <c r="K140" i="13"/>
  <c r="L140" i="13"/>
  <c r="M140" i="13"/>
  <c r="N140" i="13"/>
  <c r="O140" i="13"/>
  <c r="P140" i="13"/>
  <c r="Q140" i="13"/>
  <c r="R140" i="13"/>
  <c r="S140" i="13"/>
  <c r="T140" i="13"/>
  <c r="U140" i="13"/>
  <c r="V140" i="13"/>
  <c r="W140" i="13"/>
  <c r="X140" i="13"/>
  <c r="Y140" i="13"/>
  <c r="Z140" i="13"/>
  <c r="AA140" i="13"/>
  <c r="AB140" i="13"/>
  <c r="AC140" i="13"/>
  <c r="AD140" i="13"/>
  <c r="I141" i="13"/>
  <c r="J141" i="13"/>
  <c r="K141" i="13"/>
  <c r="L141" i="13"/>
  <c r="M141" i="13"/>
  <c r="N141" i="13"/>
  <c r="O141" i="13"/>
  <c r="P141" i="13"/>
  <c r="Q141" i="13"/>
  <c r="R141" i="13"/>
  <c r="S141" i="13"/>
  <c r="T141" i="13"/>
  <c r="U141" i="13"/>
  <c r="V141" i="13"/>
  <c r="W141" i="13"/>
  <c r="X141" i="13"/>
  <c r="Y141" i="13"/>
  <c r="Z141" i="13"/>
  <c r="AA141" i="13"/>
  <c r="AB141" i="13"/>
  <c r="AC141" i="13"/>
  <c r="AD141" i="13"/>
  <c r="AD121" i="13" s="1"/>
  <c r="I142" i="13"/>
  <c r="J142" i="13"/>
  <c r="K142" i="13"/>
  <c r="L142" i="13"/>
  <c r="M142" i="13"/>
  <c r="N142" i="13"/>
  <c r="O142" i="13"/>
  <c r="P142" i="13"/>
  <c r="Q142" i="13"/>
  <c r="R142" i="13"/>
  <c r="S142" i="13"/>
  <c r="T142" i="13"/>
  <c r="U142" i="13"/>
  <c r="V142" i="13"/>
  <c r="W142" i="13"/>
  <c r="X142" i="13"/>
  <c r="Y142" i="13"/>
  <c r="Z142" i="13"/>
  <c r="AA142" i="13"/>
  <c r="AB142" i="13"/>
  <c r="AC142" i="13"/>
  <c r="I143" i="13"/>
  <c r="J143" i="13"/>
  <c r="K143" i="13"/>
  <c r="L143" i="13"/>
  <c r="M143" i="13"/>
  <c r="N143" i="13"/>
  <c r="O143" i="13"/>
  <c r="P143" i="13"/>
  <c r="Q143" i="13"/>
  <c r="R143" i="13"/>
  <c r="S143" i="13"/>
  <c r="T143" i="13"/>
  <c r="U143" i="13"/>
  <c r="V143" i="13"/>
  <c r="W143" i="13"/>
  <c r="X143" i="13"/>
  <c r="Y143" i="13"/>
  <c r="Z143" i="13"/>
  <c r="AA143" i="13"/>
  <c r="AB143" i="13"/>
  <c r="AC143" i="13"/>
  <c r="AD143" i="13"/>
  <c r="I144" i="13"/>
  <c r="J144" i="13"/>
  <c r="K144" i="13"/>
  <c r="L144" i="13"/>
  <c r="M144" i="13"/>
  <c r="N144" i="13"/>
  <c r="O144" i="13"/>
  <c r="P144" i="13"/>
  <c r="Q144" i="13"/>
  <c r="R144" i="13"/>
  <c r="S144" i="13"/>
  <c r="T144" i="13"/>
  <c r="U144" i="13"/>
  <c r="V144" i="13"/>
  <c r="W144" i="13"/>
  <c r="X144" i="13"/>
  <c r="Y144" i="13"/>
  <c r="Z144" i="13"/>
  <c r="AA144" i="13"/>
  <c r="AB144" i="13"/>
  <c r="AC144" i="13"/>
  <c r="AD144" i="13"/>
  <c r="I145" i="13"/>
  <c r="J145" i="13"/>
  <c r="K145" i="13"/>
  <c r="L145" i="13"/>
  <c r="M145" i="13"/>
  <c r="N145" i="13"/>
  <c r="O145" i="13"/>
  <c r="P145" i="13"/>
  <c r="Q145" i="13"/>
  <c r="R145" i="13"/>
  <c r="S145" i="13"/>
  <c r="T145" i="13"/>
  <c r="U145" i="13"/>
  <c r="V145" i="13"/>
  <c r="W145" i="13"/>
  <c r="X145" i="13"/>
  <c r="Y145" i="13"/>
  <c r="Z145" i="13"/>
  <c r="AA145" i="13"/>
  <c r="AB145" i="13"/>
  <c r="AC145" i="13"/>
  <c r="AD145" i="13"/>
  <c r="I146" i="13"/>
  <c r="J146" i="13"/>
  <c r="K146" i="13"/>
  <c r="L146" i="13"/>
  <c r="M146" i="13"/>
  <c r="N146" i="13"/>
  <c r="O146" i="13"/>
  <c r="P146" i="13"/>
  <c r="Q146" i="13"/>
  <c r="R146" i="13"/>
  <c r="S146" i="13"/>
  <c r="T146" i="13"/>
  <c r="U146" i="13"/>
  <c r="V146" i="13"/>
  <c r="W146" i="13"/>
  <c r="X146" i="13"/>
  <c r="Y146" i="13"/>
  <c r="Z146" i="13"/>
  <c r="AA146" i="13"/>
  <c r="AB146" i="13"/>
  <c r="AC146" i="13"/>
  <c r="AD146" i="13"/>
  <c r="I147" i="13"/>
  <c r="J147" i="13"/>
  <c r="K147" i="13"/>
  <c r="L147" i="13"/>
  <c r="M147" i="13"/>
  <c r="N147" i="13"/>
  <c r="O147" i="13"/>
  <c r="P147" i="13"/>
  <c r="Q147" i="13"/>
  <c r="R147" i="13"/>
  <c r="S147" i="13"/>
  <c r="T147" i="13"/>
  <c r="U147" i="13"/>
  <c r="V147" i="13"/>
  <c r="W147" i="13"/>
  <c r="X147" i="13"/>
  <c r="Y147" i="13"/>
  <c r="Z147" i="13"/>
  <c r="AA147" i="13"/>
  <c r="AB147" i="13"/>
  <c r="AC147" i="13"/>
  <c r="AD147" i="13"/>
  <c r="I148" i="13"/>
  <c r="J148" i="13"/>
  <c r="K148" i="13"/>
  <c r="L148" i="13"/>
  <c r="M148" i="13"/>
  <c r="N148" i="13"/>
  <c r="O148" i="13"/>
  <c r="P148" i="13"/>
  <c r="Q148" i="13"/>
  <c r="R148" i="13"/>
  <c r="S148" i="13"/>
  <c r="T148" i="13"/>
  <c r="U148" i="13"/>
  <c r="V148" i="13"/>
  <c r="W148" i="13"/>
  <c r="X148" i="13"/>
  <c r="Y148" i="13"/>
  <c r="Z148" i="13"/>
  <c r="AA148" i="13"/>
  <c r="AB148" i="13"/>
  <c r="AC148" i="13"/>
  <c r="AD148" i="13"/>
  <c r="I149" i="13"/>
  <c r="J149" i="13"/>
  <c r="K149" i="13"/>
  <c r="L149" i="13"/>
  <c r="M149" i="13"/>
  <c r="N149" i="13"/>
  <c r="O149" i="13"/>
  <c r="P149" i="13"/>
  <c r="Q149" i="13"/>
  <c r="R149" i="13"/>
  <c r="S149" i="13"/>
  <c r="T149" i="13"/>
  <c r="U149" i="13"/>
  <c r="V149" i="13"/>
  <c r="W149" i="13"/>
  <c r="X149" i="13"/>
  <c r="Y149" i="13"/>
  <c r="Z149" i="13"/>
  <c r="AA149" i="13"/>
  <c r="AB149" i="13"/>
  <c r="AC149" i="13"/>
  <c r="AD149" i="13"/>
  <c r="I150" i="13"/>
  <c r="J150" i="13"/>
  <c r="K150" i="13"/>
  <c r="L150" i="13"/>
  <c r="M150" i="13"/>
  <c r="N150" i="13"/>
  <c r="O150" i="13"/>
  <c r="P150" i="13"/>
  <c r="Q150" i="13"/>
  <c r="R150" i="13"/>
  <c r="S150" i="13"/>
  <c r="T150" i="13"/>
  <c r="U150" i="13"/>
  <c r="V150" i="13"/>
  <c r="W150" i="13"/>
  <c r="X150" i="13"/>
  <c r="Y150" i="13"/>
  <c r="Z150" i="13"/>
  <c r="AA150" i="13"/>
  <c r="AB150" i="13"/>
  <c r="AC150" i="13"/>
  <c r="AD150" i="13"/>
  <c r="I152" i="13"/>
  <c r="J152" i="13"/>
  <c r="K152" i="13"/>
  <c r="L152" i="13"/>
  <c r="M152" i="13"/>
  <c r="N152" i="13"/>
  <c r="O152" i="13"/>
  <c r="P152" i="13"/>
  <c r="Q152" i="13"/>
  <c r="R152" i="13"/>
  <c r="S152" i="13"/>
  <c r="T152" i="13"/>
  <c r="U152" i="13"/>
  <c r="V152" i="13"/>
  <c r="W152" i="13"/>
  <c r="X152" i="13"/>
  <c r="Y152" i="13"/>
  <c r="Z152" i="13"/>
  <c r="AA152" i="13"/>
  <c r="AB152" i="13"/>
  <c r="AC152" i="13"/>
  <c r="AD152" i="13"/>
  <c r="H152" i="13"/>
  <c r="H150" i="13"/>
  <c r="H149" i="13"/>
  <c r="H148" i="13"/>
  <c r="H147" i="13"/>
  <c r="H146" i="13"/>
  <c r="H145" i="13"/>
  <c r="H144" i="13"/>
  <c r="H143" i="13"/>
  <c r="H142" i="13"/>
  <c r="H141" i="13"/>
  <c r="H140" i="13"/>
  <c r="H139" i="13"/>
  <c r="H138" i="13"/>
  <c r="H137" i="13"/>
  <c r="H136" i="13"/>
  <c r="H135" i="13"/>
  <c r="H134" i="13"/>
  <c r="H133" i="13"/>
  <c r="H132" i="13"/>
  <c r="H131" i="13"/>
  <c r="AE125" i="13" l="1"/>
  <c r="AE127" i="13"/>
  <c r="V153" i="13"/>
  <c r="AD153" i="13"/>
  <c r="X153" i="13"/>
  <c r="Y153" i="13"/>
  <c r="AB153" i="13"/>
  <c r="P153" i="13"/>
  <c r="Z153" i="13"/>
  <c r="N153" i="13"/>
  <c r="L153" i="13"/>
  <c r="T153" i="13"/>
  <c r="J153" i="13"/>
  <c r="R153" i="13"/>
  <c r="M153" i="13"/>
  <c r="AC153" i="13"/>
  <c r="Q153" i="13"/>
  <c r="AA153" i="13"/>
  <c r="O153" i="13"/>
  <c r="W153" i="13"/>
  <c r="K153" i="13"/>
  <c r="U153" i="13"/>
  <c r="I153" i="13"/>
  <c r="S153" i="13"/>
  <c r="AD119" i="13"/>
  <c r="AD120" i="13"/>
  <c r="AD124" i="13"/>
  <c r="AD114" i="13"/>
  <c r="AD118" i="13"/>
  <c r="AD115" i="13"/>
  <c r="AD122" i="13"/>
  <c r="AD123" i="13"/>
  <c r="AD109" i="13"/>
  <c r="AD104" i="13"/>
  <c r="AD106" i="13"/>
  <c r="AD90" i="13"/>
  <c r="AD82" i="13"/>
  <c r="AD83" i="13"/>
  <c r="AD85" i="13"/>
  <c r="AD87" i="13"/>
  <c r="AD76" i="13"/>
  <c r="AD77" i="13"/>
  <c r="H75" i="13"/>
  <c r="I75" i="13"/>
  <c r="J75" i="13"/>
  <c r="K75" i="13"/>
  <c r="L75" i="13"/>
  <c r="M75" i="13"/>
  <c r="N75" i="13"/>
  <c r="O75" i="13"/>
  <c r="P75" i="13"/>
  <c r="Q75" i="13"/>
  <c r="R75" i="13"/>
  <c r="S75" i="13"/>
  <c r="T75" i="13"/>
  <c r="U75" i="13"/>
  <c r="V75" i="13"/>
  <c r="W75" i="13"/>
  <c r="X75" i="13"/>
  <c r="Y75" i="13"/>
  <c r="Z75" i="13"/>
  <c r="AA75" i="13"/>
  <c r="AB75" i="13"/>
  <c r="AC75" i="13"/>
  <c r="AD75" i="13"/>
  <c r="AE75" i="13"/>
  <c r="H76" i="13"/>
  <c r="I76" i="13"/>
  <c r="J76" i="13"/>
  <c r="K76" i="13"/>
  <c r="L76" i="13"/>
  <c r="M76" i="13"/>
  <c r="N76" i="13"/>
  <c r="O76" i="13"/>
  <c r="P76" i="13"/>
  <c r="Q76" i="13"/>
  <c r="R76" i="13"/>
  <c r="S76" i="13"/>
  <c r="T76" i="13"/>
  <c r="U76" i="13"/>
  <c r="V76" i="13"/>
  <c r="W76" i="13"/>
  <c r="X76" i="13"/>
  <c r="Y76" i="13"/>
  <c r="Z76" i="13"/>
  <c r="AA76" i="13"/>
  <c r="AB76" i="13"/>
  <c r="AC76" i="13"/>
  <c r="H77" i="13"/>
  <c r="I77" i="13"/>
  <c r="J77" i="13"/>
  <c r="K77" i="13"/>
  <c r="L77" i="13"/>
  <c r="M77" i="13"/>
  <c r="N77" i="13"/>
  <c r="O77" i="13"/>
  <c r="P77" i="13"/>
  <c r="Q77" i="13"/>
  <c r="R77" i="13"/>
  <c r="S77" i="13"/>
  <c r="T77" i="13"/>
  <c r="U77" i="13"/>
  <c r="V77" i="13"/>
  <c r="W77" i="13"/>
  <c r="X77" i="13"/>
  <c r="Y77" i="13"/>
  <c r="Z77" i="13"/>
  <c r="AA77" i="13"/>
  <c r="AB77" i="13"/>
  <c r="AC77" i="13"/>
  <c r="H82" i="13"/>
  <c r="I82" i="13"/>
  <c r="J82" i="13"/>
  <c r="K82" i="13"/>
  <c r="L82" i="13"/>
  <c r="M82" i="13"/>
  <c r="N82" i="13"/>
  <c r="O82" i="13"/>
  <c r="P82" i="13"/>
  <c r="Q82" i="13"/>
  <c r="R82" i="13"/>
  <c r="S82" i="13"/>
  <c r="T82" i="13"/>
  <c r="U82" i="13"/>
  <c r="V82" i="13"/>
  <c r="W82" i="13"/>
  <c r="X82" i="13"/>
  <c r="Y82" i="13"/>
  <c r="Z82" i="13"/>
  <c r="AA82" i="13"/>
  <c r="AB82" i="13"/>
  <c r="AC82" i="13"/>
  <c r="H83" i="13"/>
  <c r="I83" i="13"/>
  <c r="J83" i="13"/>
  <c r="K83" i="13"/>
  <c r="L83" i="13"/>
  <c r="M83" i="13"/>
  <c r="N83" i="13"/>
  <c r="O83" i="13"/>
  <c r="P83" i="13"/>
  <c r="Q83" i="13"/>
  <c r="R83" i="13"/>
  <c r="S83" i="13"/>
  <c r="T83" i="13"/>
  <c r="U83" i="13"/>
  <c r="V83" i="13"/>
  <c r="W83" i="13"/>
  <c r="X83" i="13"/>
  <c r="Y83" i="13"/>
  <c r="Z83" i="13"/>
  <c r="AA83" i="13"/>
  <c r="AB83" i="13"/>
  <c r="AC83" i="13"/>
  <c r="H85" i="13"/>
  <c r="I85" i="13"/>
  <c r="J85" i="13"/>
  <c r="K85" i="13"/>
  <c r="L85" i="13"/>
  <c r="M85" i="13"/>
  <c r="N85" i="13"/>
  <c r="O85" i="13"/>
  <c r="P85" i="13"/>
  <c r="Q85" i="13"/>
  <c r="R85" i="13"/>
  <c r="S85" i="13"/>
  <c r="T85" i="13"/>
  <c r="U85" i="13"/>
  <c r="V85" i="13"/>
  <c r="W85" i="13"/>
  <c r="X85" i="13"/>
  <c r="Y85" i="13"/>
  <c r="Z85" i="13"/>
  <c r="AA85" i="13"/>
  <c r="AB85" i="13"/>
  <c r="AC85" i="13"/>
  <c r="H87" i="13"/>
  <c r="I87" i="13"/>
  <c r="J87" i="13"/>
  <c r="K87" i="13"/>
  <c r="L87" i="13"/>
  <c r="M87" i="13"/>
  <c r="N87" i="13"/>
  <c r="O87" i="13"/>
  <c r="P87" i="13"/>
  <c r="Q87" i="13"/>
  <c r="R87" i="13"/>
  <c r="S87" i="13"/>
  <c r="T87" i="13"/>
  <c r="U87" i="13"/>
  <c r="V87" i="13"/>
  <c r="W87" i="13"/>
  <c r="X87" i="13"/>
  <c r="Y87" i="13"/>
  <c r="Z87" i="13"/>
  <c r="AA87" i="13"/>
  <c r="AE88" i="13" s="1"/>
  <c r="AB87" i="13"/>
  <c r="AC87" i="13"/>
  <c r="H90" i="13"/>
  <c r="I90" i="13"/>
  <c r="J90" i="13"/>
  <c r="K90" i="13"/>
  <c r="L90" i="13"/>
  <c r="M90" i="13"/>
  <c r="N90" i="13"/>
  <c r="O90" i="13"/>
  <c r="P90" i="13"/>
  <c r="Q90" i="13"/>
  <c r="R90" i="13"/>
  <c r="S90" i="13"/>
  <c r="T90" i="13"/>
  <c r="U90" i="13"/>
  <c r="V90" i="13"/>
  <c r="W90" i="13"/>
  <c r="X90" i="13"/>
  <c r="Y90" i="13"/>
  <c r="Z90" i="13"/>
  <c r="AA90" i="13"/>
  <c r="AB90" i="13"/>
  <c r="AC90" i="13"/>
  <c r="H100" i="13"/>
  <c r="I100" i="13"/>
  <c r="J100" i="13"/>
  <c r="K100" i="13"/>
  <c r="L100" i="13"/>
  <c r="M100" i="13"/>
  <c r="N100" i="13"/>
  <c r="O100" i="13"/>
  <c r="P100" i="13"/>
  <c r="Q100" i="13"/>
  <c r="R100" i="13"/>
  <c r="S100" i="13"/>
  <c r="T100" i="13"/>
  <c r="U100" i="13"/>
  <c r="V100" i="13"/>
  <c r="W100" i="13"/>
  <c r="X100" i="13"/>
  <c r="Y100" i="13"/>
  <c r="Z100" i="13"/>
  <c r="AD101" i="13" s="1"/>
  <c r="AA100" i="13"/>
  <c r="AE101" i="13" s="1"/>
  <c r="AB100" i="13"/>
  <c r="AC100" i="13"/>
  <c r="H104" i="13"/>
  <c r="I104" i="13"/>
  <c r="J104" i="13"/>
  <c r="K104" i="13"/>
  <c r="L104" i="13"/>
  <c r="M104" i="13"/>
  <c r="N104" i="13"/>
  <c r="O104" i="13"/>
  <c r="P104" i="13"/>
  <c r="Q104" i="13"/>
  <c r="R104" i="13"/>
  <c r="S104" i="13"/>
  <c r="T104" i="13"/>
  <c r="U104" i="13"/>
  <c r="V104" i="13"/>
  <c r="W104" i="13"/>
  <c r="X104" i="13"/>
  <c r="Y104" i="13"/>
  <c r="Z104" i="13"/>
  <c r="AA104" i="13"/>
  <c r="AB104" i="13"/>
  <c r="AC104" i="13"/>
  <c r="H106" i="13"/>
  <c r="I106" i="13"/>
  <c r="J106" i="13"/>
  <c r="K106" i="13"/>
  <c r="L106" i="13"/>
  <c r="M106" i="13"/>
  <c r="N106" i="13"/>
  <c r="O106" i="13"/>
  <c r="P106" i="13"/>
  <c r="Q106" i="13"/>
  <c r="R106" i="13"/>
  <c r="S106" i="13"/>
  <c r="T106" i="13"/>
  <c r="U106" i="13"/>
  <c r="V106" i="13"/>
  <c r="W106" i="13"/>
  <c r="X106" i="13"/>
  <c r="Y106" i="13"/>
  <c r="Z106" i="13"/>
  <c r="AA106" i="13"/>
  <c r="AE107" i="13" s="1"/>
  <c r="AB106" i="13"/>
  <c r="AC106" i="13"/>
  <c r="H109" i="13"/>
  <c r="I109" i="13"/>
  <c r="J109" i="13"/>
  <c r="K109" i="13"/>
  <c r="L109" i="13"/>
  <c r="M109" i="13"/>
  <c r="N109" i="13"/>
  <c r="O109" i="13"/>
  <c r="P109" i="13"/>
  <c r="Q109" i="13"/>
  <c r="R109" i="13"/>
  <c r="S109" i="13"/>
  <c r="T109" i="13"/>
  <c r="U109" i="13"/>
  <c r="V109" i="13"/>
  <c r="W109" i="13"/>
  <c r="X109" i="13"/>
  <c r="Y109" i="13"/>
  <c r="Z109" i="13"/>
  <c r="AA109" i="13"/>
  <c r="AE110" i="13" s="1"/>
  <c r="AB109" i="13"/>
  <c r="AC109" i="13"/>
  <c r="AB114" i="13"/>
  <c r="AC114" i="13"/>
  <c r="AB118" i="13"/>
  <c r="AC118" i="13"/>
  <c r="AK8" i="29" l="1"/>
  <c r="H42" i="17"/>
  <c r="E42" i="17"/>
  <c r="AK6" i="29"/>
  <c r="AD91" i="13"/>
  <c r="AD93" i="13" s="1"/>
  <c r="AD98" i="13" s="1"/>
  <c r="G42" i="17"/>
  <c r="AK7" i="29"/>
  <c r="D42" i="17"/>
  <c r="F42" i="17"/>
  <c r="AC91" i="13"/>
  <c r="AC93" i="13"/>
  <c r="AC98" i="13" s="1"/>
  <c r="AF109" i="13"/>
  <c r="AB91" i="13"/>
  <c r="AB93" i="13" s="1"/>
  <c r="AB98" i="13" s="1"/>
  <c r="G92" i="9"/>
  <c r="B100" i="9" s="1"/>
  <c r="AE91" i="13"/>
  <c r="AE93" i="13" s="1"/>
  <c r="AD103" i="13"/>
  <c r="X103" i="13"/>
  <c r="H103" i="13"/>
  <c r="X84" i="13"/>
  <c r="L84" i="13"/>
  <c r="AA84" i="13"/>
  <c r="O84" i="13"/>
  <c r="Q103" i="13"/>
  <c r="U84" i="13"/>
  <c r="Y103" i="13"/>
  <c r="M103" i="13"/>
  <c r="AC103" i="13"/>
  <c r="I84" i="13"/>
  <c r="AD79" i="13"/>
  <c r="AD78" i="13" s="1"/>
  <c r="R103" i="13"/>
  <c r="AD86" i="13"/>
  <c r="V84" i="13"/>
  <c r="AD84" i="13"/>
  <c r="L79" i="13"/>
  <c r="L78" i="13" s="1"/>
  <c r="J84" i="13"/>
  <c r="W84" i="13"/>
  <c r="K84" i="13"/>
  <c r="O103" i="13"/>
  <c r="T84" i="13"/>
  <c r="H84" i="13"/>
  <c r="AA103" i="13"/>
  <c r="Z103" i="13"/>
  <c r="N103" i="13"/>
  <c r="AD110" i="13"/>
  <c r="W107" i="13"/>
  <c r="K103" i="13"/>
  <c r="S103" i="13"/>
  <c r="AD116" i="13"/>
  <c r="J79" i="13"/>
  <c r="J78" i="13" s="1"/>
  <c r="AD107" i="13"/>
  <c r="J103" i="13"/>
  <c r="I103" i="13"/>
  <c r="Z84" i="13"/>
  <c r="N84" i="13"/>
  <c r="Y84" i="13"/>
  <c r="M84" i="13"/>
  <c r="AD105" i="13"/>
  <c r="AA79" i="13"/>
  <c r="O79" i="13"/>
  <c r="O78" i="13" s="1"/>
  <c r="AB103" i="13"/>
  <c r="P103" i="13"/>
  <c r="AD88" i="13"/>
  <c r="U79" i="13"/>
  <c r="U78" i="13" s="1"/>
  <c r="I79" i="13"/>
  <c r="I78" i="13" s="1"/>
  <c r="T79" i="13"/>
  <c r="T78" i="13" s="1"/>
  <c r="H79" i="13"/>
  <c r="H78" i="13" s="1"/>
  <c r="W79" i="13"/>
  <c r="W78" i="13" s="1"/>
  <c r="T118" i="13"/>
  <c r="H118" i="13"/>
  <c r="Q118" i="13"/>
  <c r="Y114" i="13"/>
  <c r="M114" i="13"/>
  <c r="X79" i="13"/>
  <c r="X78" i="13" s="1"/>
  <c r="V79" i="13"/>
  <c r="V78" i="13" s="1"/>
  <c r="V107" i="13"/>
  <c r="N79" i="13"/>
  <c r="N78" i="13" s="1"/>
  <c r="AB79" i="13"/>
  <c r="AB78" i="13" s="1"/>
  <c r="P79" i="13"/>
  <c r="P78" i="13" s="1"/>
  <c r="Y79" i="13"/>
  <c r="Y78" i="13" s="1"/>
  <c r="K79" i="13"/>
  <c r="K78" i="13" s="1"/>
  <c r="Z79" i="13"/>
  <c r="Z78" i="13" s="1"/>
  <c r="AC110" i="13"/>
  <c r="Q110" i="13"/>
  <c r="H91" i="13"/>
  <c r="H93" i="13" s="1"/>
  <c r="P110" i="13"/>
  <c r="U114" i="13"/>
  <c r="W101" i="13"/>
  <c r="Y91" i="13"/>
  <c r="Y93" i="13" s="1"/>
  <c r="AC79" i="13"/>
  <c r="Q79" i="13"/>
  <c r="Q78" i="13" s="1"/>
  <c r="R110" i="13"/>
  <c r="Z101" i="13"/>
  <c r="Y101" i="13"/>
  <c r="Z88" i="13"/>
  <c r="M79" i="13"/>
  <c r="M78" i="13" s="1"/>
  <c r="V110" i="13"/>
  <c r="T107" i="13"/>
  <c r="AB88" i="13"/>
  <c r="P88" i="13"/>
  <c r="AC101" i="13"/>
  <c r="U101" i="13"/>
  <c r="R79" i="13"/>
  <c r="R78" i="13" s="1"/>
  <c r="U110" i="13"/>
  <c r="U107" i="13"/>
  <c r="S79" i="13"/>
  <c r="S78" i="13" s="1"/>
  <c r="T110" i="13"/>
  <c r="W110" i="13"/>
  <c r="AA107" i="13"/>
  <c r="V91" i="13"/>
  <c r="V93" i="13" s="1"/>
  <c r="V98" i="13" s="1"/>
  <c r="J91" i="13"/>
  <c r="J93" i="13" s="1"/>
  <c r="J98" i="13" s="1"/>
  <c r="S107" i="13"/>
  <c r="V101" i="13"/>
  <c r="X91" i="13"/>
  <c r="X93" i="13" s="1"/>
  <c r="X98" i="13" s="1"/>
  <c r="P114" i="13"/>
  <c r="R91" i="13"/>
  <c r="R93" i="13" s="1"/>
  <c r="R98" i="13" s="1"/>
  <c r="T101" i="13"/>
  <c r="Q91" i="13"/>
  <c r="Y88" i="13"/>
  <c r="L91" i="13"/>
  <c r="L93" i="13" s="1"/>
  <c r="L98" i="13" s="1"/>
  <c r="U88" i="13"/>
  <c r="X88" i="13"/>
  <c r="X114" i="13"/>
  <c r="L114" i="13"/>
  <c r="L88" i="13"/>
  <c r="V88" i="13"/>
  <c r="O110" i="13"/>
  <c r="L107" i="13"/>
  <c r="R118" i="13"/>
  <c r="Z114" i="13"/>
  <c r="N114" i="13"/>
  <c r="S110" i="13"/>
  <c r="AA88" i="13"/>
  <c r="P118" i="13"/>
  <c r="Z107" i="13"/>
  <c r="S91" i="13"/>
  <c r="S93" i="13" s="1"/>
  <c r="S98" i="13" s="1"/>
  <c r="AA118" i="13"/>
  <c r="O118" i="13"/>
  <c r="W114" i="13"/>
  <c r="K114" i="13"/>
  <c r="Y107" i="13"/>
  <c r="L105" i="13"/>
  <c r="Z118" i="13"/>
  <c r="N118" i="13"/>
  <c r="V114" i="13"/>
  <c r="J114" i="13"/>
  <c r="Y118" i="13"/>
  <c r="M118" i="13"/>
  <c r="I114" i="13"/>
  <c r="R107" i="13"/>
  <c r="X118" i="13"/>
  <c r="L118" i="13"/>
  <c r="T114" i="13"/>
  <c r="H114" i="13"/>
  <c r="N110" i="13"/>
  <c r="Q107" i="13"/>
  <c r="AB101" i="13"/>
  <c r="M91" i="13"/>
  <c r="M93" i="13" s="1"/>
  <c r="M98" i="13" s="1"/>
  <c r="T88" i="13"/>
  <c r="W118" i="13"/>
  <c r="K118" i="13"/>
  <c r="S114" i="13"/>
  <c r="Y110" i="13"/>
  <c r="M110" i="13"/>
  <c r="O107" i="13"/>
  <c r="AA101" i="13"/>
  <c r="T91" i="13"/>
  <c r="T93" i="13" s="1"/>
  <c r="T98" i="13" s="1"/>
  <c r="O88" i="13"/>
  <c r="V118" i="13"/>
  <c r="J118" i="13"/>
  <c r="R114" i="13"/>
  <c r="X110" i="13"/>
  <c r="L110" i="13"/>
  <c r="N107" i="13"/>
  <c r="N88" i="13"/>
  <c r="U118" i="13"/>
  <c r="I118" i="13"/>
  <c r="Q114" i="13"/>
  <c r="M107" i="13"/>
  <c r="M88" i="13"/>
  <c r="S88" i="13"/>
  <c r="S86" i="13"/>
  <c r="S84" i="13"/>
  <c r="P91" i="13"/>
  <c r="P93" i="13" s="1"/>
  <c r="P98" i="13" s="1"/>
  <c r="R88" i="13"/>
  <c r="S118" i="13"/>
  <c r="AA114" i="13"/>
  <c r="O114" i="13"/>
  <c r="AC88" i="13"/>
  <c r="Q88" i="13"/>
  <c r="X105" i="13"/>
  <c r="AC107" i="13"/>
  <c r="Y105" i="13"/>
  <c r="M105" i="13"/>
  <c r="U91" i="13"/>
  <c r="I91" i="13"/>
  <c r="T86" i="13"/>
  <c r="H86" i="13"/>
  <c r="AB107" i="13"/>
  <c r="W105" i="13"/>
  <c r="K105" i="13"/>
  <c r="W103" i="13"/>
  <c r="R86" i="13"/>
  <c r="R84" i="13"/>
  <c r="P107" i="13"/>
  <c r="L103" i="13"/>
  <c r="W88" i="13"/>
  <c r="V105" i="13"/>
  <c r="J105" i="13"/>
  <c r="V103" i="13"/>
  <c r="AC86" i="13"/>
  <c r="Q86" i="13"/>
  <c r="AC84" i="13"/>
  <c r="Q84" i="13"/>
  <c r="U105" i="13"/>
  <c r="I105" i="13"/>
  <c r="U103" i="13"/>
  <c r="AB86" i="13"/>
  <c r="P86" i="13"/>
  <c r="AB84" i="13"/>
  <c r="P84" i="13"/>
  <c r="AB110" i="13"/>
  <c r="X107" i="13"/>
  <c r="T105" i="13"/>
  <c r="H105" i="13"/>
  <c r="T103" i="13"/>
  <c r="AA86" i="13"/>
  <c r="O86" i="13"/>
  <c r="AA110" i="13"/>
  <c r="S105" i="13"/>
  <c r="AA91" i="13"/>
  <c r="O91" i="13"/>
  <c r="Z86" i="13"/>
  <c r="N86" i="13"/>
  <c r="Z110" i="13"/>
  <c r="R105" i="13"/>
  <c r="Z91" i="13"/>
  <c r="N91" i="13"/>
  <c r="Y86" i="13"/>
  <c r="M86" i="13"/>
  <c r="X101" i="13"/>
  <c r="AC105" i="13"/>
  <c r="Q105" i="13"/>
  <c r="X86" i="13"/>
  <c r="L86" i="13"/>
  <c r="AB105" i="13"/>
  <c r="P105" i="13"/>
  <c r="W86" i="13"/>
  <c r="K86" i="13"/>
  <c r="AA105" i="13"/>
  <c r="O105" i="13"/>
  <c r="W91" i="13"/>
  <c r="K91" i="13"/>
  <c r="V86" i="13"/>
  <c r="J86" i="13"/>
  <c r="Z105" i="13"/>
  <c r="N105" i="13"/>
  <c r="U86" i="13"/>
  <c r="I86" i="13"/>
  <c r="AG26" i="29"/>
  <c r="AH26" i="29"/>
  <c r="AI26" i="29"/>
  <c r="AF26" i="29"/>
  <c r="AC26" i="29"/>
  <c r="AD26" i="29"/>
  <c r="AE26" i="29"/>
  <c r="AB26" i="29"/>
  <c r="AG20" i="29"/>
  <c r="AH20" i="29"/>
  <c r="AI20" i="29"/>
  <c r="AF20" i="29"/>
  <c r="AC20" i="29"/>
  <c r="AD20" i="29"/>
  <c r="AE20" i="29"/>
  <c r="AB20" i="29"/>
  <c r="AG14" i="29"/>
  <c r="AH14" i="29"/>
  <c r="AI14" i="29"/>
  <c r="AF14" i="29"/>
  <c r="AC14" i="29"/>
  <c r="AD14" i="29"/>
  <c r="AE14" i="29"/>
  <c r="AB14" i="29"/>
  <c r="X24" i="29"/>
  <c r="Y24" i="29"/>
  <c r="X18" i="29"/>
  <c r="Y18" i="29"/>
  <c r="X12" i="29"/>
  <c r="Y12" i="29"/>
  <c r="H92" i="13" l="1"/>
  <c r="H98" i="13"/>
  <c r="Y92" i="13"/>
  <c r="Y98" i="13"/>
  <c r="AA78" i="13"/>
  <c r="AE80" i="13"/>
  <c r="U80" i="13"/>
  <c r="P80" i="13"/>
  <c r="AC80" i="13"/>
  <c r="AD80" i="13"/>
  <c r="L80" i="13"/>
  <c r="AC78" i="13"/>
  <c r="T80" i="13"/>
  <c r="AA80" i="13"/>
  <c r="N80" i="13"/>
  <c r="Z80" i="13"/>
  <c r="AB80" i="13"/>
  <c r="Y80" i="13"/>
  <c r="X80" i="13"/>
  <c r="O80" i="13"/>
  <c r="T92" i="13"/>
  <c r="S80" i="13"/>
  <c r="W80" i="13"/>
  <c r="T94" i="13"/>
  <c r="Q80" i="13"/>
  <c r="R80" i="13"/>
  <c r="V80" i="13"/>
  <c r="M80" i="13"/>
  <c r="X92" i="13"/>
  <c r="X94" i="13"/>
  <c r="Q93" i="13"/>
  <c r="Q98" i="13" s="1"/>
  <c r="P94" i="13"/>
  <c r="L92" i="13"/>
  <c r="R92" i="13"/>
  <c r="P92" i="13"/>
  <c r="W93" i="13"/>
  <c r="W98" i="13" s="1"/>
  <c r="O93" i="13"/>
  <c r="N93" i="13"/>
  <c r="J92" i="13"/>
  <c r="AA93" i="13"/>
  <c r="AA98" i="13" s="1"/>
  <c r="L94" i="13"/>
  <c r="Z93" i="13"/>
  <c r="Z98" i="13" s="1"/>
  <c r="V94" i="13"/>
  <c r="V92" i="13"/>
  <c r="I93" i="13"/>
  <c r="I98" i="13" s="1"/>
  <c r="U93" i="13"/>
  <c r="M92" i="13"/>
  <c r="S92" i="13"/>
  <c r="K93" i="13"/>
  <c r="K98" i="13" s="1"/>
  <c r="U92" i="13" l="1"/>
  <c r="U98" i="13"/>
  <c r="N92" i="13"/>
  <c r="N98" i="13"/>
  <c r="S94" i="13"/>
  <c r="O98" i="13"/>
  <c r="Q94" i="13"/>
  <c r="Q92" i="13"/>
  <c r="Y94" i="13"/>
  <c r="W94" i="13"/>
  <c r="Z94" i="13"/>
  <c r="I92" i="13"/>
  <c r="K92" i="13"/>
  <c r="W92" i="13"/>
  <c r="O94" i="13"/>
  <c r="Z92" i="13"/>
  <c r="O92" i="13"/>
  <c r="AA94" i="13"/>
  <c r="AA92" i="13"/>
  <c r="M94" i="13"/>
  <c r="U94" i="13"/>
  <c r="N94" i="13"/>
  <c r="R94" i="13"/>
  <c r="AF78" i="13"/>
  <c r="AG78" i="13"/>
  <c r="AH78" i="13"/>
  <c r="AI78" i="13"/>
  <c r="AF86" i="13"/>
  <c r="AG86" i="13"/>
  <c r="AH86" i="13"/>
  <c r="AI86" i="13"/>
  <c r="AG84" i="13"/>
  <c r="AH84" i="13"/>
  <c r="AI84" i="13"/>
  <c r="AF84" i="13"/>
  <c r="AF100" i="13"/>
  <c r="AK105" i="13"/>
  <c r="AL105" i="13"/>
  <c r="AM105" i="13"/>
  <c r="AJ105" i="13"/>
  <c r="AF105" i="13"/>
  <c r="AG105" i="13"/>
  <c r="AH105" i="13"/>
  <c r="AI105" i="13"/>
  <c r="AJ84" i="13"/>
  <c r="AK84" i="13"/>
  <c r="AL84" i="13"/>
  <c r="AM84" i="13"/>
  <c r="AJ86" i="13"/>
  <c r="AK86" i="13"/>
  <c r="AL86" i="13"/>
  <c r="AM86" i="13"/>
  <c r="AJ78" i="13"/>
  <c r="AK78" i="13"/>
  <c r="AL78" i="13"/>
  <c r="AM78" i="13"/>
  <c r="AF106" i="13"/>
  <c r="AJ106" i="13" s="1"/>
  <c r="AG100" i="13"/>
  <c r="AA119" i="13"/>
  <c r="AB119" i="13"/>
  <c r="AC119" i="13"/>
  <c r="I120" i="13"/>
  <c r="U120" i="13"/>
  <c r="AB120" i="13"/>
  <c r="AC120" i="13"/>
  <c r="O121" i="13"/>
  <c r="AA121" i="13"/>
  <c r="AB121" i="13"/>
  <c r="AC121" i="13"/>
  <c r="I122" i="13"/>
  <c r="U122" i="13"/>
  <c r="AB123" i="13"/>
  <c r="AC123" i="13"/>
  <c r="N124" i="13"/>
  <c r="O124" i="13"/>
  <c r="Z124" i="13"/>
  <c r="AA124" i="13"/>
  <c r="AB124" i="13"/>
  <c r="AC124" i="13"/>
  <c r="H119" i="13"/>
  <c r="E79" i="9"/>
  <c r="B80" i="9"/>
  <c r="E85" i="9"/>
  <c r="B85" i="9"/>
  <c r="E84" i="9"/>
  <c r="B84" i="9"/>
  <c r="E83" i="9"/>
  <c r="B83" i="9"/>
  <c r="E82" i="9"/>
  <c r="B82" i="9"/>
  <c r="B79" i="9"/>
  <c r="AF88" i="13"/>
  <c r="V14" i="22"/>
  <c r="AK100" i="13" l="1"/>
  <c r="AJ100" i="13"/>
  <c r="AC122" i="13"/>
  <c r="AC125" i="13" s="1"/>
  <c r="AC115" i="13"/>
  <c r="AC116" i="13" s="1"/>
  <c r="AB122" i="13"/>
  <c r="AB125" i="13" s="1"/>
  <c r="AB115" i="13"/>
  <c r="AB116" i="13" s="1"/>
  <c r="Q124" i="13"/>
  <c r="W122" i="13"/>
  <c r="O119" i="13"/>
  <c r="U115" i="13"/>
  <c r="U116" i="13" s="1"/>
  <c r="I115" i="13"/>
  <c r="I116" i="13" s="1"/>
  <c r="T122" i="13"/>
  <c r="Z121" i="13"/>
  <c r="N121" i="13"/>
  <c r="T120" i="13"/>
  <c r="Z119" i="13"/>
  <c r="N119" i="13"/>
  <c r="T115" i="13"/>
  <c r="T116" i="13" s="1"/>
  <c r="H115" i="13"/>
  <c r="H116" i="13" s="1"/>
  <c r="H124" i="13"/>
  <c r="H121" i="13"/>
  <c r="P124" i="13"/>
  <c r="V122" i="13"/>
  <c r="J122" i="13"/>
  <c r="K122" i="13"/>
  <c r="Q121" i="13"/>
  <c r="W120" i="13"/>
  <c r="K120" i="13"/>
  <c r="Q119" i="13"/>
  <c r="W115" i="13"/>
  <c r="W116" i="13" s="1"/>
  <c r="P121" i="13"/>
  <c r="V120" i="13"/>
  <c r="J120" i="13"/>
  <c r="P119" i="13"/>
  <c r="V115" i="13"/>
  <c r="V116" i="13" s="1"/>
  <c r="J115" i="13"/>
  <c r="J116" i="13" s="1"/>
  <c r="AA120" i="13"/>
  <c r="O120" i="13"/>
  <c r="U119" i="13"/>
  <c r="I119" i="13"/>
  <c r="AA115" i="13"/>
  <c r="AA116" i="13" s="1"/>
  <c r="O115" i="13"/>
  <c r="O116" i="13" s="1"/>
  <c r="R124" i="13"/>
  <c r="X122" i="13"/>
  <c r="L122" i="13"/>
  <c r="R121" i="13"/>
  <c r="X120" i="13"/>
  <c r="L120" i="13"/>
  <c r="R119" i="13"/>
  <c r="X115" i="13"/>
  <c r="X116" i="13" s="1"/>
  <c r="L115" i="13"/>
  <c r="L116" i="13" s="1"/>
  <c r="Q123" i="13"/>
  <c r="K115" i="13"/>
  <c r="K116" i="13" s="1"/>
  <c r="W124" i="13"/>
  <c r="K124" i="13"/>
  <c r="Q122" i="13"/>
  <c r="W121" i="13"/>
  <c r="K121" i="13"/>
  <c r="Q120" i="13"/>
  <c r="W119" i="13"/>
  <c r="K119" i="13"/>
  <c r="Q115" i="13"/>
  <c r="Q116" i="13" s="1"/>
  <c r="H122" i="13"/>
  <c r="V124" i="13"/>
  <c r="J124" i="13"/>
  <c r="V123" i="13"/>
  <c r="J123" i="13"/>
  <c r="P122" i="13"/>
  <c r="V121" i="13"/>
  <c r="J121" i="13"/>
  <c r="P120" i="13"/>
  <c r="V119" i="13"/>
  <c r="J119" i="13"/>
  <c r="P115" i="13"/>
  <c r="P116" i="13" s="1"/>
  <c r="S124" i="13"/>
  <c r="S123" i="13"/>
  <c r="Y122" i="13"/>
  <c r="M122" i="13"/>
  <c r="S121" i="13"/>
  <c r="Y120" i="13"/>
  <c r="M120" i="13"/>
  <c r="S119" i="13"/>
  <c r="Y115" i="13"/>
  <c r="Y116" i="13" s="1"/>
  <c r="M115" i="13"/>
  <c r="M116" i="13" s="1"/>
  <c r="R123" i="13"/>
  <c r="AA123" i="13"/>
  <c r="O123" i="13"/>
  <c r="Z123" i="13"/>
  <c r="N123" i="13"/>
  <c r="Y124" i="13"/>
  <c r="M124" i="13"/>
  <c r="Y123" i="13"/>
  <c r="M123" i="13"/>
  <c r="S122" i="13"/>
  <c r="Y121" i="13"/>
  <c r="M121" i="13"/>
  <c r="S120" i="13"/>
  <c r="Y119" i="13"/>
  <c r="M119" i="13"/>
  <c r="S115" i="13"/>
  <c r="S116" i="13" s="1"/>
  <c r="P123" i="13"/>
  <c r="H120" i="13"/>
  <c r="X124" i="13"/>
  <c r="L124" i="13"/>
  <c r="X123" i="13"/>
  <c r="L123" i="13"/>
  <c r="R122" i="13"/>
  <c r="X121" i="13"/>
  <c r="L121" i="13"/>
  <c r="R120" i="13"/>
  <c r="X119" i="13"/>
  <c r="L119" i="13"/>
  <c r="R115" i="13"/>
  <c r="R116" i="13" s="1"/>
  <c r="AB92" i="13"/>
  <c r="AE92" i="13"/>
  <c r="AD92" i="13"/>
  <c r="AC92" i="13"/>
  <c r="W123" i="13"/>
  <c r="K123" i="13"/>
  <c r="I124" i="13"/>
  <c r="U123" i="13"/>
  <c r="O122" i="13"/>
  <c r="U121" i="13"/>
  <c r="U124" i="13"/>
  <c r="I123" i="13"/>
  <c r="AA122" i="13"/>
  <c r="I121" i="13"/>
  <c r="H123" i="13"/>
  <c r="T124" i="13"/>
  <c r="T123" i="13"/>
  <c r="Z122" i="13"/>
  <c r="N122" i="13"/>
  <c r="T121" i="13"/>
  <c r="Z120" i="13"/>
  <c r="N120" i="13"/>
  <c r="T119" i="13"/>
  <c r="Z115" i="13"/>
  <c r="Z116" i="13" s="1"/>
  <c r="N115" i="13"/>
  <c r="N116" i="13" s="1"/>
  <c r="AJ101" i="13"/>
  <c r="AJ104" i="13"/>
  <c r="AG106" i="13"/>
  <c r="AK106" i="13" s="1"/>
  <c r="AK104" i="13" s="1"/>
  <c r="AK103" i="13" s="1"/>
  <c r="AK123" i="13" s="1"/>
  <c r="AJ107" i="13"/>
  <c r="B81" i="9"/>
  <c r="E81" i="9"/>
  <c r="E80" i="9"/>
  <c r="AH88" i="13"/>
  <c r="AG88" i="13"/>
  <c r="AJ122" i="13" l="1"/>
  <c r="AK122" i="13"/>
  <c r="AG122" i="13"/>
  <c r="AK101" i="13"/>
  <c r="AB127" i="13"/>
  <c r="AC127" i="13"/>
  <c r="Q125" i="13"/>
  <c r="Q127" i="13" s="1"/>
  <c r="AA125" i="13"/>
  <c r="AA127" i="13" s="1"/>
  <c r="P125" i="13"/>
  <c r="P127" i="13" s="1"/>
  <c r="H125" i="13"/>
  <c r="H127" i="13" s="1"/>
  <c r="W125" i="13"/>
  <c r="W127" i="13" s="1"/>
  <c r="J125" i="13"/>
  <c r="J127" i="13" s="1"/>
  <c r="K125" i="13"/>
  <c r="K127" i="13" s="1"/>
  <c r="I125" i="13"/>
  <c r="I127" i="13" s="1"/>
  <c r="T125" i="13"/>
  <c r="T127" i="13" s="1"/>
  <c r="V125" i="13"/>
  <c r="V127" i="13" s="1"/>
  <c r="N125" i="13"/>
  <c r="N127" i="13" s="1"/>
  <c r="O125" i="13"/>
  <c r="O127" i="13" s="1"/>
  <c r="Z125" i="13"/>
  <c r="Z127" i="13" s="1"/>
  <c r="U125" i="13"/>
  <c r="U127" i="13" s="1"/>
  <c r="R125" i="13"/>
  <c r="R127" i="13" s="1"/>
  <c r="L125" i="13"/>
  <c r="L127" i="13" s="1"/>
  <c r="Y125" i="13"/>
  <c r="Y127" i="13" s="1"/>
  <c r="X125" i="13"/>
  <c r="X127" i="13" s="1"/>
  <c r="M125" i="13"/>
  <c r="M127" i="13" s="1"/>
  <c r="S125" i="13"/>
  <c r="S127" i="13" s="1"/>
  <c r="AJ103" i="13"/>
  <c r="AK107" i="13"/>
  <c r="AJ123" i="13" l="1"/>
  <c r="E91" i="9" l="1"/>
  <c r="F91" i="9" l="1"/>
  <c r="P13" i="22" l="1"/>
  <c r="H17" i="17" l="1"/>
  <c r="G17" i="17"/>
  <c r="F17" i="17"/>
  <c r="E17" i="17"/>
  <c r="H5" i="17"/>
  <c r="G5" i="17"/>
  <c r="F5" i="17"/>
  <c r="E5" i="17"/>
  <c r="AI80" i="13"/>
  <c r="AH80" i="13"/>
  <c r="AG80" i="13"/>
  <c r="AF80" i="13"/>
  <c r="W24" i="29" l="1"/>
  <c r="W18" i="29"/>
  <c r="W12" i="29"/>
  <c r="AI100" i="13"/>
  <c r="AI122" i="13" s="1"/>
  <c r="B91" i="9"/>
  <c r="AM100" i="13" l="1"/>
  <c r="AM122" i="13" s="1"/>
  <c r="AI106" i="13"/>
  <c r="AM106" i="13" s="1"/>
  <c r="AM101" i="13" l="1"/>
  <c r="AM104" i="13"/>
  <c r="AM103" i="13" s="1"/>
  <c r="AM123" i="13" s="1"/>
  <c r="AM107" i="13"/>
  <c r="T24" i="29" l="1"/>
  <c r="U24" i="29"/>
  <c r="V24" i="29"/>
  <c r="T18" i="29"/>
  <c r="U18" i="29"/>
  <c r="V18" i="29"/>
  <c r="T12" i="29"/>
  <c r="U12" i="29"/>
  <c r="V12" i="29"/>
  <c r="AH100" i="13" l="1"/>
  <c r="AH122" i="13" s="1"/>
  <c r="C12" i="26" s="1"/>
  <c r="AL100" i="13" l="1"/>
  <c r="AL122" i="13" s="1"/>
  <c r="I42" i="17"/>
  <c r="AH106" i="13"/>
  <c r="AL106" i="13" s="1"/>
  <c r="J47" i="17" s="1"/>
  <c r="F92" i="9"/>
  <c r="B99" i="9" s="1"/>
  <c r="J42" i="17" l="1"/>
  <c r="AL101" i="13"/>
  <c r="I18" i="19"/>
  <c r="AG109" i="13"/>
  <c r="AG124" i="13" s="1"/>
  <c r="AL104" i="13"/>
  <c r="AL107" i="13"/>
  <c r="AH109" i="13" l="1"/>
  <c r="AH124" i="13" s="1"/>
  <c r="AL103" i="13"/>
  <c r="I21" i="19"/>
  <c r="AI109" i="13" l="1"/>
  <c r="AI124" i="13" s="1"/>
  <c r="AL123" i="13"/>
  <c r="I20" i="19"/>
  <c r="B78" i="9"/>
  <c r="AJ109" i="13" l="1"/>
  <c r="I23" i="19"/>
  <c r="E101" i="23" s="1"/>
  <c r="D13" i="26"/>
  <c r="O13" i="26"/>
  <c r="I22" i="19"/>
  <c r="J49" i="17" s="1"/>
  <c r="E78" i="9"/>
  <c r="E77" i="9"/>
  <c r="B77" i="9"/>
  <c r="B72" i="9"/>
  <c r="H91" i="23" l="1"/>
  <c r="I91" i="23" s="1"/>
  <c r="H92" i="23"/>
  <c r="I92" i="23" s="1"/>
  <c r="AJ110" i="13"/>
  <c r="AK109" i="13"/>
  <c r="AK124" i="13" s="1"/>
  <c r="AJ124" i="13"/>
  <c r="H98" i="23" l="1"/>
  <c r="AL109" i="13"/>
  <c r="AM109" i="13" s="1"/>
  <c r="AK110" i="13"/>
  <c r="D91" i="9"/>
  <c r="C91" i="9"/>
  <c r="J53" i="17" l="1"/>
  <c r="AL124" i="13"/>
  <c r="AL110" i="13"/>
  <c r="I25" i="19"/>
  <c r="AM124" i="13"/>
  <c r="AM110" i="13"/>
  <c r="AF79" i="13"/>
  <c r="AJ79" i="13" s="1"/>
  <c r="AG79" i="13"/>
  <c r="AK79" i="13" s="1"/>
  <c r="AH79" i="13"/>
  <c r="AL79" i="13" s="1"/>
  <c r="O14" i="26" l="1"/>
  <c r="D14" i="26"/>
  <c r="AK77" i="13"/>
  <c r="AK118" i="13" s="1"/>
  <c r="AH77" i="13"/>
  <c r="AH118" i="13" s="1"/>
  <c r="AJ77" i="13"/>
  <c r="AF77" i="13"/>
  <c r="AG77" i="13"/>
  <c r="AG118" i="13" s="1"/>
  <c r="AH76" i="13"/>
  <c r="AH114" i="13" s="1"/>
  <c r="AJ118" i="13" l="1"/>
  <c r="AK76" i="13"/>
  <c r="AK114" i="13" s="1"/>
  <c r="AJ76" i="13"/>
  <c r="AL77" i="13"/>
  <c r="AL118" i="13" s="1"/>
  <c r="AG76" i="13"/>
  <c r="AG114" i="13" s="1"/>
  <c r="AF76" i="13"/>
  <c r="AL76" i="13" l="1"/>
  <c r="AL114" i="13" s="1"/>
  <c r="AJ114" i="13"/>
  <c r="P14" i="22"/>
  <c r="L31" i="9" l="1"/>
  <c r="M31" i="9"/>
  <c r="L32" i="9"/>
  <c r="M32" i="9"/>
  <c r="M33" i="9"/>
  <c r="G29" i="17" l="1"/>
  <c r="H29" i="17"/>
  <c r="I22" i="17"/>
  <c r="I10" i="17"/>
  <c r="F10" i="17"/>
  <c r="G10" i="17"/>
  <c r="H10" i="17"/>
  <c r="E10" i="17"/>
  <c r="I29" i="17" l="1"/>
  <c r="H22" i="17"/>
  <c r="G22" i="17"/>
  <c r="S24" i="29" l="1"/>
  <c r="S18" i="29"/>
  <c r="S12" i="29"/>
  <c r="W10" i="29" s="1"/>
  <c r="AI87" i="13" l="1"/>
  <c r="AM87" i="13" s="1"/>
  <c r="H153" i="13"/>
  <c r="C25" i="19"/>
  <c r="B25" i="19"/>
  <c r="AM83" i="13" l="1"/>
  <c r="AM119" i="13" s="1"/>
  <c r="AM85" i="13"/>
  <c r="AM120" i="13" s="1"/>
  <c r="AI79" i="13"/>
  <c r="AM79" i="13" s="1"/>
  <c r="J6" i="17" s="1"/>
  <c r="AI83" i="13"/>
  <c r="AI119" i="13" s="1"/>
  <c r="AI85" i="13"/>
  <c r="AI120" i="13" s="1"/>
  <c r="E52" i="17"/>
  <c r="F52" i="17"/>
  <c r="G52" i="17"/>
  <c r="H52" i="17"/>
  <c r="I52" i="17"/>
  <c r="C46" i="17"/>
  <c r="D46" i="17"/>
  <c r="E46" i="17"/>
  <c r="F46" i="17"/>
  <c r="G46" i="17"/>
  <c r="H46" i="17"/>
  <c r="I46" i="17"/>
  <c r="B46" i="17"/>
  <c r="C28" i="17"/>
  <c r="D28" i="17"/>
  <c r="E28" i="17"/>
  <c r="F28" i="17"/>
  <c r="G28" i="17"/>
  <c r="H28" i="17"/>
  <c r="I28" i="17"/>
  <c r="C21" i="17"/>
  <c r="D21" i="17"/>
  <c r="E21" i="17"/>
  <c r="F21" i="17"/>
  <c r="G21" i="17"/>
  <c r="H21" i="17"/>
  <c r="I21" i="17"/>
  <c r="B21" i="17"/>
  <c r="C36" i="17"/>
  <c r="D36" i="17"/>
  <c r="E36" i="17"/>
  <c r="B36" i="17"/>
  <c r="C9" i="17"/>
  <c r="D9" i="17"/>
  <c r="E9" i="17"/>
  <c r="F9" i="17"/>
  <c r="G9" i="17"/>
  <c r="H9" i="17"/>
  <c r="I9" i="17"/>
  <c r="B9" i="17"/>
  <c r="C16" i="17"/>
  <c r="D16" i="17"/>
  <c r="E16" i="17"/>
  <c r="F16" i="17"/>
  <c r="G16" i="17"/>
  <c r="H16" i="17"/>
  <c r="I16" i="17"/>
  <c r="B16" i="17"/>
  <c r="C4" i="17"/>
  <c r="D4" i="17"/>
  <c r="E4" i="17"/>
  <c r="F4" i="17"/>
  <c r="G4" i="17"/>
  <c r="H4" i="17"/>
  <c r="I4" i="17"/>
  <c r="B4" i="17"/>
  <c r="AM82" i="13" l="1"/>
  <c r="AM115" i="13" s="1"/>
  <c r="I6" i="17"/>
  <c r="AI82" i="13"/>
  <c r="AI115" i="13" s="1"/>
  <c r="R24" i="29"/>
  <c r="Q24" i="29"/>
  <c r="P24" i="29"/>
  <c r="O24" i="29"/>
  <c r="N24" i="29"/>
  <c r="M24" i="29"/>
  <c r="L24" i="29"/>
  <c r="K24" i="29"/>
  <c r="R18" i="29"/>
  <c r="Q18" i="29"/>
  <c r="P18" i="29"/>
  <c r="O18" i="29"/>
  <c r="N18" i="29"/>
  <c r="M18" i="29"/>
  <c r="L18" i="29"/>
  <c r="K18" i="29"/>
  <c r="J18" i="29"/>
  <c r="I18" i="29"/>
  <c r="H18" i="29"/>
  <c r="G18" i="29"/>
  <c r="F18" i="29"/>
  <c r="E18" i="29"/>
  <c r="D18" i="29"/>
  <c r="R12" i="29"/>
  <c r="V10" i="29" s="1"/>
  <c r="Q12" i="29"/>
  <c r="U10" i="29" s="1"/>
  <c r="P12" i="29"/>
  <c r="T10" i="29" s="1"/>
  <c r="AE10" i="29" s="1"/>
  <c r="O12" i="29"/>
  <c r="N12" i="29"/>
  <c r="M12" i="29"/>
  <c r="L12" i="29"/>
  <c r="K12" i="29"/>
  <c r="J12" i="29"/>
  <c r="I12" i="29"/>
  <c r="H12" i="29"/>
  <c r="G12" i="29"/>
  <c r="F12" i="29"/>
  <c r="E12" i="29"/>
  <c r="D12" i="29"/>
  <c r="R11" i="29"/>
  <c r="Q11" i="29"/>
  <c r="P11" i="29"/>
  <c r="O11" i="29"/>
  <c r="N11" i="29"/>
  <c r="M11" i="29"/>
  <c r="L11" i="29"/>
  <c r="K11" i="29"/>
  <c r="J11" i="29"/>
  <c r="I11" i="29"/>
  <c r="H11" i="29"/>
  <c r="G11" i="29"/>
  <c r="F11" i="29"/>
  <c r="E11" i="29"/>
  <c r="D11" i="29"/>
  <c r="AM77" i="13" l="1"/>
  <c r="I53" i="17"/>
  <c r="H25" i="19"/>
  <c r="AF110" i="13"/>
  <c r="C14" i="26"/>
  <c r="AI110" i="13"/>
  <c r="AH110" i="13"/>
  <c r="AG110" i="13"/>
  <c r="T11" i="29"/>
  <c r="S11" i="29"/>
  <c r="AM118" i="13" l="1"/>
  <c r="D8" i="26" s="1"/>
  <c r="I6" i="19"/>
  <c r="AM76" i="13"/>
  <c r="N14" i="26"/>
  <c r="U11" i="29"/>
  <c r="O8" i="26" l="1"/>
  <c r="AM114" i="13"/>
  <c r="D4" i="26" s="1"/>
  <c r="I5" i="19"/>
  <c r="I7" i="19" s="1"/>
  <c r="J13" i="17" s="1"/>
  <c r="V11" i="29"/>
  <c r="O4" i="26" l="1"/>
  <c r="AM116" i="13"/>
  <c r="I8" i="19"/>
  <c r="W11" i="29"/>
  <c r="X11" i="29" l="1"/>
  <c r="Y11" i="29" l="1"/>
  <c r="Z11" i="29" l="1"/>
  <c r="AB5" i="29"/>
  <c r="AB11" i="29" l="1"/>
  <c r="AC5" i="29"/>
  <c r="AA11" i="29"/>
  <c r="AD5" i="29" l="1"/>
  <c r="AC11" i="29"/>
  <c r="AE5" i="29" l="1"/>
  <c r="AD11" i="29"/>
  <c r="AG75" i="13"/>
  <c r="AH75" i="13"/>
  <c r="AI75" i="13"/>
  <c r="AJ75" i="13"/>
  <c r="AK75" i="13"/>
  <c r="AL75" i="13"/>
  <c r="AM75" i="13"/>
  <c r="AN75" i="13"/>
  <c r="AO75" i="13"/>
  <c r="AP75" i="13"/>
  <c r="AQ75" i="13"/>
  <c r="AR75" i="13"/>
  <c r="AS75" i="13"/>
  <c r="AT75" i="13"/>
  <c r="AU75" i="13"/>
  <c r="AE11" i="29" l="1"/>
  <c r="AF5" i="29"/>
  <c r="B18" i="19"/>
  <c r="C18" i="19"/>
  <c r="D18" i="19"/>
  <c r="E18" i="19"/>
  <c r="AF11" i="29" l="1"/>
  <c r="AG5" i="29"/>
  <c r="F18" i="19"/>
  <c r="AH5" i="29" l="1"/>
  <c r="AG11" i="29"/>
  <c r="AH101" i="13"/>
  <c r="AI101" i="13"/>
  <c r="AG101" i="13"/>
  <c r="G18" i="19"/>
  <c r="K18" i="19" s="1"/>
  <c r="AF75" i="13"/>
  <c r="AH11" i="29" l="1"/>
  <c r="AI5" i="29"/>
  <c r="AI11" i="29" s="1"/>
  <c r="H18" i="19"/>
  <c r="AF101" i="13"/>
  <c r="R17" i="22"/>
  <c r="R16" i="22"/>
  <c r="R15" i="22"/>
  <c r="R11" i="22"/>
  <c r="R10" i="22"/>
  <c r="J83" i="23" s="1"/>
  <c r="R9" i="22"/>
  <c r="J66" i="23" s="1"/>
  <c r="R8" i="22"/>
  <c r="R7" i="22"/>
  <c r="J37" i="23" s="1"/>
  <c r="R6" i="22"/>
  <c r="Q17" i="22"/>
  <c r="Q16" i="22"/>
  <c r="Q15" i="22"/>
  <c r="Q11" i="22"/>
  <c r="Q9" i="22"/>
  <c r="Q10" i="22"/>
  <c r="Q8" i="22"/>
  <c r="Q7" i="22"/>
  <c r="Q6" i="22"/>
  <c r="P17" i="22"/>
  <c r="P16" i="22"/>
  <c r="P15" i="22"/>
  <c r="P11" i="22"/>
  <c r="P10" i="22"/>
  <c r="P9" i="22"/>
  <c r="P8" i="22"/>
  <c r="P7" i="22"/>
  <c r="P6" i="22"/>
  <c r="AF87" i="13" l="1"/>
  <c r="AJ87" i="13" s="1"/>
  <c r="AH87" i="13"/>
  <c r="AL87" i="13" s="1"/>
  <c r="AG87" i="13"/>
  <c r="AK87" i="13" s="1"/>
  <c r="B13" i="19"/>
  <c r="C6" i="19"/>
  <c r="B6" i="19"/>
  <c r="B5" i="19"/>
  <c r="B10" i="19"/>
  <c r="C13" i="19"/>
  <c r="D92" i="9"/>
  <c r="B92" i="9"/>
  <c r="B21" i="19"/>
  <c r="C10" i="19"/>
  <c r="E92" i="9"/>
  <c r="B98" i="9" s="1"/>
  <c r="C92" i="9"/>
  <c r="C11" i="19"/>
  <c r="B11" i="19"/>
  <c r="C5" i="19"/>
  <c r="C21" i="19"/>
  <c r="E30" i="17"/>
  <c r="D18" i="17"/>
  <c r="D11" i="17"/>
  <c r="E53" i="17"/>
  <c r="D25" i="19"/>
  <c r="E23" i="17"/>
  <c r="D11" i="19"/>
  <c r="D13" i="19"/>
  <c r="H9" i="26"/>
  <c r="E11" i="17"/>
  <c r="D6" i="19"/>
  <c r="D53" i="17"/>
  <c r="D21" i="19"/>
  <c r="D5" i="19"/>
  <c r="D47" i="17"/>
  <c r="D23" i="17"/>
  <c r="E18" i="17"/>
  <c r="E47" i="17"/>
  <c r="D10" i="19"/>
  <c r="F18" i="17"/>
  <c r="J18" i="17" l="1"/>
  <c r="AL83" i="13"/>
  <c r="AL119" i="13" s="1"/>
  <c r="AL85" i="13"/>
  <c r="AL120" i="13" s="1"/>
  <c r="AJ83" i="13"/>
  <c r="AJ85" i="13"/>
  <c r="AK85" i="13"/>
  <c r="AK120" i="13" s="1"/>
  <c r="AK83" i="13"/>
  <c r="AK119" i="13" s="1"/>
  <c r="I18" i="17"/>
  <c r="AH83" i="13"/>
  <c r="AH119" i="13" s="1"/>
  <c r="AH85" i="13"/>
  <c r="AH120" i="13" s="1"/>
  <c r="AF85" i="13"/>
  <c r="AF83" i="13"/>
  <c r="C9" i="26" s="1"/>
  <c r="AG83" i="13"/>
  <c r="AG119" i="13" s="1"/>
  <c r="AG85" i="13"/>
  <c r="AG120" i="13" s="1"/>
  <c r="K14" i="26"/>
  <c r="I4" i="26"/>
  <c r="K4" i="26"/>
  <c r="K10" i="26"/>
  <c r="B7" i="19"/>
  <c r="B12" i="19"/>
  <c r="C25" i="17" s="1"/>
  <c r="B8" i="19"/>
  <c r="I9" i="26"/>
  <c r="C8" i="19"/>
  <c r="J8" i="26"/>
  <c r="H12" i="26"/>
  <c r="J14" i="26"/>
  <c r="J12" i="26"/>
  <c r="H5" i="26"/>
  <c r="K5" i="26"/>
  <c r="K9" i="26"/>
  <c r="C20" i="19"/>
  <c r="C23" i="19" s="1"/>
  <c r="J11" i="26"/>
  <c r="J9" i="26"/>
  <c r="H4" i="26"/>
  <c r="C12" i="19"/>
  <c r="D25" i="17" s="1"/>
  <c r="J13" i="26"/>
  <c r="K11" i="26"/>
  <c r="I5" i="26"/>
  <c r="H10" i="26"/>
  <c r="J4" i="26"/>
  <c r="I14" i="26"/>
  <c r="H13" i="26"/>
  <c r="C7" i="19"/>
  <c r="I8" i="26"/>
  <c r="I10" i="26"/>
  <c r="K8" i="26"/>
  <c r="H14" i="26"/>
  <c r="J5" i="26"/>
  <c r="H11" i="26"/>
  <c r="C15" i="19"/>
  <c r="C14" i="19"/>
  <c r="I12" i="26"/>
  <c r="J10" i="26"/>
  <c r="I13" i="26"/>
  <c r="H8" i="26"/>
  <c r="B20" i="19"/>
  <c r="B23" i="19" s="1"/>
  <c r="K12" i="26"/>
  <c r="I11" i="26"/>
  <c r="I24" i="26" s="1"/>
  <c r="K13" i="26"/>
  <c r="AI77" i="13"/>
  <c r="B15" i="19"/>
  <c r="B14" i="19"/>
  <c r="D15" i="19"/>
  <c r="E25" i="19"/>
  <c r="F25" i="19"/>
  <c r="F53" i="17"/>
  <c r="F6" i="17"/>
  <c r="D14" i="19"/>
  <c r="E32" i="17" s="1"/>
  <c r="D8" i="19"/>
  <c r="D12" i="19"/>
  <c r="E25" i="17" s="1"/>
  <c r="D7" i="19"/>
  <c r="E13" i="17" s="1"/>
  <c r="D20" i="19"/>
  <c r="D23" i="19" s="1"/>
  <c r="E6" i="17"/>
  <c r="G53" i="17"/>
  <c r="F47" i="17"/>
  <c r="G18" i="17"/>
  <c r="C10" i="26" l="1"/>
  <c r="J24" i="26"/>
  <c r="K24" i="26"/>
  <c r="AJ82" i="13"/>
  <c r="J30" i="17"/>
  <c r="J23" i="17"/>
  <c r="AI118" i="13"/>
  <c r="J11" i="17"/>
  <c r="AK82" i="13"/>
  <c r="AK115" i="13" s="1"/>
  <c r="AK116" i="13" s="1"/>
  <c r="AJ115" i="13"/>
  <c r="AJ116" i="13" s="1"/>
  <c r="AJ120" i="13"/>
  <c r="D10" i="26" s="1"/>
  <c r="I13" i="19"/>
  <c r="AJ119" i="13"/>
  <c r="D9" i="26" s="1"/>
  <c r="I11" i="19"/>
  <c r="AL82" i="13"/>
  <c r="AL115" i="13" s="1"/>
  <c r="AL116" i="13" s="1"/>
  <c r="J17" i="26"/>
  <c r="AG82" i="13"/>
  <c r="H11" i="19"/>
  <c r="AI76" i="13"/>
  <c r="AI114" i="13" s="1"/>
  <c r="H6" i="19"/>
  <c r="H13" i="19"/>
  <c r="AF82" i="13"/>
  <c r="AH82" i="13"/>
  <c r="K6" i="26"/>
  <c r="K21" i="26" s="1"/>
  <c r="I6" i="26"/>
  <c r="I21" i="26" s="1"/>
  <c r="H32" i="26"/>
  <c r="H18" i="17"/>
  <c r="H6" i="26"/>
  <c r="H21" i="26" s="1"/>
  <c r="C22" i="19"/>
  <c r="K15" i="26"/>
  <c r="I33" i="26"/>
  <c r="K17" i="26"/>
  <c r="B22" i="19"/>
  <c r="J6" i="26"/>
  <c r="J21" i="26" s="1"/>
  <c r="H17" i="26"/>
  <c r="H15" i="26"/>
  <c r="I15" i="26"/>
  <c r="J15" i="26"/>
  <c r="I32" i="26"/>
  <c r="I17" i="26"/>
  <c r="L14" i="26"/>
  <c r="H33" i="26"/>
  <c r="D22" i="19"/>
  <c r="E49" i="17" s="1"/>
  <c r="G6" i="17"/>
  <c r="H53" i="17"/>
  <c r="G47" i="17"/>
  <c r="C8" i="26" l="1"/>
  <c r="N8" i="26"/>
  <c r="N4" i="26"/>
  <c r="C4" i="26"/>
  <c r="O9" i="26"/>
  <c r="O10" i="26"/>
  <c r="I10" i="19"/>
  <c r="AH115" i="13"/>
  <c r="AH116" i="13" s="1"/>
  <c r="AG115" i="13"/>
  <c r="AG116" i="13" s="1"/>
  <c r="D5" i="26"/>
  <c r="O5" i="26"/>
  <c r="E37" i="23"/>
  <c r="E66" i="23"/>
  <c r="E83" i="23"/>
  <c r="I30" i="17"/>
  <c r="I23" i="17"/>
  <c r="I47" i="17"/>
  <c r="N9" i="26"/>
  <c r="AG104" i="13"/>
  <c r="AG103" i="13" s="1"/>
  <c r="AG123" i="13" s="1"/>
  <c r="AG107" i="13"/>
  <c r="AH104" i="13"/>
  <c r="AH107" i="13"/>
  <c r="AF104" i="13"/>
  <c r="AF107" i="13"/>
  <c r="H5" i="19"/>
  <c r="N10" i="26"/>
  <c r="H10" i="19"/>
  <c r="H14" i="19" s="1"/>
  <c r="I32" i="17" s="1"/>
  <c r="J33" i="26"/>
  <c r="J32" i="26"/>
  <c r="G13" i="19"/>
  <c r="K13" i="19" s="1"/>
  <c r="H19" i="26"/>
  <c r="J19" i="26"/>
  <c r="K19" i="26"/>
  <c r="I19" i="26"/>
  <c r="G25" i="19"/>
  <c r="K25" i="19" s="1"/>
  <c r="H47" i="17"/>
  <c r="G11" i="19"/>
  <c r="K11" i="19" s="1"/>
  <c r="H6" i="17"/>
  <c r="N5" i="26" l="1"/>
  <c r="C5" i="26"/>
  <c r="C6" i="26" s="1"/>
  <c r="O6" i="26"/>
  <c r="O21" i="26" s="1"/>
  <c r="P9" i="26"/>
  <c r="Q9" i="26" s="1"/>
  <c r="R9" i="26" s="1"/>
  <c r="S9" i="26" s="1"/>
  <c r="T9" i="26" s="1"/>
  <c r="U9" i="26" s="1"/>
  <c r="V9" i="26" s="1"/>
  <c r="W9" i="26" s="1"/>
  <c r="X9" i="26" s="1"/>
  <c r="Y9" i="26" s="1"/>
  <c r="Z9" i="26" s="1"/>
  <c r="AA9" i="26" s="1"/>
  <c r="H47" i="23"/>
  <c r="I47" i="23" s="1"/>
  <c r="H45" i="23"/>
  <c r="H44" i="23"/>
  <c r="H46" i="23"/>
  <c r="I46" i="23" s="1"/>
  <c r="H74" i="23"/>
  <c r="I74" i="23" s="1"/>
  <c r="H83" i="23" s="1"/>
  <c r="H7" i="23"/>
  <c r="H6" i="23"/>
  <c r="I6" i="23" s="1"/>
  <c r="I15" i="19"/>
  <c r="I14" i="19"/>
  <c r="J32" i="17" s="1"/>
  <c r="I12" i="19"/>
  <c r="J25" i="17" s="1"/>
  <c r="AF103" i="13"/>
  <c r="H7" i="19"/>
  <c r="I13" i="17" s="1"/>
  <c r="I11" i="17"/>
  <c r="AI104" i="13"/>
  <c r="H21" i="19" s="1"/>
  <c r="AI107" i="13"/>
  <c r="AH103" i="13"/>
  <c r="AH123" i="13" s="1"/>
  <c r="H8" i="19"/>
  <c r="H15" i="19"/>
  <c r="AI116" i="13"/>
  <c r="P4" i="26"/>
  <c r="P5" i="26"/>
  <c r="Q5" i="26" s="1"/>
  <c r="R5" i="26" s="1"/>
  <c r="S5" i="26" s="1"/>
  <c r="T5" i="26" s="1"/>
  <c r="U5" i="26" s="1"/>
  <c r="V5" i="26" s="1"/>
  <c r="W5" i="26" s="1"/>
  <c r="X5" i="26" s="1"/>
  <c r="Y5" i="26" s="1"/>
  <c r="Z5" i="26" s="1"/>
  <c r="AA5" i="26" s="1"/>
  <c r="H12" i="19"/>
  <c r="I25" i="17" s="1"/>
  <c r="M14" i="26"/>
  <c r="P14" i="26" s="1" a="1"/>
  <c r="P14" i="26" s="1"/>
  <c r="M9" i="26"/>
  <c r="M10" i="26"/>
  <c r="P10" i="26" s="1" a="1"/>
  <c r="P10" i="26" s="1"/>
  <c r="G21" i="19"/>
  <c r="K21" i="19" s="1"/>
  <c r="G6" i="19"/>
  <c r="K6" i="19" s="1"/>
  <c r="G10" i="19"/>
  <c r="G15" i="19" s="1"/>
  <c r="G20" i="19"/>
  <c r="K20" i="19" s="1"/>
  <c r="Q14" i="26" l="1" a="1"/>
  <c r="Q14" i="26" s="1"/>
  <c r="R14" i="26" s="1" a="1"/>
  <c r="R14" i="26" s="1"/>
  <c r="Q4" i="26"/>
  <c r="P6" i="26"/>
  <c r="P21" i="26" s="1"/>
  <c r="Q10" i="26" a="1"/>
  <c r="Q10" i="26" s="1"/>
  <c r="AG25" i="29"/>
  <c r="AH25" i="29"/>
  <c r="AF25" i="29"/>
  <c r="AI25" i="29"/>
  <c r="K10" i="19"/>
  <c r="I44" i="23"/>
  <c r="I45" i="23"/>
  <c r="K15" i="19"/>
  <c r="AI103" i="13"/>
  <c r="N6" i="26"/>
  <c r="M13" i="26"/>
  <c r="M8" i="26"/>
  <c r="M5" i="26"/>
  <c r="G12" i="19"/>
  <c r="H25" i="17" s="1"/>
  <c r="G14" i="19"/>
  <c r="H32" i="17" s="1"/>
  <c r="G5" i="19"/>
  <c r="K5" i="19" s="1"/>
  <c r="G22" i="19"/>
  <c r="H49" i="17" s="1"/>
  <c r="G23" i="19"/>
  <c r="K23" i="19" s="1"/>
  <c r="S14" i="26" l="1" a="1"/>
  <c r="S14" i="26" s="1"/>
  <c r="T14" i="26" s="1" a="1"/>
  <c r="T14" i="26" s="1"/>
  <c r="U14" i="26" s="1" a="1"/>
  <c r="U14" i="26" s="1"/>
  <c r="R4" i="26"/>
  <c r="Q6" i="26"/>
  <c r="Q21" i="26" s="1"/>
  <c r="R10" i="26" a="1"/>
  <c r="R10" i="26" s="1"/>
  <c r="H66" i="23"/>
  <c r="AF19" i="29" s="1"/>
  <c r="H37" i="26"/>
  <c r="N21" i="26"/>
  <c r="AI123" i="13"/>
  <c r="H20" i="19"/>
  <c r="H23" i="19" s="1"/>
  <c r="M4" i="26"/>
  <c r="D6" i="26"/>
  <c r="G7" i="19"/>
  <c r="H13" i="17" s="1"/>
  <c r="G8" i="19"/>
  <c r="K8" i="19" s="1"/>
  <c r="L9" i="9"/>
  <c r="M9" i="9"/>
  <c r="L10" i="9"/>
  <c r="M10" i="9"/>
  <c r="L11" i="9"/>
  <c r="M11" i="9"/>
  <c r="L12" i="9"/>
  <c r="M12" i="9"/>
  <c r="L13" i="9"/>
  <c r="M13" i="9"/>
  <c r="L14" i="9"/>
  <c r="M14" i="9"/>
  <c r="L15" i="9"/>
  <c r="M15" i="9"/>
  <c r="L16" i="9"/>
  <c r="M16" i="9"/>
  <c r="L17" i="9"/>
  <c r="M17" i="9"/>
  <c r="L18" i="9"/>
  <c r="M18" i="9"/>
  <c r="L19" i="9"/>
  <c r="M19" i="9"/>
  <c r="L20" i="9"/>
  <c r="M20" i="9"/>
  <c r="L21" i="9"/>
  <c r="M21" i="9"/>
  <c r="L22" i="9"/>
  <c r="M22" i="9"/>
  <c r="L23" i="9"/>
  <c r="M23" i="9"/>
  <c r="L24" i="9"/>
  <c r="M24" i="9"/>
  <c r="L25" i="9"/>
  <c r="M25" i="9"/>
  <c r="L26" i="9"/>
  <c r="M26" i="9"/>
  <c r="L27" i="9"/>
  <c r="M27" i="9"/>
  <c r="L28" i="9"/>
  <c r="M28" i="9"/>
  <c r="L29" i="9"/>
  <c r="M29" i="9"/>
  <c r="L30" i="9"/>
  <c r="M30" i="9"/>
  <c r="L8" i="9"/>
  <c r="M8" i="9"/>
  <c r="H30" i="9"/>
  <c r="N13" i="26" l="1"/>
  <c r="C13" i="26"/>
  <c r="V14" i="26" a="1"/>
  <c r="V14" i="26" s="1"/>
  <c r="S4" i="26"/>
  <c r="R6" i="26"/>
  <c r="R21" i="26" s="1"/>
  <c r="S10" i="26" a="1"/>
  <c r="S10" i="26" s="1"/>
  <c r="T10" i="26" s="1" a="1"/>
  <c r="T10" i="26" s="1"/>
  <c r="AI19" i="29"/>
  <c r="AH19" i="29"/>
  <c r="AG19" i="29"/>
  <c r="H22" i="19"/>
  <c r="I49" i="17" s="1"/>
  <c r="M6" i="26"/>
  <c r="C15" i="26" l="1"/>
  <c r="C17" i="26"/>
  <c r="W14" i="26" a="1"/>
  <c r="W14" i="26" s="1"/>
  <c r="X14" i="26" s="1" a="1"/>
  <c r="X14" i="26" s="1"/>
  <c r="Y14" i="26" s="1" a="1"/>
  <c r="Y14" i="26" s="1"/>
  <c r="T4" i="26"/>
  <c r="S6" i="26"/>
  <c r="S21" i="26" s="1"/>
  <c r="U10" i="26" a="1"/>
  <c r="U10" i="26" s="1"/>
  <c r="V10" i="26" s="1" a="1"/>
  <c r="V10" i="26" s="1"/>
  <c r="H36" i="26"/>
  <c r="M21" i="26"/>
  <c r="Z14" i="26" l="1" a="1"/>
  <c r="Z14" i="26" s="1"/>
  <c r="AA14" i="26" s="1" a="1"/>
  <c r="AA14" i="26" s="1"/>
  <c r="U4" i="26"/>
  <c r="T6" i="26"/>
  <c r="T21" i="26" s="1"/>
  <c r="W10" i="26" a="1"/>
  <c r="W10" i="26" s="1"/>
  <c r="X10" i="26" s="1" a="1"/>
  <c r="X10" i="26" s="1"/>
  <c r="D12" i="26"/>
  <c r="O12" i="26"/>
  <c r="N12" i="26"/>
  <c r="M12" i="26"/>
  <c r="L12" i="26"/>
  <c r="H31" i="26"/>
  <c r="I31" i="26"/>
  <c r="P12" i="26" l="1" a="1"/>
  <c r="P12" i="26" s="1"/>
  <c r="V4" i="26"/>
  <c r="U6" i="26"/>
  <c r="U21" i="26" s="1"/>
  <c r="Y10" i="26" a="1"/>
  <c r="Y10" i="26" s="1"/>
  <c r="Z10" i="26" s="1" a="1"/>
  <c r="Z10" i="26" s="1"/>
  <c r="AA10" i="26" s="1" a="1"/>
  <c r="AA10" i="26" s="1"/>
  <c r="J31" i="26"/>
  <c r="W4" i="26" l="1"/>
  <c r="V6" i="26"/>
  <c r="V21" i="26" s="1"/>
  <c r="Q12" i="26" a="1"/>
  <c r="Q12" i="26" s="1"/>
  <c r="B17" i="19"/>
  <c r="C17" i="19"/>
  <c r="B95" i="9"/>
  <c r="B96" i="9"/>
  <c r="B97" i="9"/>
  <c r="D38" i="17"/>
  <c r="E38" i="17"/>
  <c r="D17" i="19"/>
  <c r="X4" i="26" l="1"/>
  <c r="W6" i="26"/>
  <c r="W21" i="26" s="1"/>
  <c r="R12" i="26" a="1"/>
  <c r="R12" i="26" s="1"/>
  <c r="D6" i="17"/>
  <c r="Y4" i="26" l="1"/>
  <c r="X6" i="26"/>
  <c r="X21" i="26" s="1"/>
  <c r="S12" i="26" a="1"/>
  <c r="S12" i="26" s="1"/>
  <c r="T12" i="26" s="1" a="1"/>
  <c r="T12" i="26" s="1"/>
  <c r="F11" i="17"/>
  <c r="F30" i="17"/>
  <c r="F38" i="17"/>
  <c r="E17" i="19"/>
  <c r="F23" i="17"/>
  <c r="E11" i="19"/>
  <c r="E6" i="19"/>
  <c r="E13" i="19"/>
  <c r="Z4" i="26" l="1"/>
  <c r="Y6" i="26"/>
  <c r="Y21" i="26" s="1"/>
  <c r="U12" i="26" a="1"/>
  <c r="U12" i="26" s="1"/>
  <c r="G30" i="17"/>
  <c r="H30" i="17"/>
  <c r="E10" i="19"/>
  <c r="F6" i="19"/>
  <c r="G11" i="17"/>
  <c r="H11" i="17"/>
  <c r="G23" i="17"/>
  <c r="H23" i="17"/>
  <c r="F11" i="19"/>
  <c r="F13" i="19"/>
  <c r="E5" i="19"/>
  <c r="L8" i="26"/>
  <c r="P8" i="26" s="1" a="1"/>
  <c r="P8" i="26" s="1"/>
  <c r="Q8" i="26" l="1" a="1"/>
  <c r="Q8" i="26" s="1"/>
  <c r="R8" i="26" s="1" a="1"/>
  <c r="R8" i="26" s="1"/>
  <c r="V12" i="26" a="1"/>
  <c r="V12" i="26" s="1"/>
  <c r="AA4" i="26"/>
  <c r="Z6" i="26"/>
  <c r="Z21" i="26" s="1"/>
  <c r="I7" i="23"/>
  <c r="H37" i="23" s="1"/>
  <c r="L10" i="26"/>
  <c r="L9" i="26"/>
  <c r="L4" i="26"/>
  <c r="F10" i="19"/>
  <c r="F5" i="19"/>
  <c r="H34" i="26"/>
  <c r="S8" i="26" l="1" a="1"/>
  <c r="S8" i="26" s="1"/>
  <c r="AA6" i="26"/>
  <c r="AA21" i="26" s="1"/>
  <c r="W12" i="26" a="1"/>
  <c r="W12" i="26" s="1"/>
  <c r="X12" i="26" s="1" a="1"/>
  <c r="X12" i="26" s="1"/>
  <c r="F15" i="19"/>
  <c r="L5" i="26"/>
  <c r="L6" i="26" s="1"/>
  <c r="L21" i="26" s="1"/>
  <c r="F12" i="19"/>
  <c r="G25" i="17" s="1"/>
  <c r="F8" i="19"/>
  <c r="F7" i="19"/>
  <c r="G13" i="17" s="1"/>
  <c r="F14" i="19"/>
  <c r="G32" i="17" s="1"/>
  <c r="T8" i="26" l="1" a="1"/>
  <c r="T8" i="26" s="1"/>
  <c r="Y12" i="26" a="1"/>
  <c r="Y12" i="26" s="1"/>
  <c r="Z12" i="26" s="1" a="1"/>
  <c r="Z12" i="26" s="1"/>
  <c r="AA12" i="26" s="1" a="1"/>
  <c r="AA12" i="26" s="1"/>
  <c r="AF13" i="29"/>
  <c r="AG13" i="29"/>
  <c r="AH13" i="29"/>
  <c r="AI13" i="29"/>
  <c r="H35" i="26"/>
  <c r="H38" i="26" s="1"/>
  <c r="E15" i="19"/>
  <c r="E7" i="19"/>
  <c r="F13" i="17" s="1"/>
  <c r="E12" i="19"/>
  <c r="F25" i="17" s="1"/>
  <c r="E14" i="19"/>
  <c r="F32" i="17" s="1"/>
  <c r="E8" i="19"/>
  <c r="U8" i="26" l="1" a="1"/>
  <c r="U8" i="26" s="1"/>
  <c r="E76" i="9"/>
  <c r="V8" i="26" l="1" a="1"/>
  <c r="V8" i="26" s="1"/>
  <c r="F20" i="19"/>
  <c r="E21" i="19"/>
  <c r="F21" i="19"/>
  <c r="H28" i="9"/>
  <c r="H27" i="9"/>
  <c r="H26" i="9"/>
  <c r="H25" i="9"/>
  <c r="H24" i="9"/>
  <c r="H23" i="9"/>
  <c r="H22" i="9"/>
  <c r="H21" i="9"/>
  <c r="H20" i="9"/>
  <c r="H19" i="9"/>
  <c r="H18" i="9"/>
  <c r="H17" i="9"/>
  <c r="H16" i="9"/>
  <c r="H15" i="9"/>
  <c r="H14" i="9"/>
  <c r="H13" i="9"/>
  <c r="H12" i="9"/>
  <c r="H11" i="9"/>
  <c r="H10" i="9"/>
  <c r="H9" i="9"/>
  <c r="H8" i="9"/>
  <c r="H7" i="9"/>
  <c r="H6" i="9"/>
  <c r="H5" i="9"/>
  <c r="H4" i="9"/>
  <c r="W8" i="26" l="1" a="1"/>
  <c r="W8" i="26" s="1"/>
  <c r="N10" i="9"/>
  <c r="N11" i="9"/>
  <c r="N12" i="9"/>
  <c r="N18" i="9"/>
  <c r="N20" i="9"/>
  <c r="C96" i="9"/>
  <c r="D96" i="9" s="1"/>
  <c r="N19" i="9"/>
  <c r="N13" i="9"/>
  <c r="N21" i="9"/>
  <c r="C95" i="9"/>
  <c r="D95" i="9" s="1"/>
  <c r="C97" i="9"/>
  <c r="D97" i="9" s="1"/>
  <c r="L13" i="26"/>
  <c r="P13" i="26" s="1" a="1"/>
  <c r="P13" i="26" s="1"/>
  <c r="F23" i="19"/>
  <c r="F22" i="19"/>
  <c r="G49" i="17" s="1"/>
  <c r="E20" i="19"/>
  <c r="N22" i="9"/>
  <c r="N23" i="9"/>
  <c r="N14" i="9"/>
  <c r="N15" i="9"/>
  <c r="N8" i="9"/>
  <c r="N16" i="9"/>
  <c r="N9" i="9"/>
  <c r="N17" i="9"/>
  <c r="N25" i="9"/>
  <c r="N26" i="9"/>
  <c r="N30" i="9"/>
  <c r="N27" i="9"/>
  <c r="N24" i="9"/>
  <c r="N28" i="9"/>
  <c r="B76" i="9"/>
  <c r="Q13" i="26" l="1" a="1"/>
  <c r="Q13" i="26" s="1"/>
  <c r="X8" i="26" a="1"/>
  <c r="X8" i="26" s="1"/>
  <c r="Y8" i="26" s="1" a="1"/>
  <c r="Y8" i="26" s="1"/>
  <c r="Z8" i="26" s="1" a="1"/>
  <c r="Z8" i="26" s="1"/>
  <c r="I34" i="26"/>
  <c r="E23" i="19"/>
  <c r="E22" i="19"/>
  <c r="F49" i="17" s="1"/>
  <c r="AA8" i="26" l="1" a="1"/>
  <c r="AA8" i="26" s="1"/>
  <c r="R13" i="26" a="1"/>
  <c r="R13" i="26" s="1"/>
  <c r="J34" i="26"/>
  <c r="H29" i="9"/>
  <c r="S13" i="26" l="1" a="1"/>
  <c r="S13" i="26" s="1"/>
  <c r="T13" i="26" s="1" a="1"/>
  <c r="T13" i="26" s="1"/>
  <c r="N29" i="9"/>
  <c r="H77" i="9"/>
  <c r="H31" i="9"/>
  <c r="U13" i="26" l="1" a="1"/>
  <c r="U13" i="26" s="1"/>
  <c r="C98" i="9"/>
  <c r="D98" i="9" s="1"/>
  <c r="N31" i="9"/>
  <c r="E75" i="9"/>
  <c r="B75" i="9"/>
  <c r="E74" i="9"/>
  <c r="B74" i="9"/>
  <c r="E73" i="9"/>
  <c r="B73" i="9"/>
  <c r="E72" i="9"/>
  <c r="V13" i="26" l="1" a="1"/>
  <c r="V13" i="26" s="1"/>
  <c r="W13" i="26" s="1" a="1"/>
  <c r="W13" i="26" s="1"/>
  <c r="H75" i="9"/>
  <c r="H72" i="9"/>
  <c r="H76" i="9"/>
  <c r="E37" i="17" s="1"/>
  <c r="H74" i="9"/>
  <c r="C37" i="17" s="1"/>
  <c r="H73" i="9"/>
  <c r="B37" i="17" s="1"/>
  <c r="X13" i="26" l="1" a="1"/>
  <c r="X13" i="26" s="1"/>
  <c r="Y13" i="26" s="1" a="1"/>
  <c r="Y13" i="26" s="1"/>
  <c r="Z13" i="26" s="1" a="1"/>
  <c r="Z13" i="26" s="1"/>
  <c r="D37" i="17"/>
  <c r="AA13" i="26" l="1" a="1"/>
  <c r="AA13" i="26" s="1"/>
  <c r="H34" i="9"/>
  <c r="H33" i="9"/>
  <c r="H35" i="9"/>
  <c r="H32" i="9"/>
  <c r="C99" i="9" s="1"/>
  <c r="F37" i="17"/>
  <c r="N35" i="9" l="1"/>
  <c r="N34" i="9"/>
  <c r="F99" i="9"/>
  <c r="H71" i="9"/>
  <c r="N33" i="9"/>
  <c r="N32" i="9"/>
  <c r="C42" i="9"/>
  <c r="C43" i="9" s="1"/>
  <c r="C44" i="9" s="1"/>
  <c r="C45" i="9" s="1"/>
  <c r="C46" i="9" s="1"/>
  <c r="C47" i="9" s="1"/>
  <c r="D42" i="9"/>
  <c r="D43" i="9" s="1"/>
  <c r="D44" i="9" s="1"/>
  <c r="D45" i="9" s="1"/>
  <c r="D46" i="9" s="1"/>
  <c r="D47" i="9" s="1"/>
  <c r="D99" i="9"/>
  <c r="H36" i="9"/>
  <c r="H37" i="9"/>
  <c r="H78" i="9"/>
  <c r="H39" i="9"/>
  <c r="H38" i="9"/>
  <c r="N39" i="9" l="1"/>
  <c r="N38" i="9"/>
  <c r="N37" i="9"/>
  <c r="N36" i="9"/>
  <c r="AD125" i="13"/>
  <c r="AD127" i="13" s="1"/>
  <c r="H69" i="9"/>
  <c r="H79" i="9"/>
  <c r="C100" i="9"/>
  <c r="D100" i="9" s="1"/>
  <c r="L11" i="26"/>
  <c r="H40" i="9"/>
  <c r="H43" i="9"/>
  <c r="H42" i="9"/>
  <c r="H41" i="9"/>
  <c r="D48" i="9"/>
  <c r="C48" i="9"/>
  <c r="G37" i="17"/>
  <c r="L17" i="26" l="1"/>
  <c r="L24" i="26"/>
  <c r="N40" i="9"/>
  <c r="AG125" i="13"/>
  <c r="AG127" i="13" s="1"/>
  <c r="N41" i="9"/>
  <c r="AH125" i="13"/>
  <c r="AH127" i="13" s="1"/>
  <c r="N42" i="9"/>
  <c r="AI125" i="13"/>
  <c r="AI127" i="13" s="1"/>
  <c r="N43" i="9"/>
  <c r="L19" i="26"/>
  <c r="H80" i="9"/>
  <c r="I37" i="17" s="1"/>
  <c r="I35" i="26"/>
  <c r="L15" i="26"/>
  <c r="M11" i="26"/>
  <c r="M24" i="26" s="1"/>
  <c r="H46" i="9"/>
  <c r="H45" i="9"/>
  <c r="H47" i="9"/>
  <c r="H44" i="9"/>
  <c r="N44" i="9" s="1"/>
  <c r="C49" i="9"/>
  <c r="C50" i="9" s="1"/>
  <c r="D49" i="9"/>
  <c r="AL125" i="13" l="1"/>
  <c r="AL127" i="13" s="1"/>
  <c r="N46" i="9"/>
  <c r="AM125" i="13"/>
  <c r="AM127" i="13" s="1"/>
  <c r="N47" i="9"/>
  <c r="AK125" i="13"/>
  <c r="AK127" i="13" s="1"/>
  <c r="N45" i="9"/>
  <c r="H81" i="9"/>
  <c r="N11" i="26"/>
  <c r="H61" i="9"/>
  <c r="H57" i="9"/>
  <c r="H63" i="9"/>
  <c r="N63" i="9" s="1"/>
  <c r="H59" i="9"/>
  <c r="H62" i="9"/>
  <c r="H58" i="9"/>
  <c r="H49" i="9"/>
  <c r="N49" i="9" s="1"/>
  <c r="M15" i="26"/>
  <c r="I36" i="26" s="1"/>
  <c r="M17" i="26"/>
  <c r="J35" i="26"/>
  <c r="H48" i="9"/>
  <c r="N48" i="9" s="1"/>
  <c r="G42" i="9"/>
  <c r="J41" i="9"/>
  <c r="H50" i="9"/>
  <c r="N50" i="9" s="1"/>
  <c r="D50" i="9"/>
  <c r="H37" i="17"/>
  <c r="N24" i="26" l="1"/>
  <c r="N61" i="9"/>
  <c r="N62" i="9"/>
  <c r="O11" i="26"/>
  <c r="D11" i="26"/>
  <c r="AJ125" i="13"/>
  <c r="AJ127" i="13" s="1"/>
  <c r="J36" i="26"/>
  <c r="C18" i="26" s="1"/>
  <c r="C19" i="26" s="1"/>
  <c r="M19" i="26"/>
  <c r="N17" i="26"/>
  <c r="N15" i="26"/>
  <c r="I37" i="26" s="1"/>
  <c r="J37" i="26" s="1"/>
  <c r="H60" i="9"/>
  <c r="H56" i="9"/>
  <c r="J42" i="9"/>
  <c r="G43" i="9"/>
  <c r="F42" i="9"/>
  <c r="I41" i="9"/>
  <c r="H51" i="9"/>
  <c r="C51" i="9"/>
  <c r="D51" i="9"/>
  <c r="D52" i="9" s="1"/>
  <c r="D17" i="26" l="1"/>
  <c r="D24" i="26"/>
  <c r="O24" i="26"/>
  <c r="P11" i="26"/>
  <c r="D15" i="26"/>
  <c r="H82" i="9"/>
  <c r="N51" i="9"/>
  <c r="N60" i="9"/>
  <c r="O17" i="26"/>
  <c r="O15" i="26"/>
  <c r="I38" i="26"/>
  <c r="J38" i="26"/>
  <c r="N19" i="26"/>
  <c r="H85" i="9"/>
  <c r="F43" i="9"/>
  <c r="F44" i="9" s="1"/>
  <c r="I42" i="9"/>
  <c r="G44" i="9"/>
  <c r="J43" i="9"/>
  <c r="H52" i="9"/>
  <c r="N52" i="9" s="1"/>
  <c r="C52" i="9"/>
  <c r="C53" i="9" s="1"/>
  <c r="D53" i="9"/>
  <c r="D18" i="26" l="1"/>
  <c r="D19" i="26" s="1"/>
  <c r="Q11" i="26"/>
  <c r="P24" i="26"/>
  <c r="P15" i="26"/>
  <c r="P17" i="26"/>
  <c r="O19" i="26"/>
  <c r="N56" i="9"/>
  <c r="J44" i="9"/>
  <c r="G45" i="9"/>
  <c r="I43" i="9"/>
  <c r="H53" i="9"/>
  <c r="C54" i="9"/>
  <c r="C55" i="9" s="1"/>
  <c r="C56" i="9" s="1"/>
  <c r="D54" i="9"/>
  <c r="R11" i="26" l="1"/>
  <c r="Q24" i="26"/>
  <c r="Q17" i="26"/>
  <c r="Q19" i="26" s="1"/>
  <c r="Q15" i="26"/>
  <c r="P19" i="26"/>
  <c r="N53" i="9"/>
  <c r="N57" i="9"/>
  <c r="C57" i="9"/>
  <c r="F45" i="9"/>
  <c r="I44" i="9"/>
  <c r="J45" i="9"/>
  <c r="G46" i="9"/>
  <c r="H55" i="9"/>
  <c r="H54" i="9"/>
  <c r="D55" i="9"/>
  <c r="D56" i="9" s="1"/>
  <c r="S11" i="26" l="1"/>
  <c r="R24" i="26"/>
  <c r="R17" i="26"/>
  <c r="R15" i="26"/>
  <c r="R19" i="26"/>
  <c r="N55" i="9"/>
  <c r="N59" i="9"/>
  <c r="N54" i="9"/>
  <c r="N58" i="9"/>
  <c r="H83" i="9"/>
  <c r="H84" i="9"/>
  <c r="D57" i="9"/>
  <c r="C58" i="9"/>
  <c r="G47" i="9"/>
  <c r="J46" i="9"/>
  <c r="I45" i="9"/>
  <c r="F46" i="9"/>
  <c r="T11" i="26" l="1"/>
  <c r="S24" i="26"/>
  <c r="S17" i="26"/>
  <c r="S15" i="26"/>
  <c r="C59" i="9"/>
  <c r="D58" i="9"/>
  <c r="F47" i="9"/>
  <c r="I46" i="9"/>
  <c r="G48" i="9"/>
  <c r="J47" i="9"/>
  <c r="S19" i="26" l="1"/>
  <c r="U11" i="26"/>
  <c r="T24" i="26"/>
  <c r="T17" i="26"/>
  <c r="T15" i="26"/>
  <c r="C60" i="9"/>
  <c r="D59" i="9"/>
  <c r="G49" i="9"/>
  <c r="J48" i="9"/>
  <c r="F48" i="9"/>
  <c r="I47" i="9"/>
  <c r="V11" i="26" l="1"/>
  <c r="U24" i="26"/>
  <c r="U15" i="26"/>
  <c r="U17" i="26"/>
  <c r="U19" i="26" s="1"/>
  <c r="T19" i="26"/>
  <c r="D60" i="9"/>
  <c r="C61" i="9"/>
  <c r="I48" i="9"/>
  <c r="F49" i="9"/>
  <c r="G50" i="9"/>
  <c r="J49" i="9"/>
  <c r="W11" i="26" l="1"/>
  <c r="V24" i="26"/>
  <c r="V15" i="26"/>
  <c r="V17" i="26"/>
  <c r="V19" i="26" s="1"/>
  <c r="D61" i="9"/>
  <c r="C62" i="9"/>
  <c r="J50" i="9"/>
  <c r="G51" i="9"/>
  <c r="F50" i="9"/>
  <c r="I49" i="9"/>
  <c r="X11" i="26" l="1"/>
  <c r="W24" i="26"/>
  <c r="W15" i="26"/>
  <c r="W17" i="26"/>
  <c r="W19" i="26" s="1"/>
  <c r="C63" i="9"/>
  <c r="D62" i="9"/>
  <c r="I50" i="9"/>
  <c r="F51" i="9"/>
  <c r="J51" i="9"/>
  <c r="G52" i="9"/>
  <c r="Y11" i="26" l="1"/>
  <c r="X24" i="26"/>
  <c r="X15" i="26"/>
  <c r="X17" i="26"/>
  <c r="X19" i="26" s="1"/>
  <c r="D63" i="9"/>
  <c r="G53" i="9"/>
  <c r="J52" i="9"/>
  <c r="I51" i="9"/>
  <c r="F52" i="9"/>
  <c r="Z11" i="26" l="1"/>
  <c r="Y24" i="26"/>
  <c r="Y15" i="26"/>
  <c r="Y17" i="26"/>
  <c r="Y19" i="26" s="1"/>
  <c r="F53" i="9"/>
  <c r="I52" i="9"/>
  <c r="G54" i="9"/>
  <c r="J53" i="9"/>
  <c r="AA11" i="26" l="1"/>
  <c r="Z24" i="26"/>
  <c r="Z15" i="26"/>
  <c r="Z17" i="26"/>
  <c r="Z19" i="26" s="1"/>
  <c r="G55" i="9"/>
  <c r="J54" i="9"/>
  <c r="F54" i="9"/>
  <c r="I53" i="9"/>
  <c r="AA24" i="26" l="1"/>
  <c r="AA15" i="26"/>
  <c r="AA17" i="26"/>
  <c r="AA19" i="26" s="1"/>
  <c r="J55" i="9"/>
  <c r="G56" i="9"/>
  <c r="F55" i="9"/>
  <c r="I54" i="9"/>
  <c r="I55" i="9" l="1"/>
  <c r="F56" i="9"/>
  <c r="G57" i="9"/>
  <c r="J56" i="9"/>
  <c r="G58" i="9" l="1"/>
  <c r="J57" i="9"/>
  <c r="F57" i="9"/>
  <c r="I56" i="9"/>
  <c r="F58" i="9" l="1"/>
  <c r="I57" i="9"/>
  <c r="G59" i="9"/>
  <c r="J58" i="9"/>
  <c r="G60" i="9" l="1"/>
  <c r="J59" i="9"/>
  <c r="F59" i="9"/>
  <c r="I58" i="9"/>
  <c r="F60" i="9" l="1"/>
  <c r="I59" i="9"/>
  <c r="G61" i="9"/>
  <c r="J60" i="9"/>
  <c r="G62" i="9" l="1"/>
  <c r="J61" i="9"/>
  <c r="F61" i="9"/>
  <c r="I60" i="9"/>
  <c r="F62" i="9" l="1"/>
  <c r="I61" i="9"/>
  <c r="G63" i="9"/>
  <c r="J63" i="9" s="1"/>
  <c r="J62" i="9"/>
  <c r="F63" i="9" l="1"/>
  <c r="I63" i="9" s="1"/>
  <c r="I62" i="9"/>
  <c r="E22" i="17"/>
  <c r="F22" i="17" l="1"/>
  <c r="F29" i="17"/>
  <c r="E29" i="17"/>
  <c r="G38" i="17"/>
  <c r="F17" i="19"/>
  <c r="AJ92" i="13" l="1"/>
  <c r="AL92" i="13"/>
  <c r="AM92" i="13"/>
  <c r="AK92" i="13"/>
  <c r="AH92" i="13"/>
  <c r="AG92" i="13"/>
  <c r="AI92" i="13"/>
  <c r="AF92" i="13"/>
  <c r="AC94" i="13" l="1"/>
  <c r="AD94" i="13"/>
  <c r="AE94" i="13"/>
  <c r="H38" i="17"/>
  <c r="G17" i="19"/>
  <c r="AB94" i="13"/>
  <c r="AG91" i="13" l="1"/>
  <c r="AG94" i="13"/>
  <c r="AH91" i="13" l="1"/>
  <c r="AH94" i="13"/>
  <c r="AI94" i="13" l="1"/>
  <c r="AI91" i="13"/>
  <c r="AJ91" i="13" l="1"/>
  <c r="E32" i="25" l="1"/>
  <c r="AK91" i="13"/>
  <c r="AK94" i="13"/>
  <c r="AM91" i="13" l="1"/>
  <c r="AM94" i="13"/>
  <c r="AL91" i="13"/>
  <c r="AL94" i="13"/>
  <c r="I17" i="19"/>
  <c r="K17" i="19" s="1"/>
  <c r="J38" i="17" l="1"/>
  <c r="I38" i="17" l="1"/>
  <c r="H17" i="19"/>
  <c r="AF91" i="13"/>
  <c r="AF94" i="13"/>
  <c r="AJ9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KENNEDY Michael  * DAS</author>
  </authors>
  <commentList>
    <comment ref="Y98" authorId="0" shapeId="0" xr:uid="{00000000-0006-0000-0000-000001000000}">
      <text>
        <r>
          <rPr>
            <b/>
            <sz val="9"/>
            <color indexed="81"/>
            <rFont val="Tahoma"/>
            <family val="2"/>
          </rPr>
          <t>KENNEDY Michael  * DAS:</t>
        </r>
        <r>
          <rPr>
            <sz val="9"/>
            <color indexed="81"/>
            <rFont val="Tahoma"/>
            <family val="2"/>
          </rPr>
          <t xml:space="preserve">
Adjusted to reflect impact of Pandemic.</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sourceFile="U:\Clean Fuels\Clean Fuels DB.accdb" keepAlive="1" name="Clean Fuels DB"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2" xr16:uid="{00000000-0015-0000-FFFF-FFFF01000000}" sourceFile="U:\Clean Fuels\Clean Fuels DB.accdb" keepAlive="1" name="Clean Fuels DB1" type="5" refreshedVersion="6">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ref_constants" commandType="3"/>
  </connection>
  <connection id="3" xr16:uid="{00000000-0015-0000-FFFF-FFFF02000000}" sourceFile="U:\Clean Fuels\Clean Fuels DB.accdb" keepAlive="1" name="Clean Fuels DB2" type="5" refreshedVersion="7" saveData="1">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p_facility" commandType="3"/>
  </connection>
  <connection id="4" xr16:uid="{00000000-0015-0000-FFFF-FFFF03000000}" sourceFile="U:\Clean Fuels\Clean Fuels DB.accdb" keepAlive="1" name="Clean Fuels DB3"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5" xr16:uid="{00000000-0015-0000-FFFF-FFFF04000000}" sourceFile="U:\Clean Fuels\Clean Fuels DB.accdb" keepAlive="1" name="Clean Fuels DB4"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onstants" commandTyp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<sst xmlns="http://schemas.openxmlformats.org/spreadsheetml/2006/main" count="1688" uniqueCount="885">
  <si>
    <t>- -</t>
  </si>
  <si>
    <t>Energy Use &amp; Related Statistics</t>
  </si>
  <si>
    <t>Motor Gasoline</t>
  </si>
  <si>
    <t>Diesel</t>
  </si>
  <si>
    <t>Gasoline</t>
  </si>
  <si>
    <t>Ethanol</t>
  </si>
  <si>
    <t>Renewable Diesel</t>
  </si>
  <si>
    <t>Biodiesel</t>
  </si>
  <si>
    <t>Electricity</t>
  </si>
  <si>
    <t>units</t>
  </si>
  <si>
    <t>Natural Gas</t>
  </si>
  <si>
    <t>Propane</t>
  </si>
  <si>
    <t>State</t>
  </si>
  <si>
    <t>IA</t>
  </si>
  <si>
    <t>MN</t>
  </si>
  <si>
    <t>NE</t>
  </si>
  <si>
    <t>ND</t>
  </si>
  <si>
    <t>OR</t>
  </si>
  <si>
    <t>SD</t>
  </si>
  <si>
    <t>Hydrogen</t>
  </si>
  <si>
    <t>Year</t>
  </si>
  <si>
    <t>Kerosene</t>
  </si>
  <si>
    <t>Credit / Deficit Summary</t>
  </si>
  <si>
    <t>Deficits</t>
  </si>
  <si>
    <t>Credits</t>
  </si>
  <si>
    <t>Electricity, on-road</t>
  </si>
  <si>
    <t>Electricity, off-road</t>
  </si>
  <si>
    <t>BEV</t>
  </si>
  <si>
    <t>PHEV</t>
  </si>
  <si>
    <t>Total</t>
  </si>
  <si>
    <t>Blendstock</t>
  </si>
  <si>
    <t>Biogas</t>
  </si>
  <si>
    <t>MMmtCO2</t>
  </si>
  <si>
    <t>Energy Use &amp; Related Statistics: Carbon Dioxide Emissions: Reference case</t>
  </si>
  <si>
    <t>tons carbon dioxide)</t>
  </si>
  <si>
    <t>Carbon Dioxide Emissions (million metric</t>
  </si>
  <si>
    <t>billion 2009 $</t>
  </si>
  <si>
    <t>Energy Use &amp; Related Statistics: Gross Domestic Product: Reference case</t>
  </si>
  <si>
    <t>Gross Domestic Product (billion 2009 dollars)</t>
  </si>
  <si>
    <t>millions</t>
  </si>
  <si>
    <t>Energy Use &amp; Related Statistics: Population: Reference case</t>
  </si>
  <si>
    <t>Population (millions)</t>
  </si>
  <si>
    <t>quads</t>
  </si>
  <si>
    <t>Energy Use &amp; Related Statistics: Ethanol Consumed in Motor Gasoline and E85: Reference case</t>
  </si>
  <si>
    <t>Ethanol Consumed in Motor Gasoline and E85</t>
  </si>
  <si>
    <t>Energy Use &amp; Related Statistics: Total Energy Use: Reference case</t>
  </si>
  <si>
    <t>Total Energy Use</t>
  </si>
  <si>
    <t>Energy Use &amp; Related Statistics: Delivered Energy Use: Reference case</t>
  </si>
  <si>
    <t>Delivered Energy Use</t>
  </si>
  <si>
    <t>Energy Use: Total: Total: Reference case</t>
  </si>
  <si>
    <t>Energy Use: Total: Electricity Imports: Reference case</t>
  </si>
  <si>
    <t>Electricity Imports</t>
  </si>
  <si>
    <t>Energy Use: Total: Non-biogenic Municipal Waste: Reference case</t>
  </si>
  <si>
    <t>Non-biogenic Municipal Waste</t>
  </si>
  <si>
    <t>Energy Use: Total: Hydrogen: Reference case</t>
  </si>
  <si>
    <t>Energy Use: Total: Renewable Energy: Reference case</t>
  </si>
  <si>
    <t>Renewable Energy</t>
  </si>
  <si>
    <t>Energy Use: Total: Biofuels Heat and Coproducts: Reference case</t>
  </si>
  <si>
    <t>Biofuels Heat and Coproducts</t>
  </si>
  <si>
    <t>Energy Use: Total: Nuclear: Reference case</t>
  </si>
  <si>
    <t>Nuclear / Uranium</t>
  </si>
  <si>
    <t>Energy Use: Total: Coal Subtotal: Reference case</t>
  </si>
  <si>
    <t>Coal Subtotal</t>
  </si>
  <si>
    <t>Energy Use: Total: Net Coal Coke Imports: Reference case</t>
  </si>
  <si>
    <t>Net Coal Coke Imports</t>
  </si>
  <si>
    <t>Energy Use: Total: Coal-to-Liquids Heat and Power: Reference case</t>
  </si>
  <si>
    <t>Coal-to-Liquids Heat and Power</t>
  </si>
  <si>
    <t>Energy Use: Total: Other Coal: Reference case</t>
  </si>
  <si>
    <t>Other Coal</t>
  </si>
  <si>
    <t>Energy Use: Total: Metallurgical Coal: Reference case</t>
  </si>
  <si>
    <t>Metallurgical Coal</t>
  </si>
  <si>
    <t>Energy Use: Total: Natural Gas Subtotal: Reference case</t>
  </si>
  <si>
    <t>Natural Gas Subtotal</t>
  </si>
  <si>
    <t>Energy Use: Total: Pipeline Natural Gas: Reference case</t>
  </si>
  <si>
    <t>Pipeline and Distribution Fuel Natural Gas</t>
  </si>
  <si>
    <t>Energy Use: Total: Liquefaction: Reference case</t>
  </si>
  <si>
    <t>Natural Gas to Liquefy Gas for Export</t>
  </si>
  <si>
    <t>Energy Use: Total: Lease and Plant Fuel: Reference case</t>
  </si>
  <si>
    <t>Lease and Plant Fuel</t>
  </si>
  <si>
    <t>Energy Use: Total: Natural-Gas-to-Liquids Heat and Power: Reference case</t>
  </si>
  <si>
    <t>Natural-Gas-to-Liquids Heat and Power</t>
  </si>
  <si>
    <t>Energy Use: Total: Natural Gas: Reference case</t>
  </si>
  <si>
    <t>Energy Use: Total: Liquid Fuels Subtotal: Reference case</t>
  </si>
  <si>
    <t>Petroleum and Other Liquids Subtotal</t>
  </si>
  <si>
    <t>Energy Use: Total: Other Petroleum: Reference case</t>
  </si>
  <si>
    <t>Other Petroleum</t>
  </si>
  <si>
    <t>Energy Use: Total: Petrochemical Feedstocks: Reference case</t>
  </si>
  <si>
    <t>Petrochemical Feedstocks</t>
  </si>
  <si>
    <t>Energy Use: Total: Residual Fuel Oil: Reference case</t>
  </si>
  <si>
    <t>Residual Fuel Oil</t>
  </si>
  <si>
    <t>Energy Use: Total: Distillate Fuel Oil: Reference case</t>
  </si>
  <si>
    <t>Distillate Fuel Oil</t>
  </si>
  <si>
    <t>Energy Use: Total: Kerosene: Reference case</t>
  </si>
  <si>
    <t>Energy Use: Total: Jet Fuel: Reference case</t>
  </si>
  <si>
    <t>Jet Fuel</t>
  </si>
  <si>
    <t>Energy Use: Total: E85: Reference case</t>
  </si>
  <si>
    <t>of which:  E85</t>
  </si>
  <si>
    <t>Energy Use: Total: Motor Gasoline: Reference case</t>
  </si>
  <si>
    <t>Energy Use: Total: Liquefied Petroleum Gases: Reference case</t>
  </si>
  <si>
    <t>Liquefied Petroleum Gases and Other</t>
  </si>
  <si>
    <t>Total Energy Consumption</t>
  </si>
  <si>
    <t>Energy Use: Electric Power: Total: Reference case</t>
  </si>
  <si>
    <t>Energy Use: Electric Power: Electricity Imports: Reference case</t>
  </si>
  <si>
    <t>Energy Use: Electric Power: Non-biogenic Municipal Waste: Reference case</t>
  </si>
  <si>
    <t>Energy Use: Electric Power: Renewable Energy: Reference case</t>
  </si>
  <si>
    <t>Energy Use: Electric Power: Nuclear: Reference case</t>
  </si>
  <si>
    <t>Energy Use: Electric Power: Steam Coal: Reference case</t>
  </si>
  <si>
    <t>Steam Coal</t>
  </si>
  <si>
    <t>Energy Use: Electric Power: Natural Gas: Reference case</t>
  </si>
  <si>
    <t>Energy Use: Electric Power: Liquid Fuels Subtotal: Reference case</t>
  </si>
  <si>
    <t>Energy Use: Electric Power: Residual Fuel Oil: Reference case</t>
  </si>
  <si>
    <t>Energy Use: Electric Power: Distillate Fuel Oil: Reference case</t>
  </si>
  <si>
    <t>Electric Power</t>
  </si>
  <si>
    <t>Energy Use: Delivered: All Sectors: Total: Reference case</t>
  </si>
  <si>
    <t>Energy Use: Delivered: All Sectors: Electricity Related Losses: Reference case</t>
  </si>
  <si>
    <t>Electricity Related Losses</t>
  </si>
  <si>
    <t>Energy Use: Delivered: All Sectors: Delivered Energy: Reference case</t>
  </si>
  <si>
    <t>Delivered Energy</t>
  </si>
  <si>
    <t>Energy Use: Delivered: All Sectors: Electricity: Reference case</t>
  </si>
  <si>
    <t>Energy Use: Delivered: All Sectors: Hydrogen: Reference case</t>
  </si>
  <si>
    <t>Energy Use: Delivered: All Sectors: Renewable Energy: Reference case</t>
  </si>
  <si>
    <t>Energy Use: Delivered: All Sectors: Biofuels Heat and Coproducts: Reference case</t>
  </si>
  <si>
    <t>Energy Use: Delivered: All Sectors: Coal Subtotal: Reference case</t>
  </si>
  <si>
    <t>Energy Use: Delivered: All Sectors: Net Coal Coke Imports: Reference case</t>
  </si>
  <si>
    <t>Energy Use: Delivered: All Sectors: Coal-to-Liquids Heat and Power: Reference case</t>
  </si>
  <si>
    <t>Energy Use: Delivered: All Sectors: Other Coal: Reference case</t>
  </si>
  <si>
    <t>Energy Use: Delivered: All Sectors: Metallurgical Coal: Reference case</t>
  </si>
  <si>
    <t>Energy Use: Delivered: All Sectors: Natural Gas Subtotal: Reference case</t>
  </si>
  <si>
    <t>Energy Use: Delivered: All Sectors: Pipeline Natural Gas: Reference case</t>
  </si>
  <si>
    <t>Energy Use: Delivered: All Sectors: Liquefaction: Reference case</t>
  </si>
  <si>
    <t>Energy Use: Delivered: All Sectors: Lease and Plant Fuel: Reference case</t>
  </si>
  <si>
    <t>Energy Use: Delivered: All Sectors: Natural-Gas-to-Liquids Heat and Power: Reference case</t>
  </si>
  <si>
    <t>Energy Use: Delivered: All Sectors: Natural Gas: Reference case</t>
  </si>
  <si>
    <t>Energy Use: Delivered: All Sectors: Liquid Fuels Subtotal: Reference case</t>
  </si>
  <si>
    <t>Energy Use: Delivered: All Sectors: Other Petroleum: Reference case</t>
  </si>
  <si>
    <t>Energy Use: Delivered: All Sectors: Petrochemical Feedstocks: Reference case</t>
  </si>
  <si>
    <t>Energy Use: Delivered: All Sectors: Residual Fuel Oil: Reference case</t>
  </si>
  <si>
    <t>Energy Use: Delivered: All Sectors: Distillate Fuel Oil: Reference case</t>
  </si>
  <si>
    <t>Energy Use: Delivered: All Sectors: Kerosene: Reference case</t>
  </si>
  <si>
    <t>Energy Use: Delivered: All Sectors: Jet Fuel: Reference case</t>
  </si>
  <si>
    <t>Energy Use: Delivered: All Sectors: E85: Reference case</t>
  </si>
  <si>
    <t>Energy Use: Delivered: All Sectors: Motor Gasoline: Reference case</t>
  </si>
  <si>
    <t>Energy Use: Delivered: All Sectors: Liquefied Petroleum Gases: Reference case</t>
  </si>
  <si>
    <t xml:space="preserve"> All Sectors</t>
  </si>
  <si>
    <t>Delivered Energy Consumption</t>
  </si>
  <si>
    <t>Energy Use: Unspecified: Total: Reference case</t>
  </si>
  <si>
    <t>Unspecified Sector</t>
  </si>
  <si>
    <t>Energy Use: Transportation: Total: Reference case</t>
  </si>
  <si>
    <t>Energy Use: Transportation: Electricity Related Losses: Reference case</t>
  </si>
  <si>
    <t>Energy Use: Transportation: Delivered Energy: Reference case</t>
  </si>
  <si>
    <t>Energy Use: Transportation: Electricity: Reference case</t>
  </si>
  <si>
    <t>Energy Use: Transportation: Hydrogen: Reference case</t>
  </si>
  <si>
    <t>Energy Use: Transportation: Natural Gas: Reference case</t>
  </si>
  <si>
    <t>Compressed / Liquefied Natural Gas</t>
  </si>
  <si>
    <t>Energy Use: Transportation: Pipeline Fuel Natural Gas: Reference case</t>
  </si>
  <si>
    <t>Energy Use: Transportation: Liquid Fuels Subtotal: Reference case</t>
  </si>
  <si>
    <t>Energy Use: Transportation: Other Petroleum: Reference case</t>
  </si>
  <si>
    <t>Energy Use: Transportation: Residual Fuel Oil: Reference case</t>
  </si>
  <si>
    <t>Energy Use: Transportation: Distillate Fuel Oil: Reference case</t>
  </si>
  <si>
    <t>Energy Use: Transportation: Jet Fuel: Reference case</t>
  </si>
  <si>
    <t>Energy Use: Transportation: E85: Reference case</t>
  </si>
  <si>
    <t>Energy Use: Transportation: Motor Gasoline: Reference case</t>
  </si>
  <si>
    <t>Energy Use: Transportation: Propane: Reference case</t>
  </si>
  <si>
    <t>Transportation</t>
  </si>
  <si>
    <t>Energy Use: Industrial: Total: Reference case</t>
  </si>
  <si>
    <t>Energy Use: Industrial: Electricity Related Losses: Reference case</t>
  </si>
  <si>
    <t>Energy Use: Industrial: Delivered Energy: Reference case</t>
  </si>
  <si>
    <t>Energy Use: Industrial: Electricity: Reference case</t>
  </si>
  <si>
    <t>Energy Use: Industrial: Renewable Energy: Reference case</t>
  </si>
  <si>
    <t>Energy Use: Industrial: Biofuels Heat and Coproducts: Reference case</t>
  </si>
  <si>
    <t>Energy Use: Industrial: Coal Subtotal: Reference case</t>
  </si>
  <si>
    <t>Energy Use: Industrial: Net Coal Coke Imports: Reference case</t>
  </si>
  <si>
    <t>Energy Use: Industrial: Coal-to-Liquids Heat and Power: Reference case</t>
  </si>
  <si>
    <t>Energy Use: Industrial: Other Industrial Coal: Reference case</t>
  </si>
  <si>
    <t>Other Industrial Coal</t>
  </si>
  <si>
    <t>Energy Use: Industrial: Metallurgical Coal: Reference case</t>
  </si>
  <si>
    <t>Energy Use: Industrial: Natural Gas Subtotal: Reference case</t>
  </si>
  <si>
    <t>Energy Use: Industrial: Liquefaction: Reference case</t>
  </si>
  <si>
    <t>Energy Use: Industrial: Lease and Plant Fuel: Reference case</t>
  </si>
  <si>
    <t>Energy Use: Industrial: Natural-Gas-to-Liquids Heat and Power: Reference case</t>
  </si>
  <si>
    <t>Energy Use: Industrial: Natural Gas: Reference case</t>
  </si>
  <si>
    <t>Energy Use: Industrial: Liquid Fuels Subtotal: Reference case</t>
  </si>
  <si>
    <t>Energy Use: Industrial: Other Petroleum: Reference case</t>
  </si>
  <si>
    <t>Energy Use: Industrial: Petrochemical Feedstocks: Reference case</t>
  </si>
  <si>
    <t>Energy Use: Industrial: Residual Fuel Oil: Reference case</t>
  </si>
  <si>
    <t>Energy Use: Industrial: Distillate Fuel Oil: Reference case</t>
  </si>
  <si>
    <t>Energy Use: Industrial: Motor Gasoline: Reference case</t>
  </si>
  <si>
    <t>Energy Use: Industrial: Liquefied Petroleum Gases: Reference case</t>
  </si>
  <si>
    <t>Industrial</t>
  </si>
  <si>
    <t>Energy Use: Commercial: Total: Reference case</t>
  </si>
  <si>
    <t>Energy Use: Commercial: Electricity Related Losses: Reference case</t>
  </si>
  <si>
    <t>Energy Use: Commercial: Delivered Energy: Reference case</t>
  </si>
  <si>
    <t>Energy Use: Commercial: Electricity: Reference case</t>
  </si>
  <si>
    <t>Energy Use: Commercial: Renewable Energy: Reference case</t>
  </si>
  <si>
    <t>Energy Use: Commercial: Coal: Reference case</t>
  </si>
  <si>
    <t>Coal</t>
  </si>
  <si>
    <t>Energy Use: Commercial: Natural Gas: Reference case</t>
  </si>
  <si>
    <t>Energy Use: Commercial: Liquid Fuels Subtotal: Reference case</t>
  </si>
  <si>
    <t>Energy Use: Commercial: Residual Fuel Oil: Reference case</t>
  </si>
  <si>
    <t>Energy Use: Commercial: Distillate Fuel Oil: Reference case</t>
  </si>
  <si>
    <t>Energy Use: Commercial: Kerosene: Reference case</t>
  </si>
  <si>
    <t>Energy Use: Commercial: Motor Gasoline: Reference case</t>
  </si>
  <si>
    <t>Energy Use: Commercial: Propane: Reference case</t>
  </si>
  <si>
    <t>Commercial</t>
  </si>
  <si>
    <t>Energy Use: Residential: Total: Reference case</t>
  </si>
  <si>
    <t>Energy Use: Residential: Electricity Related Losses: Reference case</t>
  </si>
  <si>
    <t>Energy Use: Residential: Delivered Energy: Reference case</t>
  </si>
  <si>
    <t>Energy Use: Residential: Electricity: Reference case</t>
  </si>
  <si>
    <t>Energy Use: Residential: Renewable Energy: Reference case</t>
  </si>
  <si>
    <t>Energy Use: Residential: Natural Gas: Reference case</t>
  </si>
  <si>
    <t>Energy Use: Residential: Liquid Fuels Subtotal: Reference case</t>
  </si>
  <si>
    <t>Energy Use: Residential: Distillate Fuel Oil: Reference case</t>
  </si>
  <si>
    <t>Energy Use: Residential: Propane: Reference case</t>
  </si>
  <si>
    <t>Residential</t>
  </si>
  <si>
    <t>api key</t>
  </si>
  <si>
    <t>full name</t>
  </si>
  <si>
    <t>Source: U.S. Energy Information Administration</t>
  </si>
  <si>
    <t>Qtr</t>
  </si>
  <si>
    <t>Q1-2013</t>
  </si>
  <si>
    <t>Q2-2013</t>
  </si>
  <si>
    <t>Q3-2013</t>
  </si>
  <si>
    <t>Q4-2013</t>
  </si>
  <si>
    <t>Q1-2014</t>
  </si>
  <si>
    <t>Q2-2014</t>
  </si>
  <si>
    <t>Q3-2014</t>
  </si>
  <si>
    <t>Q4-2014</t>
  </si>
  <si>
    <t>Q1-2015</t>
  </si>
  <si>
    <t>Q2-2015</t>
  </si>
  <si>
    <t>Q3-2015</t>
  </si>
  <si>
    <t>Q4-2015</t>
  </si>
  <si>
    <t>Q1-2016</t>
  </si>
  <si>
    <t>Q2-2016</t>
  </si>
  <si>
    <t>Q3-2016</t>
  </si>
  <si>
    <t>Q4-2016</t>
  </si>
  <si>
    <t>Q1-2017</t>
  </si>
  <si>
    <t>Q2-2017</t>
  </si>
  <si>
    <t>Q3-2017</t>
  </si>
  <si>
    <t>Q4-2017</t>
  </si>
  <si>
    <t>Q1-2018</t>
  </si>
  <si>
    <t>Q2-2018</t>
  </si>
  <si>
    <t>Q3-2018</t>
  </si>
  <si>
    <t>Q4-2018</t>
  </si>
  <si>
    <t>Q1-2019</t>
  </si>
  <si>
    <t>Q2-2019</t>
  </si>
  <si>
    <t>Q3-2019</t>
  </si>
  <si>
    <t>Q4-2019</t>
  </si>
  <si>
    <t>Annual Averages</t>
  </si>
  <si>
    <t>Std Deviation</t>
  </si>
  <si>
    <t>Total Net Credits/Deficits</t>
  </si>
  <si>
    <t>period</t>
  </si>
  <si>
    <t>data_type</t>
  </si>
  <si>
    <t>credit</t>
  </si>
  <si>
    <t>deficit</t>
  </si>
  <si>
    <t>volume</t>
  </si>
  <si>
    <t>fuel_name</t>
  </si>
  <si>
    <t>Diesel_Renew</t>
  </si>
  <si>
    <t>Bio_CNG</t>
  </si>
  <si>
    <t>Bio_LNG</t>
  </si>
  <si>
    <t>Diesel_B20</t>
  </si>
  <si>
    <t>Diesel_B5</t>
  </si>
  <si>
    <t>Electricity_Off</t>
  </si>
  <si>
    <t>Electricity_On</t>
  </si>
  <si>
    <t>Ethanol&lt;55</t>
  </si>
  <si>
    <t>Ethanol&gt;75</t>
  </si>
  <si>
    <t>Ethanol55-65</t>
  </si>
  <si>
    <t>Ethanol65-75</t>
  </si>
  <si>
    <t>Fossil_CNG</t>
  </si>
  <si>
    <t>Gasoline_E10</t>
  </si>
  <si>
    <t>Liq_Petroleum</t>
  </si>
  <si>
    <t>fuel_type</t>
  </si>
  <si>
    <t>Alternative</t>
  </si>
  <si>
    <t>Alternative Total</t>
  </si>
  <si>
    <t>Fossil</t>
  </si>
  <si>
    <t>Fossil Total</t>
  </si>
  <si>
    <t>Sum of quantity</t>
  </si>
  <si>
    <t>Fossil_LNG</t>
  </si>
  <si>
    <t>Q1-2020</t>
  </si>
  <si>
    <t>Q2-2020</t>
  </si>
  <si>
    <t>Q3-2020</t>
  </si>
  <si>
    <t>Q4-2020</t>
  </si>
  <si>
    <t>Q1-2021</t>
  </si>
  <si>
    <t>Q2-2021</t>
  </si>
  <si>
    <t>Q3-2021</t>
  </si>
  <si>
    <t>Q4-2021</t>
  </si>
  <si>
    <t>PHEV (baseline)</t>
  </si>
  <si>
    <t>PHEV (high)</t>
  </si>
  <si>
    <t>PHEV (low)</t>
  </si>
  <si>
    <t>BEV (baseline)</t>
  </si>
  <si>
    <t>BEV (high)</t>
  </si>
  <si>
    <t>BEV (low)</t>
  </si>
  <si>
    <t>Total (baseline)</t>
  </si>
  <si>
    <t>Total (high)</t>
  </si>
  <si>
    <t>Total (low)</t>
  </si>
  <si>
    <t>2-AEO2019.159.ref2019-d111618a</t>
  </si>
  <si>
    <t>2-AEO2019.158.</t>
  </si>
  <si>
    <t>2-AEO2019.157.ref2019-d111618a</t>
  </si>
  <si>
    <t>2-AEO2019.156.ref2019-d111618a</t>
  </si>
  <si>
    <t>2-AEO2019.155.ref2019-d111618a</t>
  </si>
  <si>
    <t>2-AEO2019.154.ref2019-d111618a</t>
  </si>
  <si>
    <t>2-AEO2019.153.ref2019-d111618a</t>
  </si>
  <si>
    <t>2-AEO2019.152.</t>
  </si>
  <si>
    <t>2-AEO2019.150.ref2019-d111618a</t>
  </si>
  <si>
    <t>2-AEO2019.149.ref2019-d111618a</t>
  </si>
  <si>
    <t>2-AEO2019.148.ref2019-d111618a</t>
  </si>
  <si>
    <t>2-AEO2019.147.ref2019-d111618a</t>
  </si>
  <si>
    <t>2-AEO2019.146.ref2019-d111618a</t>
  </si>
  <si>
    <t>2-AEO2019.145.ref2019-d111618a</t>
  </si>
  <si>
    <t>2-AEO2019.144.ref2019-d111618a</t>
  </si>
  <si>
    <t>2-AEO2019.143.ref2019-d111618a</t>
  </si>
  <si>
    <t>2-AEO2019.142.ref2019-d111618a</t>
  </si>
  <si>
    <t>2-AEO2019.141.ref2019-d111618a</t>
  </si>
  <si>
    <t>2-AEO2019.140.ref2019-d111618a</t>
  </si>
  <si>
    <t>2-AEO2019.139.ref2019-d111618a</t>
  </si>
  <si>
    <t>2-AEO2019.138.ref2019-d111618a</t>
  </si>
  <si>
    <t>2-AEO2019.137.ref2019-d111618a</t>
  </si>
  <si>
    <t>2-AEO2019.136.ref2019-d111618a</t>
  </si>
  <si>
    <t>2-AEO2019.135.ref2019-d111618a</t>
  </si>
  <si>
    <t>2-AEO2019.134.ref2019-d111618a</t>
  </si>
  <si>
    <t>2-AEO2019.133.ref2019-d111618a</t>
  </si>
  <si>
    <t>2-AEO2019.132.ref2019-d111618a</t>
  </si>
  <si>
    <t>2-AEO2019.131.ref2019-d111618a</t>
  </si>
  <si>
    <t>2-AEO2019.130.ref2019-d111618a</t>
  </si>
  <si>
    <t>2-AEO2019.129.ref2019-d111618a</t>
  </si>
  <si>
    <t>2-AEO2019.128.ref2019-d111618a</t>
  </si>
  <si>
    <t>2-AEO2019.127.ref2019-d111618a</t>
  </si>
  <si>
    <t>2-AEO2019.126.ref2019-d111618a</t>
  </si>
  <si>
    <t>2-AEO2019.125.ref2019-d111618a</t>
  </si>
  <si>
    <t>2-AEO2019.124.ref2019-d111618a</t>
  </si>
  <si>
    <t>2-AEO2019.123.ref2019-d111618a</t>
  </si>
  <si>
    <t>2-AEO2019.122.</t>
  </si>
  <si>
    <t>2-AEO2019.120.ref2019-d111618a</t>
  </si>
  <si>
    <t>2-AEO2019.119.ref2019-d111618a</t>
  </si>
  <si>
    <t>2-AEO2019.118.ref2019-d111618a</t>
  </si>
  <si>
    <t>2-AEO2019.117.ref2019-d111618a</t>
  </si>
  <si>
    <t>2-AEO2019.116.ref2019-d111618a</t>
  </si>
  <si>
    <t>2-AEO2019.115.ref2019-d111618a</t>
  </si>
  <si>
    <t>2-AEO2019.114.ref2019-d111618a</t>
  </si>
  <si>
    <t>2-AEO2019.113.ref2019-d111618a</t>
  </si>
  <si>
    <t>2-AEO2019.112.ref2019-d111618a</t>
  </si>
  <si>
    <t>2-AEO2019.111.ref2019-d111618a</t>
  </si>
  <si>
    <t>2-AEO2019.110.</t>
  </si>
  <si>
    <t>2-AEO2019.107.ref2019-d111618a</t>
  </si>
  <si>
    <t>2-AEO2019.106.ref2019-d111618a</t>
  </si>
  <si>
    <t>2-AEO2019.105.ref2019-d111618a</t>
  </si>
  <si>
    <t>2-AEO2019.104.ref2019-d111618a</t>
  </si>
  <si>
    <t>2-AEO2019.103.ref2019-d111618a</t>
  </si>
  <si>
    <t>2-AEO2019.102.ref2019-d111618a</t>
  </si>
  <si>
    <t>2-AEO2019.101.ref2019-d111618a</t>
  </si>
  <si>
    <t>2-AEO2019.100.ref2019-d111618a</t>
  </si>
  <si>
    <t>2-AEO2019.99.ref2019-d111618a</t>
  </si>
  <si>
    <t>2-AEO2019.98.ref2019-d111618a</t>
  </si>
  <si>
    <t>2-AEO2019.97.ref2019-d111618a</t>
  </si>
  <si>
    <t>2-AEO2019.96.ref2019-d111618a</t>
  </si>
  <si>
    <t>2-AEO2019.95.ref2019-d111618a</t>
  </si>
  <si>
    <t>2-AEO2019.94.ref2019-d111618a</t>
  </si>
  <si>
    <t>2-AEO2019.93.ref2019-d111618a</t>
  </si>
  <si>
    <t>2-AEO2019.92.ref2019-d111618a</t>
  </si>
  <si>
    <t>2-AEO2019.91.ref2019-d111618a</t>
  </si>
  <si>
    <t>2-AEO2019.90.ref2019-d111618a</t>
  </si>
  <si>
    <t>2-AEO2019.89.ref2019-d111618a</t>
  </si>
  <si>
    <t>2-AEO2019.88.ref2019-d111618a</t>
  </si>
  <si>
    <t>2-AEO2019.87.ref2019-d111618a</t>
  </si>
  <si>
    <t>2-AEO2019.86.ref2019-d111618a</t>
  </si>
  <si>
    <t>2-AEO2019.85.ref2019-d111618a</t>
  </si>
  <si>
    <t>2-AEO2019.84.ref2019-d111618a</t>
  </si>
  <si>
    <t>2-AEO2019.83.ref2019-d111618a</t>
  </si>
  <si>
    <t>2-AEO2019.82.ref2019-d111618a</t>
  </si>
  <si>
    <t>2-AEO2019.81.ref2019-d111618a</t>
  </si>
  <si>
    <t>2-AEO2019.80.ref2019-d111618a</t>
  </si>
  <si>
    <t>2-AEO2019.79.</t>
  </si>
  <si>
    <t>2-AEO2019.77.ref2019-d111618a</t>
  </si>
  <si>
    <t>2-AEO2019.73.</t>
  </si>
  <si>
    <t>2-AEO2019.71.ref2019-d111618a</t>
  </si>
  <si>
    <t>2-AEO2019.70.ref2019-d111618a</t>
  </si>
  <si>
    <t>2-AEO2019.69.ref2019-d111618a</t>
  </si>
  <si>
    <t>2-AEO2019.68.ref2019-d111618a</t>
  </si>
  <si>
    <t>2-AEO2019.67.ref2019-d111618a</t>
  </si>
  <si>
    <t>2-AEO2019.66.ref2019-d111618a</t>
  </si>
  <si>
    <t>2-AEO2019.65.ref2019-d111618a</t>
  </si>
  <si>
    <t>2-AEO2019.64.ref2019-d111618a</t>
  </si>
  <si>
    <t>2-AEO2019.63.ref2019-d111618a</t>
  </si>
  <si>
    <t>2-AEO2019.62.ref2019-d111618a</t>
  </si>
  <si>
    <t>2-AEO2019.61.ref2019-d111618a</t>
  </si>
  <si>
    <t>2-AEO2019.60.ref2019-d111618a</t>
  </si>
  <si>
    <t>2-AEO2019.59.ref2019-d111618a</t>
  </si>
  <si>
    <t>2-AEO2019.58.ref2019-d111618a</t>
  </si>
  <si>
    <t>2-AEO2019.57.ref2019-d111618a</t>
  </si>
  <si>
    <t>2-AEO2019.56.</t>
  </si>
  <si>
    <t>2-AEO2019.53.ref2019-d111618a</t>
  </si>
  <si>
    <t>2-AEO2019.52.ref2019-d111618a</t>
  </si>
  <si>
    <t>2-AEO2019.51.ref2019-d111618a</t>
  </si>
  <si>
    <t>2-AEO2019.50.ref2019-d111618a</t>
  </si>
  <si>
    <t>2-AEO2019.49.ref2019-d111618a</t>
  </si>
  <si>
    <t>2-AEO2019.48.ref2019-d111618a</t>
  </si>
  <si>
    <t>2-AEO2019.47.ref2019-d111618a</t>
  </si>
  <si>
    <t>2-AEO2019.46.ref2019-d111618a</t>
  </si>
  <si>
    <t>2-AEO2019.45.ref2019-d111618a</t>
  </si>
  <si>
    <t>2-AEO2019.43.ref2019-d111618a</t>
  </si>
  <si>
    <t>2-AEO2019.42.ref2019-d111618a</t>
  </si>
  <si>
    <t>2-AEO2019.41.ref2019-d111618a</t>
  </si>
  <si>
    <t>2-AEO2019.40.ref2019-d111618a</t>
  </si>
  <si>
    <t>2-AEO2019.39.ref2019-d111618a</t>
  </si>
  <si>
    <t>2-AEO2019.38.ref2019-d111618a</t>
  </si>
  <si>
    <t>2-AEO2019.37.ref2019-d111618a</t>
  </si>
  <si>
    <t>2-AEO2019.36.ref2019-d111618a</t>
  </si>
  <si>
    <t>2-AEO2019.35.ref2019-d111618a</t>
  </si>
  <si>
    <t>2-AEO2019.34.ref2019-d111618a</t>
  </si>
  <si>
    <t>2-AEO2019.33.ref2019-d111618a</t>
  </si>
  <si>
    <t>2-AEO2019.32.ref2019-d111618a</t>
  </si>
  <si>
    <t>2-AEO2019.31.ref2019-d111618a</t>
  </si>
  <si>
    <t>2-AEO2019.30.ref2019-d111618a</t>
  </si>
  <si>
    <t>2-AEO2019.29.</t>
  </si>
  <si>
    <t>2-AEO2019.27.ref2019-d111618a</t>
  </si>
  <si>
    <t>2-AEO2019.26.ref2019-d111618a</t>
  </si>
  <si>
    <t>2-AEO2019.25.ref2019-d111618a</t>
  </si>
  <si>
    <t>2-AEO2019.24.ref2019-d111618a</t>
  </si>
  <si>
    <t>2-AEO2019.23.ref2019-d111618a</t>
  </si>
  <si>
    <t>2-AEO2019.22.ref2019-d111618a</t>
  </si>
  <si>
    <t>2-AEO2019.21.ref2019-d111618a</t>
  </si>
  <si>
    <t>2-AEO2019.20.ref2019-d111618a</t>
  </si>
  <si>
    <t>2-AEO2019.19.ref2019-d111618a</t>
  </si>
  <si>
    <t>2-AEO2019.18.ref2019-d111618a</t>
  </si>
  <si>
    <t>2-AEO2019.17.ref2019-d111618a</t>
  </si>
  <si>
    <t>2-AEO2019.16.ref2019-d111618a</t>
  </si>
  <si>
    <t>2-AEO2019.15.ref2019-d111618a</t>
  </si>
  <si>
    <t>2-AEO2019.14.</t>
  </si>
  <si>
    <t>2-AEO2019.12.ref2019-d111618a</t>
  </si>
  <si>
    <t>2-AEO2019.11.ref2019-d111618a</t>
  </si>
  <si>
    <t>2-AEO2019.10.ref2019-d111618a</t>
  </si>
  <si>
    <t>2-AEO2019.9.ref2019-d111618a</t>
  </si>
  <si>
    <t>2-AEO2019.8.ref2019-d111618a</t>
  </si>
  <si>
    <t>2-AEO2019.7.ref2019-d111618a</t>
  </si>
  <si>
    <t>2-AEO2019.6.ref2019-d111618a</t>
  </si>
  <si>
    <t>2-AEO2019.5.ref2019-d111618a</t>
  </si>
  <si>
    <t>2-AEO2019.3.ref2019-d111618a</t>
  </si>
  <si>
    <t>2-AEO2019.2.</t>
  </si>
  <si>
    <t>Growth (2018-2050)</t>
  </si>
  <si>
    <t>24-AEO2019.62.ref2019-d111618a</t>
  </si>
  <si>
    <t>Renewable Energy: Nonmarketed Selected Use: Commercial: Wind: Reference case</t>
  </si>
  <si>
    <t>Wind</t>
  </si>
  <si>
    <t>24-AEO2019.61.ref2019-d111618a</t>
  </si>
  <si>
    <t>Renewable Energy: Nonmarketed Selected Use: Commercial: Solar Photovoltaic: Reference case</t>
  </si>
  <si>
    <t>Solar Photovoltaic</t>
  </si>
  <si>
    <t>24-AEO2019.60.ref2019-d111618a</t>
  </si>
  <si>
    <t>Renewable Energy: Nonmarketed Selected Use: Commercial: Solar Thermal: Reference case</t>
  </si>
  <si>
    <t>Solar Thermal</t>
  </si>
  <si>
    <t>24-AEO2019.59.ref2019-d111618a</t>
  </si>
  <si>
    <t>Renewable Energy: Nonmarketed Selected Use: Commercial: Reference case</t>
  </si>
  <si>
    <t>24-AEO2019.57.ref2019-d111618a</t>
  </si>
  <si>
    <t>Renewable Energy: Nonmarketed Selected Use: Residential: Wind: Reference case</t>
  </si>
  <si>
    <t>24-AEO2019.56.ref2019-d111618a</t>
  </si>
  <si>
    <t>Renewable Energy: Nonmarketed Selected Use: Residential: Solar Photovoltaic: Reference case</t>
  </si>
  <si>
    <t>24-AEO2019.55.ref2019-d111618a</t>
  </si>
  <si>
    <t>Renewable Energy: Nonmarketed Selected Use: Residential: Geothermal Heat Pumps: Reference case</t>
  </si>
  <si>
    <t>Geothermal Heat Pumps</t>
  </si>
  <si>
    <t>24-AEO2019.54.ref2019-d111618a</t>
  </si>
  <si>
    <t>Renewable Energy: Nonmarketed Selected Use: Residential: Solar Hot Water Heating: Reference case</t>
  </si>
  <si>
    <t>Solar Hot Water Heating</t>
  </si>
  <si>
    <t>24-AEO2019.53.ref2019-d111618a</t>
  </si>
  <si>
    <t>Renewable Energy: Nonmarketed Selected Use: Residential: Reference case</t>
  </si>
  <si>
    <t>24-AEO2019.51.</t>
  </si>
  <si>
    <t>Selected Consumption</t>
  </si>
  <si>
    <t>24-AEO2019.50.</t>
  </si>
  <si>
    <t>Nonmarketed Renewable Energy</t>
  </si>
  <si>
    <t>24-AEO2019.39.ref2019-d111618a</t>
  </si>
  <si>
    <t>Renewable Energy: Total U.S. Supply of Ethanol: Reference case</t>
  </si>
  <si>
    <t>Total U.S. Supply of Ethanol</t>
  </si>
  <si>
    <t>24-AEO2019.38.ref2019-d111618a</t>
  </si>
  <si>
    <t>Renewable Energy: Sources of Ethanol: Net Imports: Reference case</t>
  </si>
  <si>
    <t>Net Imports</t>
  </si>
  <si>
    <t>24-AEO2019.37.ref2019-d111618a</t>
  </si>
  <si>
    <t>Renewable Energy: Sources of Ethanol: From Cellulose: Reference case</t>
  </si>
  <si>
    <t>From Cellulose</t>
  </si>
  <si>
    <t>24-AEO2019.36.ref2019-d111618a</t>
  </si>
  <si>
    <t>Renewable Energy: Sources of Ethanol: From Corn: Reference case</t>
  </si>
  <si>
    <t>From Corn and Other Starch</t>
  </si>
  <si>
    <t>24-AEO2019.35.</t>
  </si>
  <si>
    <t>Sources of Ethanol</t>
  </si>
  <si>
    <t>24-AEO2019.33.ref2019-d111618a</t>
  </si>
  <si>
    <t>Renewable Energy: Total Marketed Renewable Energy Use: Reference case</t>
  </si>
  <si>
    <t>Total Marketed Renewable Energy</t>
  </si>
  <si>
    <t>24-AEO2019.31.ref2019-d111618a</t>
  </si>
  <si>
    <t>Renewable Energy: Marketed Use: Electric Power: Wind: Reference case</t>
  </si>
  <si>
    <t>24-AEO2019.30.ref2019-d111618a</t>
  </si>
  <si>
    <t>Renewable Energy: Marketed Use: Electric Power: Solar Photovoltaic: Reference case</t>
  </si>
  <si>
    <t>24-AEO2019.29.ref2019-d111618a</t>
  </si>
  <si>
    <t>Renewable Energy: Marketed Use: Electric Power: Solar Thermal: Reference case</t>
  </si>
  <si>
    <t>24-AEO2019.28.ref2019-d111618a</t>
  </si>
  <si>
    <t>Renewable Energy: Marketed Use: Electric Power: Biomass: Cofiring: Reference case</t>
  </si>
  <si>
    <t>Cofiring</t>
  </si>
  <si>
    <t>24-AEO2019.27.ref2019-d111618a</t>
  </si>
  <si>
    <t>Renewable Energy: Marketed Use: Electric Power: Biomass: Dedicated Plants: Reference case</t>
  </si>
  <si>
    <t>Dedicated Plants</t>
  </si>
  <si>
    <t>24-AEO2019.26.ref2019-d111618a</t>
  </si>
  <si>
    <t>Renewable Energy: Marketed Use: Electric Power: Biomass: Reference case</t>
  </si>
  <si>
    <t>Biomass</t>
  </si>
  <si>
    <t>24-AEO2019.25.ref2019-d111618a</t>
  </si>
  <si>
    <t>Renewable Energy: Marketed Use: Electric Power: Biogenic Municipal Waste: Reference case</t>
  </si>
  <si>
    <t>Biogenic Municipal Waste</t>
  </si>
  <si>
    <t>24-AEO2019.24.ref2019-d111618a</t>
  </si>
  <si>
    <t>Renewable Energy: Marketed Use: Electric Power: Geothermal: Reference case</t>
  </si>
  <si>
    <t>Geothermal</t>
  </si>
  <si>
    <t>24-AEO2019.23.ref2019-d111618a</t>
  </si>
  <si>
    <t>Renewable Energy: Marketed Use: Electric Power: Hydropower: Reference case</t>
  </si>
  <si>
    <t>Conventional Hydroelectric Power</t>
  </si>
  <si>
    <t>24-AEO2019.22.ref2019-d111618a</t>
  </si>
  <si>
    <t>Renewable Energy: Marketed Use: Electric Power: Reference case</t>
  </si>
  <si>
    <t>24-AEO2019.20.ref2019-d111618a</t>
  </si>
  <si>
    <t>Renewable Energy: Marketed Use: Transportation: Green Liquids: Reference case</t>
  </si>
  <si>
    <t>Renewable Diesel and Gasoline</t>
  </si>
  <si>
    <t>24-AEO2019.19.ref2019-d111618a</t>
  </si>
  <si>
    <t>Renewable Energy: Marketed Use: Transportation: Liquids from Biomass: Reference case</t>
  </si>
  <si>
    <t>Liquids from Biomass</t>
  </si>
  <si>
    <t>24-AEO2019.18.ref2019-d111618a</t>
  </si>
  <si>
    <t>Renewable Energy: Marketed Use: Transportation: Biobutanol: Reference case</t>
  </si>
  <si>
    <t>Biobutanol</t>
  </si>
  <si>
    <t>24-AEO2019.17.ref2019-d111618a</t>
  </si>
  <si>
    <t>Renewable Energy: Marketed Use: Transportation: Biodiesel used in Distillate Blending: Reference case</t>
  </si>
  <si>
    <t>Biodiesel used in Distillate Blending</t>
  </si>
  <si>
    <t>24-AEO2019.16.ref2019-d111618a</t>
  </si>
  <si>
    <t>Renewable Energy: Marketed Use: Transportation: Ethanol used in Gasoline Blending: Reference case</t>
  </si>
  <si>
    <t>Ethanol used in Gasoline Blending</t>
  </si>
  <si>
    <t>24-AEO2019.15.ref2019-d111618a</t>
  </si>
  <si>
    <t>Renewable Energy: Marketed Use: Transportation: Ethanol used in E85: Reference case</t>
  </si>
  <si>
    <t>Ethanol used in E85</t>
  </si>
  <si>
    <t>24-AEO2019.14.ref2019-d111618a</t>
  </si>
  <si>
    <t>Renewable Energy: Marketed Use: Transportation: Reference case</t>
  </si>
  <si>
    <t>24-AEO2019.12.ref2019-d111618a</t>
  </si>
  <si>
    <t>Renewable Energy: Marketed Use: Industrial: Biofuels Heat and Coproducts: Reference case</t>
  </si>
  <si>
    <t>24-AEO2019.11.ref2019-d111618a</t>
  </si>
  <si>
    <t>Renewable Energy: Marketed Use: Industrial: Biomass: Reference case</t>
  </si>
  <si>
    <t>24-AEO2019.10.ref2019-d111618a</t>
  </si>
  <si>
    <t>Renewable Energy: Marketed Use: Industrial: Municipal Waste: Reference case</t>
  </si>
  <si>
    <t>Municipal Waste</t>
  </si>
  <si>
    <t>24-AEO2019.9.ref2019-d111618a</t>
  </si>
  <si>
    <t>Renewable Energy: Marketed Use: Industrial: Hydropower: Reference case</t>
  </si>
  <si>
    <t>24-AEO2019.8.ref2019-d111618a</t>
  </si>
  <si>
    <t>Renewable Energy: Marketed Use: Industrial: Reference case</t>
  </si>
  <si>
    <t>24-AEO2019.6.ref2019-d111618a</t>
  </si>
  <si>
    <t>Renewable Energy: Marketed Use: Commercial: Biomass: Reference case</t>
  </si>
  <si>
    <t>Commercial (biomass)</t>
  </si>
  <si>
    <t>24-AEO2019.4.ref2019-d111618a</t>
  </si>
  <si>
    <t>Renewable Energy: Marketed Use: Residential: Wood: Reference case</t>
  </si>
  <si>
    <t>Residential (wood)</t>
  </si>
  <si>
    <t>24-AEO2019.2.</t>
  </si>
  <si>
    <t>Marketed Renewable Energy1</t>
  </si>
  <si>
    <t>Pinned Series</t>
  </si>
  <si>
    <t>Clean Fuels Program</t>
  </si>
  <si>
    <t>Total Diesel</t>
  </si>
  <si>
    <t>EIA National Outlook</t>
  </si>
  <si>
    <t>(Mil. gallons, percent)</t>
  </si>
  <si>
    <t>Conventional Gasoline</t>
  </si>
  <si>
    <t>Ethanol Blend Rate</t>
  </si>
  <si>
    <t>Fossil Diesel</t>
  </si>
  <si>
    <t>Biodiesel Blend Rate</t>
  </si>
  <si>
    <t>Renew diesel Blend Rate</t>
  </si>
  <si>
    <t>Electricity (on-road)</t>
  </si>
  <si>
    <t>Electricity (off-road)</t>
  </si>
  <si>
    <t>Fossil Natural Gas</t>
  </si>
  <si>
    <t>Biogas Blend Rate</t>
  </si>
  <si>
    <t>Total Natural Gas</t>
  </si>
  <si>
    <t>ODOT Diesel Forecast</t>
  </si>
  <si>
    <t>Growth Rates by Fuel Type, EIA vs. ODOT vs. CFP/OEA</t>
  </si>
  <si>
    <t>ODOT Gasoline Forecast</t>
  </si>
  <si>
    <t>electricity_res</t>
  </si>
  <si>
    <t>parameter_name</t>
  </si>
  <si>
    <t>gasoline</t>
  </si>
  <si>
    <t>diesel</t>
  </si>
  <si>
    <t>gasoline_E10</t>
  </si>
  <si>
    <t>Jet_Fuel</t>
  </si>
  <si>
    <t>EnDen</t>
  </si>
  <si>
    <t>CI_Target</t>
  </si>
  <si>
    <t>CI_Actual</t>
  </si>
  <si>
    <t>Parameter</t>
  </si>
  <si>
    <t>Sum of value</t>
  </si>
  <si>
    <t>Grand Total</t>
  </si>
  <si>
    <t>Sum of Total Cap</t>
  </si>
  <si>
    <t>CFP_ID</t>
  </si>
  <si>
    <t>City</t>
  </si>
  <si>
    <t>Yuma</t>
  </si>
  <si>
    <t>Sterling</t>
  </si>
  <si>
    <t>Benson</t>
  </si>
  <si>
    <t>Hankinson</t>
  </si>
  <si>
    <t>Trenton</t>
  </si>
  <si>
    <t>Adams</t>
  </si>
  <si>
    <t>Jackson</t>
  </si>
  <si>
    <t>Plainview</t>
  </si>
  <si>
    <t>Madrid</t>
  </si>
  <si>
    <t>Bridgeport</t>
  </si>
  <si>
    <t>Boardman</t>
  </si>
  <si>
    <t>Redfield</t>
  </si>
  <si>
    <t>Chancellor</t>
  </si>
  <si>
    <t>Mina</t>
  </si>
  <si>
    <t>Hudson</t>
  </si>
  <si>
    <t>Richardton</t>
  </si>
  <si>
    <t>Wentworth</t>
  </si>
  <si>
    <t>Energy
Density</t>
  </si>
  <si>
    <t>Carbon Intensity
Target</t>
  </si>
  <si>
    <t>Carbon Intensity
Assumption</t>
  </si>
  <si>
    <t>KWh/vehicle</t>
  </si>
  <si>
    <t>Liq. Petroleum Gas</t>
  </si>
  <si>
    <t>On-road electricity include calculation of residential charging.</t>
  </si>
  <si>
    <t>Deficit Total</t>
  </si>
  <si>
    <t>Credit Total</t>
  </si>
  <si>
    <t>CBOB</t>
  </si>
  <si>
    <t>Renewable NG</t>
  </si>
  <si>
    <t>Blend Rate</t>
  </si>
  <si>
    <t>Fossil NG</t>
  </si>
  <si>
    <t>On-road electricity</t>
  </si>
  <si>
    <t>Residential electricity</t>
  </si>
  <si>
    <t>Total electricity</t>
  </si>
  <si>
    <t>Res percent</t>
  </si>
  <si>
    <t>Liquid Petroleum</t>
  </si>
  <si>
    <t>Volumes Reported</t>
  </si>
  <si>
    <t>Conventional Diesel</t>
  </si>
  <si>
    <t>Electricity-On</t>
  </si>
  <si>
    <t>Electricity-Off</t>
  </si>
  <si>
    <t>Fossil Nat. Gas</t>
  </si>
  <si>
    <t>Q1-2022</t>
  </si>
  <si>
    <t>Q2-2022</t>
  </si>
  <si>
    <t>Q3-2022</t>
  </si>
  <si>
    <t>Q4-2022</t>
  </si>
  <si>
    <t>Q1-2023</t>
  </si>
  <si>
    <t>Q2-2023</t>
  </si>
  <si>
    <t>Q3-2023</t>
  </si>
  <si>
    <t>Q4-2023</t>
  </si>
  <si>
    <t>Q1-2024</t>
  </si>
  <si>
    <t>Q2-2024</t>
  </si>
  <si>
    <t>Q3-2024</t>
  </si>
  <si>
    <t>Q4-2024</t>
  </si>
  <si>
    <t>Q1-2025</t>
  </si>
  <si>
    <t>Q2-2025</t>
  </si>
  <si>
    <t>Q3-2025</t>
  </si>
  <si>
    <t>Q4-2025</t>
  </si>
  <si>
    <t>Y/Y growth</t>
  </si>
  <si>
    <t>Residential electricity KWH</t>
  </si>
  <si>
    <t>Total KWh</t>
  </si>
  <si>
    <t>Average Evs</t>
  </si>
  <si>
    <t>KWh/EV</t>
  </si>
  <si>
    <t>Residential GGE</t>
  </si>
  <si>
    <t>Total GGE</t>
  </si>
  <si>
    <t>value</t>
  </si>
  <si>
    <t>Growth Rate</t>
  </si>
  <si>
    <t>forecast_date</t>
  </si>
  <si>
    <t>Natural_Gas</t>
  </si>
  <si>
    <t>KWh_Vehicle</t>
  </si>
  <si>
    <t>Net Credit Total</t>
  </si>
  <si>
    <t>Off-road Electricity</t>
  </si>
  <si>
    <t>Clean Fuels Program Reported Data</t>
  </si>
  <si>
    <t>Volume is gallons, actual or gasoline and diesel equilvalents.  
Volume_EX equals exempt uses, Volume_OR equals non-transportation
Credits and deficits denoted in metric tons. 
CI equals Carbon Intensity 
Data published per DEQ at https://www.oregon.gov/deq/aq/programs/Pages/Clean-Fuels-Data.aspx</t>
  </si>
  <si>
    <t>CI</t>
  </si>
  <si>
    <t>Carbon Intensities</t>
  </si>
  <si>
    <t>KWh/vehicle per year</t>
  </si>
  <si>
    <t>KWh_vehicle</t>
  </si>
  <si>
    <t>Table 2.  Energy Consumption by Sector and Source</t>
  </si>
  <si>
    <t>https://www.eia.gov/outlooks/aeo/data/browser/#/?id=2-AEO2020&amp;region=1-9&amp;cases=ref2020&amp;start=2018&amp;end=2050&amp;f=A&amp;linechart=ref2020-d112119a.3-2-AEO2020.1-9&amp;map=ref2020-d112119a.5-2-AEO2020.1-9&amp;sourcekey=0</t>
  </si>
  <si>
    <t>* reflects Q4 2018 versus Q4 2017.</t>
  </si>
  <si>
    <t>Deficit/Credit Derivation</t>
  </si>
  <si>
    <t>CFP Data Pivot Table</t>
  </si>
  <si>
    <t>Table 1: Clean Fuels Forecast - Reported Volumes</t>
  </si>
  <si>
    <t>Table 17.  Renewable Energy Consumption by Sector and Source</t>
  </si>
  <si>
    <t>https://www.eia.gov/outlooks/aeo/data/browser/#/?id=24-AEO2020&amp;cases=ref2020&amp;sourcekey=0</t>
  </si>
  <si>
    <t>Mon May 04 2020 11:06:03 GMT-0700 (Pacific Daylight Time)</t>
  </si>
  <si>
    <t>Table 2: Parameters for Clean Fuels Forecast</t>
  </si>
  <si>
    <t>Net Banked
Credits</t>
  </si>
  <si>
    <t>Table 3: Net Banked Credits</t>
  </si>
  <si>
    <t>Liq_Pet_Renew</t>
  </si>
  <si>
    <t>Fossil Deficit Total</t>
  </si>
  <si>
    <t>Alternative Credit Total</t>
  </si>
  <si>
    <t>Net Credits</t>
  </si>
  <si>
    <t>Cumulative Bank</t>
  </si>
  <si>
    <t>Credits and Deficits Over Time</t>
  </si>
  <si>
    <t>Q1-2026</t>
  </si>
  <si>
    <t>Q2-2026</t>
  </si>
  <si>
    <t>Q3-2026</t>
  </si>
  <si>
    <t>Q4-2026</t>
  </si>
  <si>
    <t>Q1-2027</t>
  </si>
  <si>
    <t>Q2-2027</t>
  </si>
  <si>
    <t>Q3-2027</t>
  </si>
  <si>
    <t>Q4-2027</t>
  </si>
  <si>
    <t>EIA Pacific Outlook</t>
  </si>
  <si>
    <t>Salem</t>
  </si>
  <si>
    <t>TX</t>
  </si>
  <si>
    <t>Albert Lea</t>
  </si>
  <si>
    <t>WA</t>
  </si>
  <si>
    <t>AR</t>
  </si>
  <si>
    <t>Batesville</t>
  </si>
  <si>
    <t>Mason City</t>
  </si>
  <si>
    <t>Hoquiam</t>
  </si>
  <si>
    <t>Lloydminster</t>
  </si>
  <si>
    <t>LA</t>
  </si>
  <si>
    <t>Geismar</t>
  </si>
  <si>
    <t>Period</t>
  </si>
  <si>
    <t>Sioux City</t>
  </si>
  <si>
    <t>Ravenna</t>
  </si>
  <si>
    <t>Onida</t>
  </si>
  <si>
    <t>Alberta</t>
  </si>
  <si>
    <t>Newton</t>
  </si>
  <si>
    <t>Low CI producer scenario</t>
  </si>
  <si>
    <t>Raw Data Check</t>
  </si>
  <si>
    <t>Final Data Check</t>
  </si>
  <si>
    <t>Reported Volumes Array</t>
  </si>
  <si>
    <t>Credits/Deficits Array</t>
  </si>
  <si>
    <t>Forecast Begins Here -&gt;&gt;&gt;&gt;&gt;&gt;&gt;&gt;&gt;</t>
  </si>
  <si>
    <t>Table 4: Credit and Deficit Summary</t>
  </si>
  <si>
    <t>EEReon</t>
  </si>
  <si>
    <t>EERng</t>
  </si>
  <si>
    <t>EERelect</t>
  </si>
  <si>
    <t>EER_NG</t>
  </si>
  <si>
    <t>Naming Convention</t>
  </si>
  <si>
    <t>T0</t>
  </si>
  <si>
    <t>Compliance Period</t>
  </si>
  <si>
    <t>T1</t>
  </si>
  <si>
    <t>One Year Prior to Compliance Period</t>
  </si>
  <si>
    <t>T2</t>
  </si>
  <si>
    <t>Two Years Prior to Compliance Period</t>
  </si>
  <si>
    <t>ED</t>
  </si>
  <si>
    <t>Energy Density</t>
  </si>
  <si>
    <t>CIT</t>
  </si>
  <si>
    <t>Carbon Intensity Target</t>
  </si>
  <si>
    <t>CIA</t>
  </si>
  <si>
    <t>Carbon Intensity Actual</t>
  </si>
  <si>
    <t>BR</t>
  </si>
  <si>
    <t>GR</t>
  </si>
  <si>
    <t>https://secure.sos.state.or.us/oard/viewSingleRule.action?ruleVrsnRsn=269347</t>
  </si>
  <si>
    <t>Link to the rule, from there find the ED and CI tables</t>
  </si>
  <si>
    <t>Final Parameter</t>
  </si>
  <si>
    <t>California</t>
  </si>
  <si>
    <t>Note: Final Deficits and Credits may not foot to the raw totals due to rounding</t>
  </si>
  <si>
    <t>Final CI assumptions based on combination of statistical measures, forecaster judgement, and input from the Clean Fuels Forecast Advisory Committee</t>
  </si>
  <si>
    <t>Forecast assumption</t>
  </si>
  <si>
    <t>2022F</t>
  </si>
  <si>
    <t>*</t>
  </si>
  <si>
    <t>Mon Apr 19 2021 06:15:24 GMT-0700 (Pacific Daylight Time)</t>
  </si>
  <si>
    <t>Oregon</t>
  </si>
  <si>
    <t>Prelim assumption</t>
  </si>
  <si>
    <t xml:space="preserve">Ethanol
 </t>
  </si>
  <si>
    <t xml:space="preserve">Biodiesel
 </t>
  </si>
  <si>
    <t>Iowa Falls</t>
  </si>
  <si>
    <t>SAINT-THOMAS</t>
  </si>
  <si>
    <t>(blank)</t>
  </si>
  <si>
    <t>Avondale</t>
  </si>
  <si>
    <t xml:space="preserve">Compressed Natural Gas
 </t>
  </si>
  <si>
    <t>Lower bound</t>
  </si>
  <si>
    <r>
      <t>Motor Gasoline</t>
    </r>
    <r>
      <rPr>
        <sz val="11"/>
        <color theme="1"/>
        <rFont val="Calibri"/>
        <family val="2"/>
        <scheme val="minor"/>
      </rPr>
      <t xml:space="preserve"> (Y/Y change)</t>
    </r>
  </si>
  <si>
    <r>
      <t>Ethanol</t>
    </r>
    <r>
      <rPr>
        <sz val="11"/>
        <color theme="1"/>
        <rFont val="Calibri"/>
        <family val="2"/>
        <scheme val="minor"/>
      </rPr>
      <t xml:space="preserve"> (Y/Y change)</t>
    </r>
  </si>
  <si>
    <r>
      <t>Total Diesel</t>
    </r>
    <r>
      <rPr>
        <sz val="11"/>
        <color theme="1"/>
        <rFont val="Calibri"/>
        <family val="2"/>
        <scheme val="minor"/>
      </rPr>
      <t xml:space="preserve"> (Y/Y change)</t>
    </r>
  </si>
  <si>
    <r>
      <t>Biodiesel</t>
    </r>
    <r>
      <rPr>
        <sz val="11"/>
        <color theme="1"/>
        <rFont val="Calibri"/>
        <family val="2"/>
        <scheme val="minor"/>
      </rPr>
      <t xml:space="preserve"> (Y/Y change)</t>
    </r>
  </si>
  <si>
    <r>
      <t xml:space="preserve">Renewable Diesel </t>
    </r>
    <r>
      <rPr>
        <sz val="11"/>
        <color theme="1"/>
        <rFont val="Calibri"/>
        <family val="2"/>
        <scheme val="minor"/>
      </rPr>
      <t>(Y/Y change)</t>
    </r>
  </si>
  <si>
    <r>
      <t>Natural Gas</t>
    </r>
    <r>
      <rPr>
        <sz val="11"/>
        <color theme="1"/>
        <rFont val="Calibri"/>
        <family val="2"/>
        <scheme val="minor"/>
      </rPr>
      <t xml:space="preserve"> (Y/Y change)</t>
    </r>
  </si>
  <si>
    <r>
      <t xml:space="preserve">Liq. Petroleum Gas </t>
    </r>
    <r>
      <rPr>
        <sz val="11"/>
        <color theme="1"/>
        <rFont val="Calibri"/>
        <family val="2"/>
        <scheme val="minor"/>
      </rPr>
      <t>(Y/Y change)</t>
    </r>
  </si>
  <si>
    <t xml:space="preserve">Renewable Diesel
 </t>
  </si>
  <si>
    <t>CO</t>
  </si>
  <si>
    <t>ODOT Electric Vehicle</t>
  </si>
  <si>
    <t>IL</t>
  </si>
  <si>
    <t>Seneca</t>
  </si>
  <si>
    <t>Singapore</t>
  </si>
  <si>
    <t>CA</t>
  </si>
  <si>
    <t>Blaine</t>
  </si>
  <si>
    <t>Dickinson</t>
  </si>
  <si>
    <t>Liquified Petroleum Gas</t>
  </si>
  <si>
    <t>* OAR 340-253-8010  Table 4  Oregon Carbon Intensity Lookup Table</t>
  </si>
  <si>
    <t>**</t>
  </si>
  <si>
    <t>** OAR 340-253-8010  Table 6  Oregon Energy Densities of Fuels</t>
  </si>
  <si>
    <t>Those parameters not indicated with an asterisk are dictated from within the forecast process.</t>
  </si>
  <si>
    <t>*** OAR 340-253-8010  Table 7  Oregon Energy Economy Ratio Values for Fuels</t>
  </si>
  <si>
    <t>***</t>
  </si>
  <si>
    <t>Q1-2028</t>
  </si>
  <si>
    <t>Q2-2028</t>
  </si>
  <si>
    <t>Q3-2028</t>
  </si>
  <si>
    <t>Q4-2028</t>
  </si>
  <si>
    <t>2023F</t>
  </si>
  <si>
    <t>2022est.</t>
  </si>
  <si>
    <t>annual %ch
vs. 2021</t>
  </si>
  <si>
    <t>fuel_name2</t>
  </si>
  <si>
    <t>Electricity Off</t>
  </si>
  <si>
    <t>2021 Weighted Average</t>
  </si>
  <si>
    <t>Group2</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</si>
  <si>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</si>
  <si>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</si>
  <si>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</si>
  <si>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</si>
  <si>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</si>
  <si>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</si>
  <si>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</si>
  <si>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</si>
  <si>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</si>
  <si>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</si>
  <si>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</si>
  <si>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</si>
  <si>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</si>
  <si>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</si>
  <si>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</si>
  <si>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</si>
  <si>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</si>
  <si>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</si>
  <si>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</si>
  <si>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</si>
  <si>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</si>
  <si>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</si>
  <si>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</si>
  <si>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</si>
  <si>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On-road Electricity </t>
    </r>
    <r>
      <rPr>
        <sz val="11"/>
        <color theme="1"/>
        <rFont val="Calibri"/>
        <family val="2"/>
        <scheme val="minor"/>
      </rPr>
      <t>(Y/Y change)</t>
    </r>
  </si>
  <si>
    <r>
      <t xml:space="preserve">Off-road Electricity </t>
    </r>
    <r>
      <rPr>
        <sz val="11"/>
        <color theme="1"/>
        <rFont val="Calibri"/>
        <family val="2"/>
        <scheme val="minor"/>
      </rPr>
      <t>(Y/Y change)</t>
    </r>
  </si>
  <si>
    <t>2024F</t>
  </si>
  <si>
    <t>2025F</t>
  </si>
  <si>
    <t>2026F</t>
  </si>
  <si>
    <t>2027F</t>
  </si>
  <si>
    <t>2028F</t>
  </si>
  <si>
    <t>2029F</t>
  </si>
  <si>
    <t>2030F</t>
  </si>
  <si>
    <t>2031F</t>
  </si>
  <si>
    <t>2032F</t>
  </si>
  <si>
    <t>2033F</t>
  </si>
  <si>
    <t>2034F</t>
  </si>
  <si>
    <t>2035F</t>
  </si>
  <si>
    <t>On-road electricity %ch</t>
  </si>
  <si>
    <t>Deficit (inverse)</t>
  </si>
  <si>
    <t>ATWATER</t>
  </si>
  <si>
    <t>Jewell</t>
  </si>
  <si>
    <t>Corning</t>
  </si>
  <si>
    <t>Mitchell</t>
  </si>
  <si>
    <t xml:space="preserve">Groton
</t>
  </si>
  <si>
    <t>Big Stone City</t>
  </si>
  <si>
    <t>Coon Rapids</t>
  </si>
  <si>
    <t>Watertown</t>
  </si>
  <si>
    <t>MI</t>
  </si>
  <si>
    <t>Sandusky</t>
  </si>
  <si>
    <t>GYEONGGI-DO</t>
  </si>
  <si>
    <t>PYEONGTAEK-SI</t>
  </si>
  <si>
    <t>CROSSETT</t>
  </si>
  <si>
    <t>CLEBURNE</t>
  </si>
  <si>
    <t>MS</t>
  </si>
  <si>
    <t>NEW ALBANY</t>
  </si>
  <si>
    <t>DANVILLE</t>
  </si>
  <si>
    <t>Velva</t>
  </si>
  <si>
    <t>Sgt. Bluff</t>
  </si>
  <si>
    <t>MO</t>
  </si>
  <si>
    <t>St. Joseph</t>
  </si>
  <si>
    <t>Lethbridge</t>
  </si>
  <si>
    <t>WY</t>
  </si>
  <si>
    <t>Sinclair</t>
  </si>
  <si>
    <t>WI</t>
  </si>
  <si>
    <t>HILBERT</t>
  </si>
  <si>
    <t>Quebec</t>
  </si>
  <si>
    <t>NY</t>
  </si>
  <si>
    <t>SENECA FALLS</t>
  </si>
  <si>
    <t>PA</t>
  </si>
  <si>
    <t>IMPERIAL</t>
  </si>
  <si>
    <t>KY</t>
  </si>
  <si>
    <t>Louisville</t>
  </si>
  <si>
    <t>Kersey</t>
  </si>
  <si>
    <t>Parameter (sq cu ft/gal)</t>
  </si>
  <si>
    <t>Gallons</t>
  </si>
  <si>
    <t>Reported Volume</t>
  </si>
  <si>
    <t>gas</t>
  </si>
  <si>
    <t>eth</t>
  </si>
  <si>
    <t>bio</t>
  </si>
  <si>
    <t>ren</t>
  </si>
  <si>
    <t>eon</t>
  </si>
  <si>
    <t>lp</t>
  </si>
  <si>
    <t>fcg</t>
  </si>
  <si>
    <t>flg</t>
  </si>
  <si>
    <t>Gasoling</t>
  </si>
  <si>
    <t>On-Road Electricity</t>
  </si>
  <si>
    <t>Compressed Natural Gas</t>
  </si>
  <si>
    <t>Liquified Natural Gas</t>
  </si>
  <si>
    <t>bgs</t>
  </si>
  <si>
    <t>KWh</t>
  </si>
  <si>
    <t>Kilowatt Hours per Vehicle</t>
  </si>
  <si>
    <t>EER</t>
  </si>
  <si>
    <t>Energy Efficiency Ratio</t>
  </si>
  <si>
    <t>2022 Q1</t>
  </si>
  <si>
    <t>2022 Q2</t>
  </si>
  <si>
    <t>2022 Q3</t>
  </si>
  <si>
    <t>2022 Q4</t>
  </si>
  <si>
    <t>2023 Q1</t>
  </si>
  <si>
    <t>2023 Q2</t>
  </si>
  <si>
    <t>2023 Q3</t>
  </si>
  <si>
    <t>2023 Q4</t>
  </si>
  <si>
    <t>This workbook contains the forecasting model for the 2023 Clean Fuels forecast, administered by the Office of Economic Analysis (Oregon Department of Administrative Services).
All questions regarding this model should be directed to:
Michael Kennedy
Senior Economist, Office of Economic Analysis
michael.kennedy@das.oregon.gov
(971) 678-5595</t>
  </si>
  <si>
    <t>Net Credits/Deficits</t>
  </si>
  <si>
    <t>Beginning Banked Credits</t>
  </si>
  <si>
    <t>Non-residential credits</t>
  </si>
  <si>
    <t>NR KWH/vehicle/quarter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</si>
</sst>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0.000"/>
    <numFmt numFmtId="167" formatCode="_(* #,##0_);_(* \(#,##0\);_(* &quot;-&quot;??_);_(@_)"/>
    <numFmt numFmtId="168" formatCode="0.0"/>
  </numFmts>
  <fonts count="34" x14ac:knownFonts="1">
    <font>
      <sz val="11"/>
      <color theme="1"/>
      <name val="Calibri"/>
      <family val="2"/>
      <scheme val="minor"/>
    </font>
    <font>
      <sz val="11"/>
      <color theme="1"/>
      <name val="Calibri"/>
      <family val="2"/>
      <scheme val="minor"/>
    </font>
    <font>
      <b/>
      <sz val="11"/>
      <color theme="1"/>
      <name val="Calibri"/>
      <family val="2"/>
      <scheme val="minor"/>
    </font>
    <font>
      <sz val="9"/>
      <color indexed="8"/>
      <name val="Calibri"/>
      <family val="2"/>
    </font>
    <font>
      <b/>
      <sz val="9"/>
      <color indexed="8"/>
      <name val="Calibri"/>
      <family val="2"/>
    </font>
    <font>
      <b/>
      <sz val="12"/>
      <color indexed="30"/>
      <name val="Calibri"/>
      <family val="2"/>
    </font>
    <font>
      <sz val="11"/>
      <name val="Calibri"/>
      <family val="2"/>
      <scheme val="minor"/>
    </font>
    <font>
      <b/>
      <sz val="14"/>
      <color theme="1"/>
      <name val="Calibri"/>
      <family val="2"/>
      <scheme val="minor"/>
    </font>
    <font>
      <sz val="10"/>
      <color theme="1"/>
      <name val="Calibri"/>
      <family val="2"/>
      <scheme val="minor"/>
    </font>
    <font>
      <i/>
      <sz val="11"/>
      <color theme="1"/>
      <name val="Calibri"/>
      <family val="2"/>
      <scheme val="minor"/>
    </font>
    <font>
      <b/>
      <sz val="11"/>
      <name val="Calibri"/>
      <family val="2"/>
      <scheme val="minor"/>
    </font>
    <font>
      <b/>
      <sz val="16"/>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u/>
      <sz val="11"/>
      <color theme="10"/>
      <name val="Calibri"/>
      <family val="2"/>
      <scheme val="minor"/>
    </font>
    <font>
      <sz val="10"/>
      <color rgb="FF000000"/>
      <name val="Arial"/>
      <family val="2"/>
    </font>
    <font>
      <sz val="9"/>
      <color indexed="81"/>
      <name val="Tahoma"/>
      <family val="2"/>
    </font>
    <font>
      <b/>
      <sz val="9"/>
      <color indexed="81"/>
      <name val="Tahoma"/>
      <family val="2"/>
    </font>
    <font>
      <sz val="18"/>
      <color theme="3"/>
      <name val="Calibri Light"/>
      <family val="2"/>
      <scheme val="major"/>
    </font>
    <font>
      <sz val="8"/>
      <name val="Calibri"/>
      <family val="2"/>
      <scheme val="minor"/>
    </font>
    <font>
      <sz val="12"/>
      <color theme="1"/>
      <name val="Calibri"/>
      <family val="2"/>
      <scheme val="minor"/>
    </font>
  </fonts>
  <fills count="5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rgb="FFFF99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
      <patternFill patternType="solid">
        <fgColor rgb="FFA5FBFD"/>
        <bgColor indexed="64"/>
      </patternFill>
    </fill>
    <fill>
      <patternFill patternType="solid">
        <fgColor rgb="FF66FFFF"/>
        <bgColor indexed="64"/>
      </patternFill>
    </fill>
    <fill>
      <patternFill patternType="solid">
        <fgColor theme="7" tint="0.59999389629810485"/>
        <bgColor indexed="64"/>
      </patternFill>
    </fill>
    <fill>
      <patternFill patternType="solid">
        <fgColor theme="1"/>
        <bgColor indexed="64"/>
      </patternFill>
    </fill>
    <fill>
      <patternFill patternType="solid">
        <fgColor rgb="FFCCFF66"/>
        <bgColor indexed="64"/>
      </patternFill>
    </fill>
    <fill>
      <patternFill patternType="solid">
        <fgColor rgb="FFFFCCFF"/>
        <bgColor indexed="64"/>
      </patternFill>
    </fill>
    <fill>
      <patternFill patternType="solid">
        <fgColor theme="4" tint="0.79998168889431442"/>
        <bgColor indexed="64"/>
      </patternFill>
    </fill>
    <fill>
      <patternFill patternType="solid">
        <fgColor rgb="FFCCFFCC"/>
        <bgColor indexed="64"/>
      </patternFill>
    </fill>
    <fill>
      <patternFill patternType="solid">
        <fgColor rgb="FFFFCCCC"/>
        <bgColor indexed="64"/>
      </patternFill>
    </fill>
    <fill>
      <patternFill patternType="solid">
        <fgColor rgb="FFFFFFCC"/>
        <bgColor indexed="64"/>
      </patternFill>
    </fill>
    <fill>
      <patternFill patternType="solid">
        <fgColor theme="0" tint="-0.14999847407452621"/>
        <bgColor indexed="64"/>
      </patternFill>
    </fill>
  </fills>
  <borders count="35">
    <border>
      <left/>
      <right/>
      <top/>
      <bottom/>
      <diagonal/>
    </border>
    <border>
      <left/>
      <right/>
      <top/>
      <bottom style="thick">
        <color rgb="FF0096D7"/>
      </bottom>
      <diagonal/>
    </border>
    <border>
      <left/>
      <right/>
      <top/>
      <bottom style="thin">
        <color rgb="FFBFBFBF"/>
      </bottom>
      <diagonal/>
    </border>
    <border>
      <left/>
      <right/>
      <top/>
      <bottom style="dashed">
        <color rgb="FFBFBFBF"/>
      </bottom>
      <diagonal/>
    </border>
    <border>
      <left/>
      <right/>
      <top style="medium">
        <color rgb="FF0096D7"/>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3D3"/>
      </left>
      <right style="thin">
        <color rgb="FFD3D3D3"/>
      </right>
      <top style="thin">
        <color rgb="FFD3D3D3"/>
      </top>
      <bottom style="thin">
        <color rgb="FFD3D3D3"/>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s>
  <cellStyleXfs count="52">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1" applyNumberFormat="0" applyProtection="0">
      <alignment wrapText="1"/>
    </xf>
    <xf numFmtId="0" fontId="5" fillId="0" borderId="0" applyNumberFormat="0" applyProtection="0">
      <alignment horizontal="left"/>
    </xf>
    <xf numFmtId="0" fontId="4" fillId="0" borderId="2" applyNumberFormat="0" applyProtection="0">
      <alignment wrapText="1"/>
    </xf>
    <xf numFmtId="0" fontId="3" fillId="0" borderId="3" applyNumberFormat="0" applyFont="0" applyProtection="0">
      <alignment wrapText="1"/>
    </xf>
    <xf numFmtId="0" fontId="3" fillId="0" borderId="4" applyNumberFormat="0" applyProtection="0">
      <alignment wrapText="1"/>
    </xf>
    <xf numFmtId="0" fontId="12" fillId="0" borderId="23" applyNumberFormat="0" applyFill="0" applyAlignment="0" applyProtection="0"/>
    <xf numFmtId="0" fontId="13" fillId="0" borderId="24" applyNumberFormat="0" applyFill="0" applyAlignment="0" applyProtection="0"/>
    <xf numFmtId="0" fontId="14" fillId="0" borderId="25" applyNumberFormat="0" applyFill="0" applyAlignment="0" applyProtection="0"/>
    <xf numFmtId="0" fontId="14" fillId="0" borderId="0" applyNumberFormat="0" applyFill="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0" applyNumberFormat="0" applyBorder="0" applyAlignment="0" applyProtection="0"/>
    <xf numFmtId="0" fontId="18" fillId="11" borderId="26" applyNumberFormat="0" applyAlignment="0" applyProtection="0"/>
    <xf numFmtId="0" fontId="19" fillId="12" borderId="27" applyNumberFormat="0" applyAlignment="0" applyProtection="0"/>
    <xf numFmtId="0" fontId="20" fillId="12" borderId="26" applyNumberFormat="0" applyAlignment="0" applyProtection="0"/>
    <xf numFmtId="0" fontId="21" fillId="0" borderId="28" applyNumberFormat="0" applyFill="0" applyAlignment="0" applyProtection="0"/>
    <xf numFmtId="0" fontId="22" fillId="13" borderId="29" applyNumberFormat="0" applyAlignment="0" applyProtection="0"/>
    <xf numFmtId="0" fontId="23" fillId="0" borderId="0" applyNumberFormat="0" applyFill="0" applyBorder="0" applyAlignment="0" applyProtection="0"/>
    <xf numFmtId="0" fontId="1" fillId="14" borderId="30" applyNumberFormat="0" applyFont="0" applyAlignment="0" applyProtection="0"/>
    <xf numFmtId="0" fontId="24" fillId="0" borderId="0" applyNumberFormat="0" applyFill="0" applyBorder="0" applyAlignment="0" applyProtection="0"/>
    <xf numFmtId="0" fontId="2" fillId="0" borderId="31" applyNumberFormat="0" applyFill="0" applyAlignment="0" applyProtection="0"/>
    <xf numFmtId="0" fontId="25"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5" fillId="38" borderId="0" applyNumberFormat="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cellStyleXfs>
  <cellXfs count="211">
    <xf numFmtId="0" fontId="0" fillId="0" borderId="0" xfId="0"/>
    <xf numFmtId="0" fontId="0" fillId="3" borderId="0" xfId="0" applyFill="1"/>
    <xf numFmtId="0" fontId="0" fillId="3" borderId="5" xfId="0" applyFill="1" applyBorder="1"/>
    <xf numFmtId="3" fontId="0" fillId="3" borderId="5" xfId="0" applyNumberFormat="1" applyFill="1" applyBorder="1"/>
    <xf numFmtId="0" fontId="0" fillId="3" borderId="0" xfId="0" applyFont="1" applyFill="1"/>
    <xf numFmtId="0" fontId="0" fillId="0" borderId="5" xfId="0" applyFill="1" applyBorder="1"/>
    <xf numFmtId="164" fontId="0" fillId="3" borderId="0" xfId="1" applyNumberFormat="1" applyFont="1" applyFill="1"/>
    <xf numFmtId="10" fontId="0" fillId="0" borderId="0" xfId="0" applyNumberFormat="1"/>
    <xf numFmtId="164" fontId="0" fillId="0" borderId="0" xfId="1" applyNumberFormat="1" applyFont="1"/>
    <xf numFmtId="2" fontId="0" fillId="0" borderId="0" xfId="0" applyNumberFormat="1"/>
    <xf numFmtId="3" fontId="0" fillId="0" borderId="0" xfId="0" applyNumberFormat="1"/>
    <xf numFmtId="3" fontId="0" fillId="0" borderId="5" xfId="0" applyNumberFormat="1" applyFill="1" applyBorder="1"/>
    <xf numFmtId="3" fontId="6" fillId="3" borderId="5" xfId="0" applyNumberFormat="1" applyFont="1" applyFill="1" applyBorder="1" applyAlignment="1"/>
    <xf numFmtId="0" fontId="2" fillId="0" borderId="5" xfId="0" applyFont="1" applyBorder="1" applyAlignment="1">
      <alignment horizontal="center" wrapText="1"/>
    </xf>
    <xf numFmtId="3" fontId="2" fillId="0" borderId="5" xfId="0" applyNumberFormat="1" applyFont="1" applyBorder="1" applyAlignment="1">
      <alignment horizontal="center" wrapText="1"/>
    </xf>
    <xf numFmtId="0" fontId="2" fillId="0" borderId="0" xfId="0" applyFont="1" applyAlignment="1">
      <alignment horizontal="center" wrapText="1"/>
    </xf>
    <xf numFmtId="0" fontId="0" fillId="0" borderId="5" xfId="0" applyBorder="1"/>
    <xf numFmtId="3" fontId="0" fillId="0" borderId="5" xfId="0" applyNumberFormat="1" applyBorder="1"/>
    <xf numFmtId="3" fontId="2" fillId="3" borderId="12" xfId="0" applyNumberFormat="1" applyFont="1" applyFill="1" applyBorder="1"/>
    <xf numFmtId="0" fontId="0" fillId="0" borderId="0" xfId="0" pivotButton="1"/>
    <xf numFmtId="14" fontId="0" fillId="0" borderId="0" xfId="0" applyNumberFormat="1"/>
    <xf numFmtId="0" fontId="0" fillId="0" borderId="0" xfId="0" applyBorder="1"/>
    <xf numFmtId="3" fontId="0" fillId="0" borderId="0" xfId="0" applyNumberFormat="1" applyBorder="1"/>
    <xf numFmtId="3" fontId="0" fillId="0" borderId="0" xfId="0" applyNumberFormat="1" applyFill="1" applyBorder="1"/>
    <xf numFmtId="0" fontId="0" fillId="0" borderId="0" xfId="0" applyAlignment="1">
      <alignment horizontal="left" indent="2"/>
    </xf>
    <xf numFmtId="166" fontId="0" fillId="0" borderId="0" xfId="0" applyNumberFormat="1"/>
    <xf numFmtId="0" fontId="7" fillId="0" borderId="0" xfId="0" applyFont="1" applyAlignment="1">
      <alignment horizontal="center"/>
    </xf>
    <xf numFmtId="0" fontId="0" fillId="0" borderId="15" xfId="0" applyBorder="1"/>
    <xf numFmtId="164" fontId="0" fillId="0" borderId="0" xfId="0" applyNumberFormat="1"/>
    <xf numFmtId="0" fontId="0" fillId="0" borderId="0" xfId="0" applyAlignment="1">
      <alignment horizontal="left" indent="1"/>
    </xf>
    <xf numFmtId="0" fontId="0" fillId="0" borderId="16" xfId="0" applyBorder="1"/>
    <xf numFmtId="0" fontId="0" fillId="0" borderId="16" xfId="0" applyBorder="1" applyAlignment="1">
      <alignment horizontal="left"/>
    </xf>
    <xf numFmtId="165" fontId="0" fillId="0" borderId="0" xfId="0" applyNumberFormat="1"/>
    <xf numFmtId="165" fontId="0" fillId="0" borderId="16" xfId="0" applyNumberFormat="1" applyBorder="1"/>
    <xf numFmtId="164" fontId="0" fillId="0" borderId="16" xfId="1" applyNumberFormat="1" applyFont="1" applyBorder="1"/>
    <xf numFmtId="0" fontId="0" fillId="0" borderId="15" xfId="0" applyBorder="1" applyAlignment="1">
      <alignment wrapText="1"/>
    </xf>
    <xf numFmtId="0" fontId="0" fillId="0" borderId="0" xfId="0" applyBorder="1" applyAlignment="1">
      <alignment horizontal="left"/>
    </xf>
    <xf numFmtId="165" fontId="0" fillId="0" borderId="0" xfId="0" applyNumberFormat="1" applyBorder="1"/>
    <xf numFmtId="0" fontId="2" fillId="0" borderId="0" xfId="0" applyFont="1"/>
    <xf numFmtId="0" fontId="0" fillId="0" borderId="15" xfId="0" applyBorder="1" applyAlignment="1">
      <alignment horizontal="right" wrapText="1"/>
    </xf>
    <xf numFmtId="0" fontId="0" fillId="0" borderId="10" xfId="0" applyBorder="1"/>
    <xf numFmtId="164" fontId="0" fillId="0" borderId="10" xfId="1" applyNumberFormat="1" applyFont="1" applyBorder="1"/>
    <xf numFmtId="164" fontId="0" fillId="0" borderId="17" xfId="0" applyNumberFormat="1" applyBorder="1"/>
    <xf numFmtId="164" fontId="0" fillId="0" borderId="10" xfId="0" applyNumberFormat="1" applyBorder="1"/>
    <xf numFmtId="0" fontId="8" fillId="0" borderId="0" xfId="0" applyFont="1"/>
    <xf numFmtId="164" fontId="0" fillId="0" borderId="10" xfId="1" applyNumberFormat="1" applyFont="1" applyFill="1" applyBorder="1"/>
    <xf numFmtId="164" fontId="0" fillId="0" borderId="0" xfId="1" applyNumberFormat="1" applyFont="1" applyFill="1" applyBorder="1"/>
    <xf numFmtId="4" fontId="0" fillId="0" borderId="0" xfId="0" applyNumberFormat="1"/>
    <xf numFmtId="0" fontId="0" fillId="3" borderId="0" xfId="0" applyFill="1" applyAlignment="1"/>
    <xf numFmtId="2" fontId="0" fillId="0" borderId="5" xfId="0" applyNumberFormat="1" applyBorder="1"/>
    <xf numFmtId="3" fontId="0" fillId="3" borderId="5" xfId="0" applyNumberFormat="1" applyFill="1" applyBorder="1" applyAlignment="1"/>
    <xf numFmtId="0" fontId="0" fillId="3" borderId="18" xfId="0" applyFill="1" applyBorder="1" applyAlignment="1"/>
    <xf numFmtId="3" fontId="2" fillId="3" borderId="5" xfId="0" applyNumberFormat="1" applyFont="1" applyFill="1" applyBorder="1" applyAlignment="1"/>
    <xf numFmtId="3" fontId="2" fillId="3" borderId="19" xfId="0" applyNumberFormat="1" applyFont="1" applyFill="1" applyBorder="1" applyAlignment="1"/>
    <xf numFmtId="3" fontId="2" fillId="3" borderId="12" xfId="0" applyNumberFormat="1" applyFont="1" applyFill="1" applyBorder="1" applyAlignment="1"/>
    <xf numFmtId="0" fontId="0" fillId="3" borderId="11" xfId="0" applyFill="1" applyBorder="1" applyAlignment="1">
      <alignment horizontal="center" vertical="center"/>
    </xf>
    <xf numFmtId="0" fontId="0" fillId="3" borderId="11" xfId="0" applyFill="1" applyBorder="1"/>
    <xf numFmtId="0" fontId="0" fillId="3" borderId="20" xfId="0" applyFill="1" applyBorder="1"/>
    <xf numFmtId="0" fontId="2" fillId="3" borderId="20" xfId="0" applyFont="1" applyFill="1" applyBorder="1" applyAlignment="1">
      <alignment vertical="center"/>
    </xf>
    <xf numFmtId="0" fontId="2" fillId="3" borderId="12" xfId="0" applyFont="1" applyFill="1" applyBorder="1" applyAlignment="1">
      <alignment horizontal="center" vertical="center"/>
    </xf>
    <xf numFmtId="0" fontId="2" fillId="3" borderId="12" xfId="0" applyFont="1" applyFill="1" applyBorder="1"/>
    <xf numFmtId="3" fontId="10" fillId="3" borderId="12" xfId="0" applyNumberFormat="1" applyFont="1" applyFill="1" applyBorder="1" applyAlignment="1"/>
    <xf numFmtId="0" fontId="0" fillId="0" borderId="0" xfId="0" applyAlignment="1">
      <alignment horizontal="left"/>
    </xf>
    <xf numFmtId="0" fontId="0" fillId="3" borderId="5" xfId="0" applyFill="1" applyBorder="1" applyAlignment="1">
      <alignment horizontal="center" vertical="center"/>
    </xf>
    <xf numFmtId="14" fontId="2" fillId="6" borderId="21" xfId="0" applyNumberFormat="1" applyFont="1" applyFill="1" applyBorder="1"/>
    <xf numFmtId="0" fontId="0" fillId="0" borderId="0" xfId="0" applyFill="1"/>
    <xf numFmtId="3" fontId="0" fillId="0" borderId="0" xfId="0" applyNumberFormat="1" applyFill="1"/>
    <xf numFmtId="0" fontId="0" fillId="0" borderId="0" xfId="0" applyFill="1" applyAlignment="1">
      <alignment horizontal="left" indent="2"/>
    </xf>
    <xf numFmtId="164" fontId="0" fillId="0" borderId="0" xfId="1" applyNumberFormat="1" applyFont="1" applyFill="1"/>
    <xf numFmtId="0" fontId="0" fillId="0" borderId="16" xfId="0" applyFill="1" applyBorder="1"/>
    <xf numFmtId="3" fontId="0" fillId="0" borderId="16" xfId="0" applyNumberFormat="1" applyFill="1" applyBorder="1"/>
    <xf numFmtId="3" fontId="0" fillId="3" borderId="11" xfId="0" applyNumberFormat="1" applyFill="1" applyBorder="1"/>
    <xf numFmtId="3" fontId="0" fillId="3" borderId="20" xfId="0" applyNumberFormat="1" applyFill="1" applyBorder="1"/>
    <xf numFmtId="0" fontId="0" fillId="7" borderId="0" xfId="0" applyFont="1" applyFill="1"/>
    <xf numFmtId="164" fontId="0" fillId="7" borderId="0" xfId="1" applyNumberFormat="1" applyFont="1" applyFill="1"/>
    <xf numFmtId="0" fontId="0" fillId="5" borderId="0" xfId="0" applyFont="1" applyFill="1"/>
    <xf numFmtId="164" fontId="0" fillId="5" borderId="0" xfId="1" applyNumberFormat="1" applyFont="1" applyFill="1"/>
    <xf numFmtId="3" fontId="2" fillId="0" borderId="22" xfId="0" applyNumberFormat="1" applyFont="1" applyFill="1" applyBorder="1" applyAlignment="1">
      <alignment horizontal="center" wrapText="1"/>
    </xf>
    <xf numFmtId="9" fontId="0" fillId="0" borderId="0" xfId="1" applyFont="1"/>
    <xf numFmtId="3" fontId="0" fillId="0" borderId="5" xfId="0" applyNumberFormat="1" applyFill="1" applyBorder="1"/>
    <xf numFmtId="0" fontId="2" fillId="3" borderId="6" xfId="0" applyFont="1" applyFill="1" applyBorder="1" applyAlignment="1">
      <alignment horizontal="left"/>
    </xf>
    <xf numFmtId="0" fontId="2" fillId="3" borderId="7" xfId="0" applyFont="1" applyFill="1" applyBorder="1" applyAlignment="1">
      <alignment horizontal="left"/>
    </xf>
    <xf numFmtId="0" fontId="2" fillId="3" borderId="13" xfId="0" applyFont="1" applyFill="1" applyBorder="1" applyAlignment="1">
      <alignment horizontal="left"/>
    </xf>
    <xf numFmtId="0" fontId="2" fillId="3" borderId="14" xfId="0" applyFont="1" applyFill="1" applyBorder="1" applyAlignment="1">
      <alignment horizontal="left"/>
    </xf>
    <xf numFmtId="0" fontId="0" fillId="3" borderId="5" xfId="0" applyFill="1" applyBorder="1" applyAlignment="1">
      <alignment horizontal="center" vertical="center"/>
    </xf>
    <xf numFmtId="0" fontId="2" fillId="3" borderId="8" xfId="0" applyFont="1" applyFill="1" applyBorder="1" applyAlignment="1">
      <alignment horizontal="left"/>
    </xf>
    <xf numFmtId="0" fontId="2" fillId="3" borderId="9" xfId="0" applyFont="1" applyFill="1" applyBorder="1" applyAlignment="1">
      <alignment horizontal="left"/>
    </xf>
    <xf numFmtId="0" fontId="2" fillId="0" borderId="16" xfId="0" applyFont="1" applyBorder="1"/>
    <xf numFmtId="3" fontId="0" fillId="0" borderId="16" xfId="0" applyNumberFormat="1" applyBorder="1"/>
    <xf numFmtId="0" fontId="0" fillId="0" borderId="0" xfId="0" applyFill="1" applyBorder="1"/>
    <xf numFmtId="0" fontId="27" fillId="0" borderId="0" xfId="49"/>
    <xf numFmtId="0" fontId="11" fillId="0" borderId="0" xfId="0" applyFont="1"/>
    <xf numFmtId="167" fontId="28" fillId="0" borderId="32" xfId="50" applyNumberFormat="1" applyFont="1" applyFill="1" applyBorder="1" applyAlignment="1">
      <alignment horizontal="center" vertical="top" wrapText="1" readingOrder="1"/>
    </xf>
    <xf numFmtId="0" fontId="0" fillId="7" borderId="0" xfId="0" applyFill="1"/>
    <xf numFmtId="4" fontId="0" fillId="7" borderId="0" xfId="0" applyNumberFormat="1" applyFill="1"/>
    <xf numFmtId="0" fontId="0" fillId="2" borderId="0" xfId="0" applyFill="1"/>
    <xf numFmtId="10" fontId="0" fillId="2" borderId="0" xfId="0" applyNumberFormat="1" applyFill="1"/>
    <xf numFmtId="0" fontId="0" fillId="0" borderId="0" xfId="0" applyAlignment="1">
      <alignment horizontal="right"/>
    </xf>
    <xf numFmtId="0" fontId="0" fillId="0" borderId="15" xfId="0" applyBorder="1" applyAlignment="1">
      <alignment horizontal="right"/>
    </xf>
    <xf numFmtId="164" fontId="0" fillId="0" borderId="0" xfId="0" applyNumberFormat="1" applyBorder="1"/>
    <xf numFmtId="0" fontId="0" fillId="3" borderId="33" xfId="0" applyFill="1" applyBorder="1"/>
    <xf numFmtId="0" fontId="0" fillId="3" borderId="0" xfId="0" applyFill="1" applyBorder="1"/>
    <xf numFmtId="0" fontId="0" fillId="3" borderId="16" xfId="0" applyFill="1" applyBorder="1"/>
    <xf numFmtId="0" fontId="0" fillId="2" borderId="15" xfId="0" applyFill="1" applyBorder="1" applyAlignment="1">
      <alignment horizontal="right"/>
    </xf>
    <xf numFmtId="3" fontId="0" fillId="2" borderId="0" xfId="0" applyNumberFormat="1" applyFill="1"/>
    <xf numFmtId="3" fontId="10" fillId="2" borderId="12" xfId="0" applyNumberFormat="1" applyFont="1" applyFill="1" applyBorder="1" applyAlignment="1"/>
    <xf numFmtId="3" fontId="2" fillId="2" borderId="5" xfId="0" applyNumberFormat="1" applyFont="1" applyFill="1" applyBorder="1" applyAlignment="1"/>
    <xf numFmtId="3" fontId="0" fillId="2" borderId="16" xfId="0" applyNumberFormat="1" applyFill="1" applyBorder="1"/>
    <xf numFmtId="0" fontId="0" fillId="5" borderId="0" xfId="0" applyFont="1" applyFill="1" applyAlignment="1">
      <alignment horizontal="right"/>
    </xf>
    <xf numFmtId="3" fontId="0" fillId="0" borderId="5" xfId="0" applyNumberFormat="1" applyBorder="1"/>
    <xf numFmtId="0" fontId="0" fillId="0" borderId="5" xfId="0" applyBorder="1"/>
    <xf numFmtId="3" fontId="0" fillId="0" borderId="5" xfId="0" applyNumberFormat="1" applyFill="1" applyBorder="1"/>
    <xf numFmtId="164" fontId="0" fillId="2" borderId="10" xfId="1" applyNumberFormat="1" applyFont="1" applyFill="1" applyBorder="1"/>
    <xf numFmtId="164" fontId="0" fillId="2" borderId="10" xfId="0" applyNumberFormat="1" applyFill="1" applyBorder="1"/>
    <xf numFmtId="164" fontId="0" fillId="0" borderId="0" xfId="0" applyNumberFormat="1" applyFill="1" applyBorder="1"/>
    <xf numFmtId="0" fontId="0" fillId="5" borderId="0" xfId="0" applyFill="1"/>
    <xf numFmtId="0" fontId="0" fillId="5" borderId="0" xfId="0" applyFill="1" applyBorder="1"/>
    <xf numFmtId="164" fontId="0" fillId="5" borderId="0" xfId="0" applyNumberFormat="1" applyFill="1" applyBorder="1"/>
    <xf numFmtId="164" fontId="0" fillId="0" borderId="0" xfId="1" applyNumberFormat="1" applyFont="1" applyBorder="1"/>
    <xf numFmtId="164" fontId="0" fillId="5" borderId="0" xfId="1" applyNumberFormat="1" applyFont="1" applyFill="1" applyBorder="1"/>
    <xf numFmtId="2" fontId="9" fillId="0" borderId="5" xfId="0" applyNumberFormat="1" applyFont="1" applyFill="1" applyBorder="1"/>
    <xf numFmtId="14" fontId="0" fillId="0" borderId="0" xfId="0" applyNumberFormat="1" applyAlignment="1">
      <alignment horizontal="left"/>
    </xf>
    <xf numFmtId="0" fontId="0" fillId="0" borderId="0" xfId="0" applyFill="1" applyBorder="1" applyAlignment="1">
      <alignment horizontal="left" indent="2"/>
    </xf>
    <xf numFmtId="0" fontId="0" fillId="0" borderId="0" xfId="0"/>
    <xf numFmtId="3" fontId="0" fillId="0" borderId="0" xfId="0" applyNumberFormat="1"/>
    <xf numFmtId="3" fontId="0" fillId="0" borderId="5" xfId="0" applyNumberFormat="1" applyFill="1" applyBorder="1"/>
    <xf numFmtId="164" fontId="9" fillId="0" borderId="0" xfId="0" applyNumberFormat="1" applyFont="1" applyBorder="1"/>
    <xf numFmtId="164" fontId="9" fillId="0" borderId="0" xfId="1" applyNumberFormat="1" applyFont="1" applyBorder="1"/>
    <xf numFmtId="168" fontId="0" fillId="2" borderId="34" xfId="0" applyNumberFormat="1" applyFill="1" applyBorder="1"/>
    <xf numFmtId="3" fontId="0" fillId="7" borderId="0" xfId="0" applyNumberFormat="1" applyFill="1"/>
    <xf numFmtId="0" fontId="0" fillId="4" borderId="0" xfId="0" applyFill="1"/>
    <xf numFmtId="3" fontId="0" fillId="4" borderId="0" xfId="0" applyNumberFormat="1" applyFill="1"/>
    <xf numFmtId="3" fontId="0" fillId="5" borderId="16" xfId="0" applyNumberFormat="1" applyFill="1" applyBorder="1"/>
    <xf numFmtId="0" fontId="9" fillId="40" borderId="0" xfId="0" applyFont="1" applyFill="1" applyBorder="1" applyAlignment="1">
      <alignment horizontal="left" indent="2"/>
    </xf>
    <xf numFmtId="3" fontId="9" fillId="40" borderId="0" xfId="0" applyNumberFormat="1" applyFont="1" applyFill="1" applyBorder="1"/>
    <xf numFmtId="164" fontId="9" fillId="40" borderId="0" xfId="1" applyNumberFormat="1" applyFont="1" applyFill="1" applyBorder="1"/>
    <xf numFmtId="0" fontId="11" fillId="2" borderId="0" xfId="0" applyFont="1" applyFill="1"/>
    <xf numFmtId="164" fontId="9" fillId="39" borderId="0" xfId="1" applyNumberFormat="1" applyFont="1" applyFill="1" applyBorder="1"/>
    <xf numFmtId="168" fontId="0" fillId="5" borderId="34" xfId="0" applyNumberFormat="1" applyFill="1" applyBorder="1"/>
    <xf numFmtId="4" fontId="0" fillId="0" borderId="0" xfId="0" applyNumberFormat="1" applyFill="1"/>
    <xf numFmtId="0" fontId="0" fillId="41" borderId="0" xfId="0" applyFill="1"/>
    <xf numFmtId="0" fontId="9" fillId="5" borderId="0" xfId="0" applyFont="1" applyFill="1" applyAlignment="1">
      <alignment horizontal="left" indent="1"/>
    </xf>
    <xf numFmtId="164" fontId="9" fillId="5" borderId="0" xfId="0" applyNumberFormat="1" applyFont="1" applyFill="1"/>
    <xf numFmtId="164" fontId="9" fillId="5" borderId="0" xfId="1" applyNumberFormat="1" applyFont="1" applyFill="1"/>
    <xf numFmtId="4" fontId="0" fillId="4" borderId="0" xfId="0" applyNumberFormat="1" applyFill="1"/>
    <xf numFmtId="2" fontId="0" fillId="0" borderId="0" xfId="0" applyNumberFormat="1" applyFill="1"/>
    <xf numFmtId="0" fontId="0" fillId="0" borderId="15" xfId="0" applyFill="1" applyBorder="1" applyAlignment="1">
      <alignment horizontal="right"/>
    </xf>
    <xf numFmtId="3" fontId="10" fillId="0" borderId="12" xfId="0" applyNumberFormat="1" applyFont="1" applyFill="1" applyBorder="1" applyAlignment="1"/>
    <xf numFmtId="3" fontId="2" fillId="0" borderId="5" xfId="0" applyNumberFormat="1" applyFont="1" applyFill="1" applyBorder="1" applyAlignment="1"/>
    <xf numFmtId="164" fontId="0" fillId="0" borderId="10" xfId="0" applyNumberFormat="1" applyFill="1" applyBorder="1"/>
    <xf numFmtId="3" fontId="0" fillId="42" borderId="5" xfId="0" applyNumberFormat="1" applyFill="1" applyBorder="1"/>
    <xf numFmtId="0" fontId="0" fillId="42" borderId="5" xfId="0" applyFill="1" applyBorder="1"/>
    <xf numFmtId="3" fontId="0" fillId="0" borderId="5" xfId="0" applyNumberFormat="1" applyBorder="1"/>
    <xf numFmtId="3" fontId="0" fillId="0" borderId="5" xfId="0" applyNumberFormat="1" applyFill="1" applyBorder="1"/>
    <xf numFmtId="166" fontId="0" fillId="41" borderId="0" xfId="0" applyNumberFormat="1" applyFill="1"/>
    <xf numFmtId="168" fontId="0" fillId="0" borderId="0" xfId="0" applyNumberFormat="1"/>
    <xf numFmtId="165" fontId="0" fillId="0" borderId="0" xfId="0" applyNumberFormat="1" applyFill="1"/>
    <xf numFmtId="165" fontId="0" fillId="0" borderId="0" xfId="0" applyNumberFormat="1" applyFill="1" applyBorder="1"/>
    <xf numFmtId="2" fontId="0" fillId="5" borderId="34" xfId="0" applyNumberFormat="1" applyFill="1" applyBorder="1"/>
    <xf numFmtId="3" fontId="0" fillId="2" borderId="5" xfId="0" applyNumberFormat="1" applyFill="1" applyBorder="1"/>
    <xf numFmtId="3" fontId="0" fillId="39" borderId="5" xfId="0" applyNumberFormat="1" applyFill="1" applyBorder="1"/>
    <xf numFmtId="0" fontId="6" fillId="0" borderId="15" xfId="0" applyFont="1" applyBorder="1" applyAlignment="1">
      <alignment horizontal="right" wrapText="1"/>
    </xf>
    <xf numFmtId="0" fontId="6" fillId="0" borderId="0" xfId="0" applyFont="1" applyBorder="1" applyAlignment="1">
      <alignment wrapText="1"/>
    </xf>
    <xf numFmtId="0" fontId="6" fillId="0" borderId="15" xfId="0" applyFont="1" applyBorder="1" applyAlignment="1">
      <alignment wrapText="1"/>
    </xf>
    <xf numFmtId="0" fontId="0" fillId="0" borderId="0" xfId="0" applyAlignment="1"/>
    <xf numFmtId="166" fontId="0" fillId="43" borderId="0" xfId="0" applyNumberFormat="1" applyFill="1"/>
    <xf numFmtId="10" fontId="0" fillId="0" borderId="0" xfId="1" applyNumberFormat="1" applyFont="1" applyFill="1"/>
    <xf numFmtId="10" fontId="9" fillId="5" borderId="0" xfId="0" applyNumberFormat="1" applyFont="1" applyFill="1"/>
    <xf numFmtId="0" fontId="0" fillId="0" borderId="0" xfId="0"/>
    <xf numFmtId="3" fontId="0" fillId="0" borderId="5" xfId="0" applyNumberFormat="1" applyFill="1" applyBorder="1"/>
    <xf numFmtId="0" fontId="2" fillId="4" borderId="0" xfId="0" applyFont="1" applyFill="1"/>
    <xf numFmtId="0" fontId="2" fillId="4" borderId="21" xfId="0" applyFont="1" applyFill="1" applyBorder="1"/>
    <xf numFmtId="0" fontId="2" fillId="4" borderId="0" xfId="0" applyFont="1" applyFill="1" applyBorder="1"/>
    <xf numFmtId="3" fontId="0" fillId="0" borderId="5" xfId="0" applyNumberFormat="1" applyBorder="1"/>
    <xf numFmtId="0" fontId="0" fillId="0" borderId="0" xfId="0"/>
    <xf numFmtId="3" fontId="0" fillId="0" borderId="5" xfId="0" applyNumberFormat="1" applyBorder="1"/>
    <xf numFmtId="0" fontId="2" fillId="0" borderId="0" xfId="0" applyFont="1" applyAlignment="1">
      <alignment horizontal="center"/>
    </xf>
    <xf numFmtId="0" fontId="0" fillId="7" borderId="34" xfId="0" applyFill="1" applyBorder="1"/>
    <xf numFmtId="0" fontId="0" fillId="44" borderId="34" xfId="0" applyFill="1" applyBorder="1"/>
    <xf numFmtId="0" fontId="33" fillId="0" borderId="0" xfId="0" pivotButton="1" applyFont="1"/>
    <xf numFmtId="0" fontId="33" fillId="0" borderId="0" xfId="0" applyFont="1"/>
    <xf numFmtId="14" fontId="33" fillId="0" borderId="0" xfId="0" applyNumberFormat="1" applyFont="1" applyAlignment="1">
      <alignment horizontal="left"/>
    </xf>
    <xf numFmtId="166" fontId="0" fillId="45" borderId="0" xfId="0" applyNumberFormat="1" applyFill="1"/>
    <xf numFmtId="0" fontId="0" fillId="45" borderId="0" xfId="0" applyFill="1"/>
    <xf numFmtId="166" fontId="0" fillId="46" borderId="0" xfId="0" applyNumberFormat="1" applyFill="1"/>
    <xf numFmtId="0" fontId="0" fillId="46" borderId="0" xfId="0" applyFill="1"/>
    <xf numFmtId="166" fontId="0" fillId="47" borderId="0" xfId="0" applyNumberFormat="1" applyFill="1"/>
    <xf numFmtId="0" fontId="0" fillId="47" borderId="0" xfId="0" applyFill="1"/>
    <xf numFmtId="164" fontId="0" fillId="48" borderId="0" xfId="0" applyNumberFormat="1" applyFill="1"/>
    <xf numFmtId="0" fontId="0" fillId="48" borderId="0" xfId="0" applyFill="1"/>
    <xf numFmtId="164" fontId="0" fillId="49" borderId="0" xfId="0" applyNumberFormat="1" applyFill="1"/>
    <xf numFmtId="0" fontId="0" fillId="49" borderId="0" xfId="0" applyFill="1"/>
    <xf numFmtId="166" fontId="0" fillId="50" borderId="0" xfId="0" applyNumberFormat="1" applyFill="1"/>
    <xf numFmtId="0" fontId="0" fillId="50" borderId="0" xfId="0" applyFill="1"/>
    <xf numFmtId="2" fontId="0" fillId="0" borderId="5" xfId="0" applyNumberFormat="1" applyFill="1" applyBorder="1"/>
    <xf numFmtId="0" fontId="11" fillId="3" borderId="8" xfId="0" applyFont="1" applyFill="1" applyBorder="1" applyAlignment="1">
      <alignment horizontal="center"/>
    </xf>
    <xf numFmtId="0" fontId="11" fillId="3" borderId="10" xfId="0" applyFont="1" applyFill="1" applyBorder="1" applyAlignment="1">
      <alignment horizontal="center"/>
    </xf>
    <xf numFmtId="0" fontId="11" fillId="3" borderId="9" xfId="0" applyFont="1" applyFill="1" applyBorder="1" applyAlignment="1">
      <alignment horizontal="center"/>
    </xf>
    <xf numFmtId="0" fontId="0" fillId="2" borderId="0" xfId="0" applyFill="1" applyBorder="1" applyAlignment="1">
      <alignment horizontal="right"/>
    </xf>
    <xf numFmtId="0" fontId="0" fillId="0" borderId="0" xfId="0" applyAlignment="1">
      <alignment horizontal="left" vertical="top" wrapText="1"/>
    </xf>
    <xf numFmtId="0" fontId="7" fillId="0" borderId="0" xfId="0" applyFont="1" applyAlignment="1">
      <alignment horizontal="center"/>
    </xf>
    <xf numFmtId="0" fontId="11" fillId="3" borderId="8" xfId="0" applyFont="1" applyFill="1" applyBorder="1" applyAlignment="1">
      <alignment horizontal="center"/>
    </xf>
    <xf numFmtId="0" fontId="11" fillId="3" borderId="10" xfId="0" applyFont="1" applyFill="1" applyBorder="1" applyAlignment="1">
      <alignment horizontal="center"/>
    </xf>
    <xf numFmtId="0" fontId="11" fillId="3" borderId="9" xfId="0" applyFont="1" applyFill="1" applyBorder="1" applyAlignment="1">
      <alignment horizontal="center"/>
    </xf>
    <xf numFmtId="0" fontId="11" fillId="0" borderId="0" xfId="0" applyFont="1" applyAlignment="1">
      <alignment horizontal="center"/>
    </xf>
    <xf numFmtId="0" fontId="0" fillId="0" borderId="0" xfId="0" applyAlignment="1">
      <alignment wrapText="1"/>
    </xf>
    <xf numFmtId="0" fontId="33" fillId="5" borderId="0" xfId="0" applyFont="1" applyFill="1" applyAlignment="1">
      <alignment horizontal="center" wrapText="1"/>
    </xf>
    <xf numFmtId="0" fontId="0" fillId="0" borderId="0" xfId="0" applyAlignment="1">
      <alignment horizontal="center"/>
    </xf>
    <xf numFmtId="0" fontId="2" fillId="0" borderId="0" xfId="0" applyFont="1" applyAlignment="1">
      <alignment horizontal="center"/>
    </xf>
    <xf numFmtId="168" fontId="0" fillId="0" borderId="0" xfId="0" applyNumberFormat="1" applyFill="1"/>
    <xf numFmtId="3" fontId="9" fillId="0" borderId="5" xfId="0" applyNumberFormat="1" applyFont="1" applyFill="1" applyBorder="1"/>
  </cellXfs>
  <cellStyles count="52">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Body: normal cell" xfId="6" xr:uid="{00000000-0005-0000-0000-000019000000}"/>
    <cellStyle name="Calculation" xfId="17" builtinId="22" customBuiltin="1"/>
    <cellStyle name="Check Cell" xfId="19" builtinId="23" customBuiltin="1"/>
    <cellStyle name="Comma" xfId="50" builtinId="3"/>
    <cellStyle name="Explanatory Text" xfId="22" builtinId="53" customBuiltin="1"/>
    <cellStyle name="Font: Calibri, 9pt regular" xfId="2" xr:uid="{00000000-0005-0000-0000-00001E000000}"/>
    <cellStyle name="Footnotes: top row" xfId="7" xr:uid="{00000000-0005-0000-0000-00001F000000}"/>
    <cellStyle name="Good" xfId="12" builtinId="26" customBuiltin="1"/>
    <cellStyle name="Header: bottom row" xfId="3" xr:uid="{00000000-0005-0000-0000-000021000000}"/>
    <cellStyle name="Heading 1" xfId="8" builtinId="16" customBuiltin="1"/>
    <cellStyle name="Heading 2" xfId="9" builtinId="17" customBuiltin="1"/>
    <cellStyle name="Heading 3" xfId="10" builtinId="18" customBuiltin="1"/>
    <cellStyle name="Heading 4" xfId="11" builtinId="19" customBuiltin="1"/>
    <cellStyle name="Hyperlink" xfId="49" builtinId="8"/>
    <cellStyle name="Input" xfId="15" builtinId="20" customBuiltin="1"/>
    <cellStyle name="Linked Cell" xfId="18" builtinId="24" customBuiltin="1"/>
    <cellStyle name="Neutral" xfId="14" builtinId="28" customBuiltin="1"/>
    <cellStyle name="Normal" xfId="0" builtinId="0"/>
    <cellStyle name="Note" xfId="21" builtinId="10" customBuiltin="1"/>
    <cellStyle name="Output" xfId="16" builtinId="21" customBuiltin="1"/>
    <cellStyle name="Parent row" xfId="5" xr:uid="{00000000-0005-0000-0000-00002D000000}"/>
    <cellStyle name="Percent" xfId="1" builtinId="5"/>
    <cellStyle name="Table title" xfId="4" xr:uid="{00000000-0005-0000-0000-00002F000000}"/>
    <cellStyle name="Title 2" xfId="48" xr:uid="{00000000-0005-0000-0000-000030000000}"/>
    <cellStyle name="Title 2 2" xfId="51" xr:uid="{00000000-0005-0000-0000-000031000000}"/>
    <cellStyle name="Total" xfId="23" builtinId="25" customBuiltin="1"/>
    <cellStyle name="Warning Text" xfId="20" builtinId="11" customBuiltin="1"/>
  </cellStyles>
  <dxfs count="76">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rgb="FF66FFFF"/>
        </patternFill>
      </fill>
    </dxf>
    <dxf>
      <fill>
        <patternFill patternType="solid">
          <bgColor rgb="FF66FFFF"/>
        </patternFill>
      </fill>
    </dxf>
    <dxf>
      <fill>
        <patternFill patternType="solid">
          <bgColor rgb="FFFFFFCC"/>
        </patternFill>
      </fill>
    </dxf>
    <dxf>
      <fill>
        <patternFill patternType="solid">
          <bgColor rgb="FFFFFFCC"/>
        </patternFill>
      </fill>
    </dxf>
    <dxf>
      <fill>
        <patternFill patternType="solid">
          <bgColor rgb="FFFFCCCC"/>
        </patternFill>
      </fill>
    </dxf>
    <dxf>
      <fill>
        <patternFill patternType="solid">
          <bgColor rgb="FFFFCC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rgb="FFFFCCFF"/>
        </patternFill>
      </fill>
    </dxf>
    <dxf>
      <fill>
        <patternFill patternType="solid">
          <bgColor rgb="FFFFCCFF"/>
        </patternFill>
      </fill>
    </dxf>
    <dxf>
      <fill>
        <patternFill patternType="solid">
          <bgColor rgb="FFFFCCFF"/>
        </patternFill>
      </fill>
    </dxf>
    <dxf>
      <numFmt numFmtId="164" formatCode="0.0%"/>
    </dxf>
    <dxf>
      <fill>
        <patternFill>
          <bgColor theme="9" tint="0.59999389629810485"/>
        </patternFill>
      </fill>
    </dxf>
    <dxf>
      <fill>
        <patternFill>
          <bgColor theme="9" tint="0.59999389629810485"/>
        </patternFill>
      </fill>
    </dxf>
    <dxf>
      <fill>
        <patternFill patternType="solid">
          <bgColor theme="9" tint="0.59999389629810485"/>
        </patternFill>
      </fill>
    </dxf>
    <dxf>
      <fill>
        <patternFill patternType="solid">
          <bgColor theme="8" tint="0.59999389629810485"/>
        </patternFill>
      </fill>
    </dxf>
    <dxf>
      <numFmt numFmtId="4" formatCode="#,##0.00"/>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rgb="FFFF99FF"/>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4"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numFmt numFmtId="4" formatCode="#,##0.00"/>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s>
  <tableStyles count="0" defaultTableStyle="TableStyleMedium2" defaultPivotStyle="PivotStyleLight16"/>
  <colors>
    <mruColors>
      <color rgb="FF66FFFF"/>
      <color rgb="FFFFFFCC"/>
      <color rgb="FFFFCCCC"/>
      <color rgb="FFCCFFCC"/>
      <color rgb="FFFFCCFF"/>
      <color rgb="FFFF99FF"/>
      <color rgb="FFCCFF66"/>
      <color rgb="FFFF66CC"/>
      <color rgb="FFCCFF99"/>
      <color rgb="FFFEC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Blend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Forecast_Main!$H$74:$AE$74</c:f>
              <c:strCache>
                <c:ptCount val="24"/>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strCache>
            </c:strRef>
          </c:cat>
          <c:val>
            <c:numRef>
              <c:f>Forecast_Main!$H$78:$AE$78</c:f>
              <c:numCache>
                <c:formatCode>0.0%</c:formatCode>
                <c:ptCount val="24"/>
                <c:pt idx="0">
                  <c:v>0.11775692755767568</c:v>
                </c:pt>
                <c:pt idx="1">
                  <c:v>0.11149694823150767</c:v>
                </c:pt>
                <c:pt idx="2">
                  <c:v>0.10993553721249949</c:v>
                </c:pt>
                <c:pt idx="3">
                  <c:v>0.10318369732748199</c:v>
                </c:pt>
                <c:pt idx="4">
                  <c:v>0.12529520298502503</c:v>
                </c:pt>
                <c:pt idx="5">
                  <c:v>0.10426226684091097</c:v>
                </c:pt>
                <c:pt idx="6">
                  <c:v>0.10407437015044083</c:v>
                </c:pt>
                <c:pt idx="7">
                  <c:v>0.10168796970044768</c:v>
                </c:pt>
                <c:pt idx="8">
                  <c:v>0.11030495180562035</c:v>
                </c:pt>
                <c:pt idx="9">
                  <c:v>8.8501719969195355E-2</c:v>
                </c:pt>
                <c:pt idx="10">
                  <c:v>0.10327101202338926</c:v>
                </c:pt>
                <c:pt idx="11">
                  <c:v>0.10299711084898204</c:v>
                </c:pt>
                <c:pt idx="12">
                  <c:v>9.3923692656207286E-2</c:v>
                </c:pt>
                <c:pt idx="13">
                  <c:v>0.10147738661034471</c:v>
                </c:pt>
                <c:pt idx="14">
                  <c:v>0.10653347176178395</c:v>
                </c:pt>
                <c:pt idx="15">
                  <c:v>9.7855204515457317E-2</c:v>
                </c:pt>
                <c:pt idx="16">
                  <c:v>9.9726045495361834E-2</c:v>
                </c:pt>
                <c:pt idx="17">
                  <c:v>0.11352998615518238</c:v>
                </c:pt>
                <c:pt idx="18">
                  <c:v>9.337344805888069E-2</c:v>
                </c:pt>
                <c:pt idx="19">
                  <c:v>0.10017749265863515</c:v>
                </c:pt>
                <c:pt idx="20" formatCode="0.00%">
                  <c:v>8.6980821669104522E-2</c:v>
                </c:pt>
                <c:pt idx="21" formatCode="0.00%">
                  <c:v>0.11968464602493274</c:v>
                </c:pt>
                <c:pt idx="22" formatCode="0.00%">
                  <c:v>9.835915864564436E-2</c:v>
                </c:pt>
                <c:pt idx="23" formatCode="0.00%">
                  <c:v>0.10523808169993247</c:v>
                </c:pt>
              </c:numCache>
            </c:numRef>
          </c:val>
          <c:extLst>
            <c:ext xmlns:c16="http://schemas.microsoft.com/office/drawing/2014/chart" uri="{C3380CC4-5D6E-409C-BE32-E72D297353CC}">
              <c16:uniqueId val="{00000000-FFAB-49D6-996F-41EEA7A7259E}"/>
            </c:ext>
          </c:extLst>
        </c:ser>
        <c:dLbls>
          <c:showLegendKey val="0"/>
          <c:showVal val="0"/>
          <c:showCatName val="0"/>
          <c:showSerName val="0"/>
          <c:showPercent val="0"/>
          <c:showBubbleSize val="0"/>
        </c:dLbls>
        <c:gapWidth val="219"/>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a:t>
            </a:r>
            <a:r>
              <a:rPr lang="en-US" baseline="0"/>
              <a:t> D</a:t>
            </a:r>
            <a:r>
              <a:rPr lang="en-US"/>
              <a:t>iesel</a:t>
            </a:r>
            <a:r>
              <a:rPr lang="en-US" baseline="0"/>
              <a:t> </a:t>
            </a:r>
            <a:r>
              <a:rPr lang="en-US"/>
              <a:t>Carbon Intensity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047465025023853E-2"/>
          <c:y val="0.12584277676787517"/>
          <c:w val="0.89688066453889848"/>
          <c:h val="0.69012530477691603"/>
        </c:manualLayout>
      </c:layout>
      <c:lineChart>
        <c:grouping val="standard"/>
        <c:varyColors val="0"/>
        <c:ser>
          <c:idx val="0"/>
          <c:order val="0"/>
          <c:tx>
            <c:strRef>
              <c:f>'CI Trend'!$C$24</c:f>
              <c:strCache>
                <c:ptCount val="1"/>
                <c:pt idx="0">
                  <c:v>Oregon</c:v>
                </c:pt>
              </c:strCache>
            </c:strRef>
          </c:tx>
          <c:spPr>
            <a:ln w="28575" cap="rnd">
              <a:solidFill>
                <a:schemeClr val="accent1"/>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Trend'!$D$24:$AI$24</c:f>
              <c:numCache>
                <c:formatCode>General</c:formatCode>
                <c:ptCount val="32"/>
                <c:pt idx="7" formatCode="#,##0.00">
                  <c:v>33.64</c:v>
                </c:pt>
                <c:pt idx="8" formatCode="#,##0.00">
                  <c:v>48.76</c:v>
                </c:pt>
                <c:pt idx="9" formatCode="#,##0.00">
                  <c:v>36.380000000000003</c:v>
                </c:pt>
                <c:pt idx="10" formatCode="#,##0.00">
                  <c:v>37.42</c:v>
                </c:pt>
                <c:pt idx="11" formatCode="#,##0.00">
                  <c:v>34.96</c:v>
                </c:pt>
                <c:pt idx="12" formatCode="#,##0.00">
                  <c:v>53.91</c:v>
                </c:pt>
                <c:pt idx="13" formatCode="#,##0.00">
                  <c:v>44.74</c:v>
                </c:pt>
                <c:pt idx="14" formatCode="#,##0.00">
                  <c:v>29.88</c:v>
                </c:pt>
                <c:pt idx="15" formatCode="#,##0.00">
                  <c:v>28.12</c:v>
                </c:pt>
                <c:pt idx="16" formatCode="#,##0.00">
                  <c:v>27.29</c:v>
                </c:pt>
                <c:pt idx="17" formatCode="#,##0.00">
                  <c:v>30.18</c:v>
                </c:pt>
                <c:pt idx="18" formatCode="#,##0.00">
                  <c:v>64.48</c:v>
                </c:pt>
                <c:pt idx="19" formatCode="#,##0.00">
                  <c:v>39.46</c:v>
                </c:pt>
                <c:pt idx="20" formatCode="#,##0.00">
                  <c:v>63.83</c:v>
                </c:pt>
                <c:pt idx="21" formatCode="#,##0.00">
                  <c:v>304.47000000000003</c:v>
                </c:pt>
                <c:pt idx="22" formatCode="#,##0.00">
                  <c:v>48.86</c:v>
                </c:pt>
                <c:pt idx="23" formatCode="#,##0.00">
                  <c:v>-1210.6099999999999</c:v>
                </c:pt>
              </c:numCache>
            </c:numRef>
          </c:val>
          <c:smooth val="0"/>
          <c:extLst>
            <c:ext xmlns:c16="http://schemas.microsoft.com/office/drawing/2014/chart" uri="{C3380CC4-5D6E-409C-BE32-E72D297353CC}">
              <c16:uniqueId val="{00000000-7EAE-44C4-8D0D-E0CBC06BB266}"/>
            </c:ext>
          </c:extLst>
        </c:ser>
        <c:ser>
          <c:idx val="2"/>
          <c:order val="1"/>
          <c:tx>
            <c:strRef>
              <c:f>'CI Trend'!$C$27</c:f>
              <c:strCache>
                <c:ptCount val="1"/>
                <c:pt idx="0">
                  <c:v>California</c:v>
                </c:pt>
              </c:strCache>
            </c:strRef>
          </c:tx>
          <c:spPr>
            <a:ln w="28575" cap="rnd">
              <a:solidFill>
                <a:srgbClr val="FFC000"/>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Trend'!$D$27:$AI$27</c:f>
              <c:numCache>
                <c:formatCode>General</c:formatCode>
                <c:ptCount val="32"/>
                <c:pt idx="0">
                  <c:v>52.89</c:v>
                </c:pt>
                <c:pt idx="1">
                  <c:v>31.78</c:v>
                </c:pt>
                <c:pt idx="2">
                  <c:v>30.2</c:v>
                </c:pt>
                <c:pt idx="3">
                  <c:v>30.71</c:v>
                </c:pt>
                <c:pt idx="4">
                  <c:v>30.11</c:v>
                </c:pt>
                <c:pt idx="5">
                  <c:v>30.23</c:v>
                </c:pt>
                <c:pt idx="6">
                  <c:v>30.39</c:v>
                </c:pt>
                <c:pt idx="7">
                  <c:v>30.9</c:v>
                </c:pt>
                <c:pt idx="8">
                  <c:v>30.9</c:v>
                </c:pt>
                <c:pt idx="9">
                  <c:v>31.53</c:v>
                </c:pt>
                <c:pt idx="10">
                  <c:v>32.200000000000003</c:v>
                </c:pt>
                <c:pt idx="11">
                  <c:v>34.049999999999997</c:v>
                </c:pt>
                <c:pt idx="12">
                  <c:v>36.39</c:v>
                </c:pt>
                <c:pt idx="13">
                  <c:v>34.25</c:v>
                </c:pt>
                <c:pt idx="14">
                  <c:v>33.58</c:v>
                </c:pt>
                <c:pt idx="15">
                  <c:v>34.119999999999997</c:v>
                </c:pt>
                <c:pt idx="16">
                  <c:v>32.11</c:v>
                </c:pt>
                <c:pt idx="17" formatCode="#,##0.00">
                  <c:v>35.049999999999997</c:v>
                </c:pt>
                <c:pt idx="18" formatCode="#,##0.00">
                  <c:v>32.1</c:v>
                </c:pt>
                <c:pt idx="19" formatCode="#,##0.00">
                  <c:v>32.880000000000003</c:v>
                </c:pt>
                <c:pt idx="20" formatCode="#,##0.00">
                  <c:v>36.33</c:v>
                </c:pt>
                <c:pt idx="21" formatCode="#,##0.00">
                  <c:v>38.659999999999997</c:v>
                </c:pt>
              </c:numCache>
            </c:numRef>
          </c:val>
          <c:smooth val="0"/>
          <c:extLst>
            <c:ext xmlns:c16="http://schemas.microsoft.com/office/drawing/2014/chart" uri="{C3380CC4-5D6E-409C-BE32-E72D297353CC}">
              <c16:uniqueId val="{00000002-7EAE-44C4-8D0D-E0CBC06BB266}"/>
            </c:ext>
          </c:extLst>
        </c:ser>
        <c:ser>
          <c:idx val="3"/>
          <c:order val="2"/>
          <c:tx>
            <c:strRef>
              <c:f>'CI Trend'!$C$26</c:f>
              <c:strCache>
                <c:ptCount val="1"/>
                <c:pt idx="0">
                  <c:v>Prelim assumption</c:v>
                </c:pt>
              </c:strCache>
            </c:strRef>
          </c:tx>
          <c:spPr>
            <a:ln w="50800" cap="rnd">
              <a:solidFill>
                <a:schemeClr val="tx1"/>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Trend'!$D$26:$AI$26</c:f>
              <c:numCache>
                <c:formatCode>General</c:formatCode>
                <c:ptCount val="32"/>
                <c:pt idx="24" formatCode="#,##0.00">
                  <c:v>36</c:v>
                </c:pt>
                <c:pt idx="25" formatCode="#,##0.00">
                  <c:v>36</c:v>
                </c:pt>
                <c:pt idx="26" formatCode="#,##0.00">
                  <c:v>36</c:v>
                </c:pt>
                <c:pt idx="27" formatCode="#,##0.00">
                  <c:v>36</c:v>
                </c:pt>
                <c:pt idx="28" formatCode="#,##0.00">
                  <c:v>34</c:v>
                </c:pt>
                <c:pt idx="29" formatCode="#,##0.00">
                  <c:v>34</c:v>
                </c:pt>
                <c:pt idx="30" formatCode="#,##0.00">
                  <c:v>34</c:v>
                </c:pt>
                <c:pt idx="31" formatCode="#,##0.00">
                  <c:v>34</c:v>
                </c:pt>
              </c:numCache>
            </c:numRef>
          </c:val>
          <c:smooth val="0"/>
          <c:extLst>
            <c:ext xmlns:c16="http://schemas.microsoft.com/office/drawing/2014/chart" uri="{C3380CC4-5D6E-409C-BE32-E72D297353CC}">
              <c16:uniqueId val="{00000000-B5BC-4867-9FB0-E1AD22D4091C}"/>
            </c:ext>
          </c:extLst>
        </c:ser>
        <c:ser>
          <c:idx val="1"/>
          <c:order val="3"/>
          <c:tx>
            <c:strRef>
              <c:f>'CI Trend'!$C$25</c:f>
              <c:strCache>
                <c:ptCount val="1"/>
                <c:pt idx="0">
                  <c:v>Lower bound</c:v>
                </c:pt>
              </c:strCache>
            </c:strRef>
          </c:tx>
          <c:spPr>
            <a:ln w="53975" cap="rnd">
              <a:solidFill>
                <a:srgbClr val="FF66CC"/>
              </a:solidFill>
              <a:round/>
            </a:ln>
            <a:effectLst/>
          </c:spPr>
          <c:marker>
            <c:symbol val="none"/>
          </c:marker>
          <c:val>
            <c:numRef>
              <c:f>'CI Trend'!$D$25:$AI$25</c:f>
              <c:numCache>
                <c:formatCode>General</c:formatCode>
                <c:ptCount val="32"/>
                <c:pt idx="28" formatCode="0.0">
                  <c:v>31.964285714285715</c:v>
                </c:pt>
                <c:pt idx="29" formatCode="0.0">
                  <c:v>31.964285714285715</c:v>
                </c:pt>
                <c:pt idx="30" formatCode="0.0">
                  <c:v>31.964285714285715</c:v>
                </c:pt>
                <c:pt idx="31" formatCode="0.0">
                  <c:v>31.964285714285715</c:v>
                </c:pt>
              </c:numCache>
            </c:numRef>
          </c:val>
          <c:smooth val="0"/>
          <c:extLst>
            <c:ext xmlns:c16="http://schemas.microsoft.com/office/drawing/2014/chart" uri="{C3380CC4-5D6E-409C-BE32-E72D297353CC}">
              <c16:uniqueId val="{00000001-E133-45DC-8267-BC08E55F0DB7}"/>
            </c:ext>
          </c:extLst>
        </c:ser>
        <c:dLbls>
          <c:showLegendKey val="0"/>
          <c:showVal val="0"/>
          <c:showCatName val="0"/>
          <c:showSerName val="0"/>
          <c:showPercent val="0"/>
          <c:showBubbleSize val="0"/>
        </c:dLbls>
        <c:smooth val="0"/>
        <c:axId val="249445048"/>
        <c:axId val="249441520"/>
      </c:lineChart>
      <c:dateAx>
        <c:axId val="249445048"/>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8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1520"/>
        <c:crosses val="autoZero"/>
        <c:auto val="1"/>
        <c:lblOffset val="100"/>
        <c:baseTimeUnit val="months"/>
        <c:majorUnit val="3"/>
        <c:majorTimeUnit val="months"/>
      </c:dateAx>
      <c:valAx>
        <c:axId val="249441520"/>
        <c:scaling>
          <c:orientation val="minMax"/>
          <c:max val="70"/>
          <c:min val="5"/>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5048"/>
        <c:crosses val="autoZero"/>
        <c:crossBetween val="between"/>
      </c:valAx>
      <c:spPr>
        <a:noFill/>
        <a:ln>
          <a:noFill/>
        </a:ln>
        <a:effectLst/>
      </c:spPr>
    </c:plotArea>
    <c:legend>
      <c:legendPos val="b"/>
      <c:layout>
        <c:manualLayout>
          <c:xMode val="edge"/>
          <c:yMode val="edge"/>
          <c:x val="0.128209933060693"/>
          <c:y val="0.6438967516520242"/>
          <c:w val="0.48236912246434305"/>
          <c:h val="0.15072385244448944"/>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Carbon Intensity</a:t>
            </a:r>
          </a:p>
        </c:rich>
      </c:tx>
      <c:layout>
        <c:manualLayout>
          <c:xMode val="edge"/>
          <c:yMode val="edge"/>
          <c:x val="0.34355054266865293"/>
          <c:y val="3.3725548457386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501037272397751E-2"/>
          <c:y val="0.12228955591326579"/>
          <c:w val="0.89479327816637999"/>
          <c:h val="0.71128369540126712"/>
        </c:manualLayout>
      </c:layout>
      <c:lineChart>
        <c:grouping val="standard"/>
        <c:varyColors val="0"/>
        <c:ser>
          <c:idx val="0"/>
          <c:order val="0"/>
          <c:tx>
            <c:strRef>
              <c:f>'CI Trend'!$C$12</c:f>
              <c:strCache>
                <c:ptCount val="1"/>
                <c:pt idx="0">
                  <c:v>Oregon</c:v>
                </c:pt>
              </c:strCache>
            </c:strRef>
          </c:tx>
          <c:spPr>
            <a:ln w="28575" cap="rnd">
              <a:solidFill>
                <a:schemeClr val="accent1"/>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Trend'!$D$12:$AI$12</c:f>
              <c:numCache>
                <c:formatCode>#,##0.00</c:formatCode>
                <c:ptCount val="32"/>
                <c:pt idx="0">
                  <c:v>64.5</c:v>
                </c:pt>
                <c:pt idx="1">
                  <c:v>62.85</c:v>
                </c:pt>
                <c:pt idx="2">
                  <c:v>63</c:v>
                </c:pt>
                <c:pt idx="3">
                  <c:v>62.48</c:v>
                </c:pt>
                <c:pt idx="4">
                  <c:v>62.68</c:v>
                </c:pt>
                <c:pt idx="5">
                  <c:v>63.04</c:v>
                </c:pt>
                <c:pt idx="6">
                  <c:v>63.49</c:v>
                </c:pt>
                <c:pt idx="7">
                  <c:v>61.33</c:v>
                </c:pt>
                <c:pt idx="8">
                  <c:v>61.85</c:v>
                </c:pt>
                <c:pt idx="9">
                  <c:v>61.12</c:v>
                </c:pt>
                <c:pt idx="10">
                  <c:v>60.81</c:v>
                </c:pt>
                <c:pt idx="11">
                  <c:v>59.73</c:v>
                </c:pt>
                <c:pt idx="12">
                  <c:v>60.13</c:v>
                </c:pt>
                <c:pt idx="13">
                  <c:v>59.68</c:v>
                </c:pt>
                <c:pt idx="14">
                  <c:v>57.02</c:v>
                </c:pt>
                <c:pt idx="15">
                  <c:v>55.81</c:v>
                </c:pt>
                <c:pt idx="16">
                  <c:v>55.33</c:v>
                </c:pt>
                <c:pt idx="17">
                  <c:v>55.78</c:v>
                </c:pt>
                <c:pt idx="18">
                  <c:v>55.03</c:v>
                </c:pt>
                <c:pt idx="19">
                  <c:v>52.89</c:v>
                </c:pt>
                <c:pt idx="20">
                  <c:v>53.55</c:v>
                </c:pt>
                <c:pt idx="21">
                  <c:v>53.66</c:v>
                </c:pt>
                <c:pt idx="22">
                  <c:v>53.67</c:v>
                </c:pt>
                <c:pt idx="23">
                  <c:v>53.98</c:v>
                </c:pt>
              </c:numCache>
            </c:numRef>
          </c:val>
          <c:smooth val="0"/>
          <c:extLst>
            <c:ext xmlns:c16="http://schemas.microsoft.com/office/drawing/2014/chart" uri="{C3380CC4-5D6E-409C-BE32-E72D297353CC}">
              <c16:uniqueId val="{00000000-4AA8-4345-B03D-A55F693F3823}"/>
            </c:ext>
          </c:extLst>
        </c:ser>
        <c:ser>
          <c:idx val="1"/>
          <c:order val="1"/>
          <c:tx>
            <c:strRef>
              <c:f>'CI Trend'!$C$15</c:f>
              <c:strCache>
                <c:ptCount val="1"/>
                <c:pt idx="0">
                  <c:v>California</c:v>
                </c:pt>
              </c:strCache>
            </c:strRef>
          </c:tx>
          <c:spPr>
            <a:ln w="28575" cap="rnd">
              <a:solidFill>
                <a:srgbClr val="FEC200"/>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Trend'!$D$15:$AI$15</c:f>
              <c:numCache>
                <c:formatCode>#,##0.00</c:formatCode>
                <c:ptCount val="32"/>
                <c:pt idx="0">
                  <c:v>72.87</c:v>
                </c:pt>
                <c:pt idx="1">
                  <c:v>70.83</c:v>
                </c:pt>
                <c:pt idx="2">
                  <c:v>69.98</c:v>
                </c:pt>
                <c:pt idx="3">
                  <c:v>70.34</c:v>
                </c:pt>
                <c:pt idx="4">
                  <c:v>71.489999999999995</c:v>
                </c:pt>
                <c:pt idx="5">
                  <c:v>70.290000000000006</c:v>
                </c:pt>
                <c:pt idx="6">
                  <c:v>69.510000000000005</c:v>
                </c:pt>
                <c:pt idx="7">
                  <c:v>68.98</c:v>
                </c:pt>
                <c:pt idx="8">
                  <c:v>70.099999999999994</c:v>
                </c:pt>
                <c:pt idx="9">
                  <c:v>70.02</c:v>
                </c:pt>
                <c:pt idx="10">
                  <c:v>68.41</c:v>
                </c:pt>
                <c:pt idx="11">
                  <c:v>65.88</c:v>
                </c:pt>
                <c:pt idx="12">
                  <c:v>66</c:v>
                </c:pt>
                <c:pt idx="13">
                  <c:v>63.69</c:v>
                </c:pt>
                <c:pt idx="14">
                  <c:v>59.33</c:v>
                </c:pt>
                <c:pt idx="15">
                  <c:v>59.46</c:v>
                </c:pt>
                <c:pt idx="16">
                  <c:v>60.34</c:v>
                </c:pt>
                <c:pt idx="17">
                  <c:v>62.13</c:v>
                </c:pt>
                <c:pt idx="18">
                  <c:v>57.77</c:v>
                </c:pt>
                <c:pt idx="19">
                  <c:v>57.69</c:v>
                </c:pt>
                <c:pt idx="20">
                  <c:v>60.7</c:v>
                </c:pt>
                <c:pt idx="21">
                  <c:v>60.87</c:v>
                </c:pt>
              </c:numCache>
            </c:numRef>
          </c:val>
          <c:smooth val="0"/>
          <c:extLst>
            <c:ext xmlns:c16="http://schemas.microsoft.com/office/drawing/2014/chart" uri="{C3380CC4-5D6E-409C-BE32-E72D297353CC}">
              <c16:uniqueId val="{00000000-A4C0-4D16-935C-2BF6C569C18A}"/>
            </c:ext>
          </c:extLst>
        </c:ser>
        <c:ser>
          <c:idx val="3"/>
          <c:order val="2"/>
          <c:tx>
            <c:strRef>
              <c:f>'CI Trend'!$C$14</c:f>
              <c:strCache>
                <c:ptCount val="1"/>
                <c:pt idx="0">
                  <c:v>Forecast assumption</c:v>
                </c:pt>
              </c:strCache>
            </c:strRef>
          </c:tx>
          <c:spPr>
            <a:ln w="63500" cap="rnd">
              <a:solidFill>
                <a:schemeClr val="tx1"/>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Trend'!$D$14:$AI$14</c:f>
              <c:numCache>
                <c:formatCode>#,##0.00</c:formatCode>
                <c:ptCount val="32"/>
                <c:pt idx="24" formatCode="General">
                  <c:v>52</c:v>
                </c:pt>
                <c:pt idx="25" formatCode="General">
                  <c:v>52</c:v>
                </c:pt>
                <c:pt idx="26" formatCode="General">
                  <c:v>52</c:v>
                </c:pt>
                <c:pt idx="27" formatCode="General">
                  <c:v>52</c:v>
                </c:pt>
                <c:pt idx="28" formatCode="General">
                  <c:v>50</c:v>
                </c:pt>
                <c:pt idx="29" formatCode="General">
                  <c:v>50</c:v>
                </c:pt>
                <c:pt idx="30" formatCode="General">
                  <c:v>50</c:v>
                </c:pt>
                <c:pt idx="31" formatCode="General">
                  <c:v>50</c:v>
                </c:pt>
              </c:numCache>
            </c:numRef>
          </c:val>
          <c:smooth val="0"/>
          <c:extLst>
            <c:ext xmlns:c16="http://schemas.microsoft.com/office/drawing/2014/chart" uri="{C3380CC4-5D6E-409C-BE32-E72D297353CC}">
              <c16:uniqueId val="{00000000-F986-45EE-92CF-5BE6F58CA32C}"/>
            </c:ext>
          </c:extLst>
        </c:ser>
        <c:ser>
          <c:idx val="2"/>
          <c:order val="3"/>
          <c:tx>
            <c:strRef>
              <c:f>'CI Trend'!$C$13</c:f>
              <c:strCache>
                <c:ptCount val="1"/>
                <c:pt idx="0">
                  <c:v>Lower bound</c:v>
                </c:pt>
              </c:strCache>
            </c:strRef>
          </c:tx>
          <c:spPr>
            <a:ln w="63500" cap="rnd">
              <a:solidFill>
                <a:srgbClr val="FF66CC"/>
              </a:solidFill>
              <a:round/>
            </a:ln>
            <a:effectLst/>
          </c:spPr>
          <c:marker>
            <c:symbol val="none"/>
          </c:marker>
          <c:val>
            <c:numRef>
              <c:f>'CI Trend'!$D$13:$AI$13</c:f>
              <c:numCache>
                <c:formatCode>#,##0.00</c:formatCode>
                <c:ptCount val="32"/>
                <c:pt idx="28">
                  <c:v>37.167001777582215</c:v>
                </c:pt>
                <c:pt idx="29">
                  <c:v>37.167001777582215</c:v>
                </c:pt>
                <c:pt idx="30">
                  <c:v>37.167001777582215</c:v>
                </c:pt>
                <c:pt idx="31">
                  <c:v>37.167001777582215</c:v>
                </c:pt>
              </c:numCache>
            </c:numRef>
          </c:val>
          <c:smooth val="0"/>
          <c:extLst>
            <c:ext xmlns:c16="http://schemas.microsoft.com/office/drawing/2014/chart" uri="{C3380CC4-5D6E-409C-BE32-E72D297353CC}">
              <c16:uniqueId val="{00000001-89E7-4911-803B-C546EEA71BAB}"/>
            </c:ext>
          </c:extLst>
        </c:ser>
        <c:dLbls>
          <c:showLegendKey val="0"/>
          <c:showVal val="0"/>
          <c:showCatName val="0"/>
          <c:showSerName val="0"/>
          <c:showPercent val="0"/>
          <c:showBubbleSize val="0"/>
        </c:dLbls>
        <c:smooth val="0"/>
        <c:axId val="164543584"/>
        <c:axId val="245527544"/>
      </c:lineChart>
      <c:dateAx>
        <c:axId val="16454358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5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5527544"/>
        <c:crosses val="autoZero"/>
        <c:auto val="1"/>
        <c:lblOffset val="100"/>
        <c:baseTimeUnit val="months"/>
        <c:majorUnit val="3"/>
        <c:majorTimeUnit val="months"/>
      </c:dateAx>
      <c:valAx>
        <c:axId val="245527544"/>
        <c:scaling>
          <c:orientation val="minMax"/>
          <c:min val="3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543584"/>
        <c:crosses val="autoZero"/>
        <c:crossBetween val="between"/>
      </c:valAx>
      <c:spPr>
        <a:noFill/>
        <a:ln>
          <a:noFill/>
        </a:ln>
        <a:effectLst/>
      </c:spPr>
    </c:plotArea>
    <c:legend>
      <c:legendPos val="b"/>
      <c:layout>
        <c:manualLayout>
          <c:xMode val="edge"/>
          <c:yMode val="edge"/>
          <c:x val="0.11662389885349841"/>
          <c:y val="0.58435008321120741"/>
          <c:w val="0.52196887799951375"/>
          <c:h val="0.20465336943292181"/>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a:t>
            </a:r>
            <a:r>
              <a:rPr lang="en-US" baseline="0"/>
              <a:t> </a:t>
            </a:r>
            <a:r>
              <a:rPr lang="en-US"/>
              <a:t>Carbon Intensity</a:t>
            </a:r>
          </a:p>
        </c:rich>
      </c:tx>
      <c:layout>
        <c:manualLayout>
          <c:xMode val="edge"/>
          <c:yMode val="edge"/>
          <c:x val="0.31321731851791529"/>
          <c:y val="2.208202441243558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047465025023853E-2"/>
          <c:y val="0.12584277676787517"/>
          <c:w val="0.89688066453889848"/>
          <c:h val="0.69012530477691603"/>
        </c:manualLayout>
      </c:layout>
      <c:lineChart>
        <c:grouping val="standard"/>
        <c:varyColors val="0"/>
        <c:ser>
          <c:idx val="0"/>
          <c:order val="0"/>
          <c:tx>
            <c:strRef>
              <c:f>'CI Trend'!$C$18</c:f>
              <c:strCache>
                <c:ptCount val="1"/>
                <c:pt idx="0">
                  <c:v>Oregon</c:v>
                </c:pt>
              </c:strCache>
            </c:strRef>
          </c:tx>
          <c:spPr>
            <a:ln w="28575" cap="rnd">
              <a:solidFill>
                <a:schemeClr val="accent1"/>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Trend'!$D$18:$AI$18</c:f>
              <c:numCache>
                <c:formatCode>#,##0.00</c:formatCode>
                <c:ptCount val="32"/>
                <c:pt idx="0">
                  <c:v>56.38</c:v>
                </c:pt>
                <c:pt idx="1">
                  <c:v>51.31</c:v>
                </c:pt>
                <c:pt idx="2">
                  <c:v>51.13</c:v>
                </c:pt>
                <c:pt idx="3">
                  <c:v>48.72</c:v>
                </c:pt>
                <c:pt idx="4">
                  <c:v>46.35</c:v>
                </c:pt>
                <c:pt idx="5">
                  <c:v>47.58</c:v>
                </c:pt>
                <c:pt idx="6">
                  <c:v>47.06</c:v>
                </c:pt>
                <c:pt idx="7">
                  <c:v>47.45</c:v>
                </c:pt>
                <c:pt idx="8">
                  <c:v>45.21</c:v>
                </c:pt>
                <c:pt idx="9">
                  <c:v>46.03</c:v>
                </c:pt>
                <c:pt idx="10">
                  <c:v>45.34</c:v>
                </c:pt>
                <c:pt idx="11">
                  <c:v>44.35</c:v>
                </c:pt>
                <c:pt idx="12">
                  <c:v>39.51</c:v>
                </c:pt>
                <c:pt idx="13">
                  <c:v>38.92</c:v>
                </c:pt>
                <c:pt idx="14">
                  <c:v>38.97</c:v>
                </c:pt>
                <c:pt idx="15">
                  <c:v>37.380000000000003</c:v>
                </c:pt>
                <c:pt idx="16">
                  <c:v>36.65</c:v>
                </c:pt>
                <c:pt idx="17">
                  <c:v>43.71</c:v>
                </c:pt>
                <c:pt idx="18">
                  <c:v>42.81</c:v>
                </c:pt>
                <c:pt idx="19">
                  <c:v>44.65</c:v>
                </c:pt>
                <c:pt idx="20">
                  <c:v>43.25</c:v>
                </c:pt>
                <c:pt idx="21">
                  <c:v>40.49</c:v>
                </c:pt>
                <c:pt idx="22">
                  <c:v>41.89</c:v>
                </c:pt>
                <c:pt idx="23">
                  <c:v>42.08</c:v>
                </c:pt>
              </c:numCache>
            </c:numRef>
          </c:val>
          <c:smooth val="0"/>
          <c:extLst>
            <c:ext xmlns:c16="http://schemas.microsoft.com/office/drawing/2014/chart" uri="{C3380CC4-5D6E-409C-BE32-E72D297353CC}">
              <c16:uniqueId val="{00000000-29F7-4C50-9A8F-9F4573EB8B8F}"/>
            </c:ext>
          </c:extLst>
        </c:ser>
        <c:ser>
          <c:idx val="1"/>
          <c:order val="1"/>
          <c:tx>
            <c:strRef>
              <c:f>'CI Trend'!$C$19</c:f>
              <c:strCache>
                <c:ptCount val="1"/>
                <c:pt idx="0">
                  <c:v>Lower bound</c:v>
                </c:pt>
              </c:strCache>
            </c:strRef>
          </c:tx>
          <c:spPr>
            <a:ln w="50800" cap="rnd">
              <a:solidFill>
                <a:srgbClr val="FF66CC"/>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Trend'!$D$19:$AI$19</c:f>
              <c:numCache>
                <c:formatCode>#,##0.00</c:formatCode>
                <c:ptCount val="32"/>
                <c:pt idx="28">
                  <c:v>22.289643230665284</c:v>
                </c:pt>
                <c:pt idx="29">
                  <c:v>22.289643230665284</c:v>
                </c:pt>
                <c:pt idx="30">
                  <c:v>22.289643230665284</c:v>
                </c:pt>
                <c:pt idx="31">
                  <c:v>22.289643230665284</c:v>
                </c:pt>
              </c:numCache>
            </c:numRef>
          </c:val>
          <c:smooth val="0"/>
          <c:extLst>
            <c:ext xmlns:c16="http://schemas.microsoft.com/office/drawing/2014/chart" uri="{C3380CC4-5D6E-409C-BE32-E72D297353CC}">
              <c16:uniqueId val="{00000000-497C-4FD9-AB7E-FDD088311F0A}"/>
            </c:ext>
          </c:extLst>
        </c:ser>
        <c:ser>
          <c:idx val="2"/>
          <c:order val="2"/>
          <c:tx>
            <c:strRef>
              <c:f>'CI Trend'!$C$21</c:f>
              <c:strCache>
                <c:ptCount val="1"/>
                <c:pt idx="0">
                  <c:v>California</c:v>
                </c:pt>
              </c:strCache>
            </c:strRef>
          </c:tx>
          <c:spPr>
            <a:ln w="28575" cap="rnd">
              <a:solidFill>
                <a:srgbClr val="FEC200"/>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Trend'!$D$21:$AI$21</c:f>
              <c:numCache>
                <c:formatCode>General</c:formatCode>
                <c:ptCount val="32"/>
                <c:pt idx="0">
                  <c:v>17.25</c:v>
                </c:pt>
                <c:pt idx="1">
                  <c:v>13.83</c:v>
                </c:pt>
                <c:pt idx="2">
                  <c:v>17.53</c:v>
                </c:pt>
                <c:pt idx="3">
                  <c:v>18.309999999999999</c:v>
                </c:pt>
                <c:pt idx="4">
                  <c:v>34.76</c:v>
                </c:pt>
                <c:pt idx="5">
                  <c:v>30.84</c:v>
                </c:pt>
                <c:pt idx="6">
                  <c:v>36.82</c:v>
                </c:pt>
                <c:pt idx="7">
                  <c:v>34.15</c:v>
                </c:pt>
                <c:pt idx="8">
                  <c:v>33.97</c:v>
                </c:pt>
                <c:pt idx="9">
                  <c:v>29.93</c:v>
                </c:pt>
                <c:pt idx="10">
                  <c:v>29.61</c:v>
                </c:pt>
                <c:pt idx="11">
                  <c:v>30.67</c:v>
                </c:pt>
                <c:pt idx="12">
                  <c:v>28.46</c:v>
                </c:pt>
                <c:pt idx="13">
                  <c:v>26.98</c:v>
                </c:pt>
                <c:pt idx="14">
                  <c:v>26.15</c:v>
                </c:pt>
                <c:pt idx="15">
                  <c:v>26.34</c:v>
                </c:pt>
                <c:pt idx="16">
                  <c:v>25.93</c:v>
                </c:pt>
                <c:pt idx="17" formatCode="0.00">
                  <c:v>27.25</c:v>
                </c:pt>
                <c:pt idx="18" formatCode="0.00">
                  <c:v>27.08</c:v>
                </c:pt>
                <c:pt idx="19" formatCode="0.00">
                  <c:v>29.92</c:v>
                </c:pt>
                <c:pt idx="20" formatCode="0.00">
                  <c:v>29.69</c:v>
                </c:pt>
                <c:pt idx="21" formatCode="0.00">
                  <c:v>28.54</c:v>
                </c:pt>
              </c:numCache>
            </c:numRef>
          </c:val>
          <c:smooth val="0"/>
          <c:extLst>
            <c:ext xmlns:c16="http://schemas.microsoft.com/office/drawing/2014/chart" uri="{C3380CC4-5D6E-409C-BE32-E72D297353CC}">
              <c16:uniqueId val="{00000001-497C-4FD9-AB7E-FDD088311F0A}"/>
            </c:ext>
          </c:extLst>
        </c:ser>
        <c:ser>
          <c:idx val="3"/>
          <c:order val="3"/>
          <c:tx>
            <c:strRef>
              <c:f>'CI Trend'!$C$20</c:f>
              <c:strCache>
                <c:ptCount val="1"/>
                <c:pt idx="0">
                  <c:v>Forecast assumption</c:v>
                </c:pt>
              </c:strCache>
            </c:strRef>
          </c:tx>
          <c:spPr>
            <a:ln w="50800" cap="rnd">
              <a:solidFill>
                <a:schemeClr val="tx1"/>
              </a:solidFill>
              <a:round/>
            </a:ln>
            <a:effectLst/>
          </c:spPr>
          <c:marker>
            <c:symbol val="none"/>
          </c:marker>
          <c:cat>
            <c:numRef>
              <c:f>'CI Trend'!$D$11:$AI$11</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'CI Trend'!$D$20:$AI$20</c:f>
              <c:numCache>
                <c:formatCode>#,##0.00</c:formatCode>
                <c:ptCount val="32"/>
                <c:pt idx="24">
                  <c:v>40</c:v>
                </c:pt>
                <c:pt idx="25">
                  <c:v>40</c:v>
                </c:pt>
                <c:pt idx="26">
                  <c:v>40</c:v>
                </c:pt>
                <c:pt idx="27">
                  <c:v>40</c:v>
                </c:pt>
                <c:pt idx="28">
                  <c:v>39</c:v>
                </c:pt>
                <c:pt idx="29">
                  <c:v>39</c:v>
                </c:pt>
                <c:pt idx="30">
                  <c:v>39</c:v>
                </c:pt>
                <c:pt idx="31">
                  <c:v>39</c:v>
                </c:pt>
              </c:numCache>
            </c:numRef>
          </c:val>
          <c:smooth val="0"/>
          <c:extLst>
            <c:ext xmlns:c16="http://schemas.microsoft.com/office/drawing/2014/chart" uri="{C3380CC4-5D6E-409C-BE32-E72D297353CC}">
              <c16:uniqueId val="{00000000-0EE2-4660-A57E-5BCB566AEA20}"/>
            </c:ext>
          </c:extLst>
        </c:ser>
        <c:dLbls>
          <c:showLegendKey val="0"/>
          <c:showVal val="0"/>
          <c:showCatName val="0"/>
          <c:showSerName val="0"/>
          <c:showPercent val="0"/>
          <c:showBubbleSize val="0"/>
        </c:dLbls>
        <c:smooth val="0"/>
        <c:axId val="249445048"/>
        <c:axId val="249441520"/>
      </c:lineChart>
      <c:dateAx>
        <c:axId val="249445048"/>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8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1520"/>
        <c:crosses val="autoZero"/>
        <c:auto val="1"/>
        <c:lblOffset val="100"/>
        <c:baseTimeUnit val="months"/>
        <c:majorUnit val="3"/>
        <c:majorTimeUnit val="months"/>
      </c:dateAx>
      <c:valAx>
        <c:axId val="2494415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5048"/>
        <c:crosses val="autoZero"/>
        <c:crossBetween val="between"/>
      </c:valAx>
      <c:spPr>
        <a:noFill/>
        <a:ln>
          <a:noFill/>
        </a:ln>
        <a:effectLst/>
      </c:spPr>
    </c:plotArea>
    <c:legend>
      <c:legendPos val="b"/>
      <c:layout>
        <c:manualLayout>
          <c:xMode val="edge"/>
          <c:yMode val="edge"/>
          <c:x val="0.15398057916675267"/>
          <c:y val="0.64411253238096633"/>
          <c:w val="0.51544096990006971"/>
          <c:h val="0.13840734702981866"/>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Plug-in</a:t>
            </a:r>
            <a:r>
              <a:rPr lang="en-US" baseline="0"/>
              <a:t> Hybrid Electric Vehicles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'Electric Vehicles'!$B$3</c:f>
              <c:strCache>
                <c:ptCount val="1"/>
                <c:pt idx="0">
                  <c:v>PHEV (baseline)</c:v>
                </c:pt>
              </c:strCache>
            </c:strRef>
          </c:tx>
          <c:spPr>
            <a:ln w="28575" cap="rnd">
              <a:solidFill>
                <a:schemeClr val="accent1"/>
              </a:solidFill>
              <a:round/>
            </a:ln>
            <a:effectLst/>
          </c:spPr>
          <c:marker>
            <c:symbol val="none"/>
          </c:marker>
          <c:cat>
            <c:strRef>
              <c:f>'Electric Vehicles'!$A$4:$A$63</c:f>
              <c:strCache>
                <c:ptCount val="60"/>
                <c:pt idx="0">
                  <c:v>Q1-2013</c:v>
                </c:pt>
                <c:pt idx="1">
                  <c:v>Q2-2013</c:v>
                </c:pt>
                <c:pt idx="2">
                  <c:v>Q3-2013</c:v>
                </c:pt>
                <c:pt idx="3">
                  <c:v>Q4-2013</c:v>
                </c:pt>
                <c:pt idx="4">
                  <c:v>Q1-2014</c:v>
                </c:pt>
                <c:pt idx="5">
                  <c:v>Q2-2014</c:v>
                </c:pt>
                <c:pt idx="6">
                  <c:v>Q3-2014</c:v>
                </c:pt>
                <c:pt idx="7">
                  <c:v>Q4-2014</c:v>
                </c:pt>
                <c:pt idx="8">
                  <c:v>Q1-2015</c:v>
                </c:pt>
                <c:pt idx="9">
                  <c:v>Q2-2015</c:v>
                </c:pt>
                <c:pt idx="10">
                  <c:v>Q3-2015</c:v>
                </c:pt>
                <c:pt idx="11">
                  <c:v>Q4-2015</c:v>
                </c:pt>
                <c:pt idx="12">
                  <c:v>Q1-2016</c:v>
                </c:pt>
                <c:pt idx="13">
                  <c:v>Q2-2016</c:v>
                </c:pt>
                <c:pt idx="14">
                  <c:v>Q3-2016</c:v>
                </c:pt>
                <c:pt idx="15">
                  <c:v>Q4-2016</c:v>
                </c:pt>
                <c:pt idx="16">
                  <c:v>Q1-2017</c:v>
                </c:pt>
                <c:pt idx="17">
                  <c:v>Q2-2017</c:v>
                </c:pt>
                <c:pt idx="18">
                  <c:v>Q3-2017</c:v>
                </c:pt>
                <c:pt idx="19">
                  <c:v>Q4-2017</c:v>
                </c:pt>
                <c:pt idx="20">
                  <c:v>Q1-2018</c:v>
                </c:pt>
                <c:pt idx="21">
                  <c:v>Q2-2018</c:v>
                </c:pt>
                <c:pt idx="22">
                  <c:v>Q3-2018</c:v>
                </c:pt>
                <c:pt idx="23">
                  <c:v>Q4-2018</c:v>
                </c:pt>
                <c:pt idx="24">
                  <c:v>Q1-2019</c:v>
                </c:pt>
                <c:pt idx="25">
                  <c:v>Q2-2019</c:v>
                </c:pt>
                <c:pt idx="26">
                  <c:v>Q3-2019</c:v>
                </c:pt>
                <c:pt idx="27">
                  <c:v>Q4-2019</c:v>
                </c:pt>
                <c:pt idx="28">
                  <c:v>Q1-2020</c:v>
                </c:pt>
                <c:pt idx="29">
                  <c:v>Q2-2020</c:v>
                </c:pt>
                <c:pt idx="30">
                  <c:v>Q3-2020</c:v>
                </c:pt>
                <c:pt idx="31">
                  <c:v>Q4-2020</c:v>
                </c:pt>
                <c:pt idx="32">
                  <c:v>Q1-2021</c:v>
                </c:pt>
                <c:pt idx="33">
                  <c:v>Q2-2021</c:v>
                </c:pt>
                <c:pt idx="34">
                  <c:v>Q3-2021</c:v>
                </c:pt>
                <c:pt idx="35">
                  <c:v>Q4-2021</c:v>
                </c:pt>
                <c:pt idx="36">
                  <c:v>Q1-2022</c:v>
                </c:pt>
                <c:pt idx="37">
                  <c:v>Q2-2022</c:v>
                </c:pt>
                <c:pt idx="38">
                  <c:v>Q3-2022</c:v>
                </c:pt>
                <c:pt idx="39">
                  <c:v>Q4-2022</c:v>
                </c:pt>
                <c:pt idx="40">
                  <c:v>Q1-2023</c:v>
                </c:pt>
                <c:pt idx="41">
                  <c:v>Q2-2023</c:v>
                </c:pt>
                <c:pt idx="42">
                  <c:v>Q3-2023</c:v>
                </c:pt>
                <c:pt idx="43">
                  <c:v>Q4-2023</c:v>
                </c:pt>
                <c:pt idx="44">
                  <c:v>Q1-2024</c:v>
                </c:pt>
                <c:pt idx="45">
                  <c:v>Q2-2024</c:v>
                </c:pt>
                <c:pt idx="46">
                  <c:v>Q3-2024</c:v>
                </c:pt>
                <c:pt idx="47">
                  <c:v>Q4-2024</c:v>
                </c:pt>
                <c:pt idx="48">
                  <c:v>Q1-2025</c:v>
                </c:pt>
                <c:pt idx="49">
                  <c:v>Q2-2025</c:v>
                </c:pt>
                <c:pt idx="50">
                  <c:v>Q3-2025</c:v>
                </c:pt>
                <c:pt idx="51">
                  <c:v>Q4-2025</c:v>
                </c:pt>
                <c:pt idx="52">
                  <c:v>Q1-2026</c:v>
                </c:pt>
                <c:pt idx="53">
                  <c:v>Q2-2026</c:v>
                </c:pt>
                <c:pt idx="54">
                  <c:v>Q3-2026</c:v>
                </c:pt>
                <c:pt idx="55">
                  <c:v>Q4-2026</c:v>
                </c:pt>
                <c:pt idx="56">
                  <c:v>Q1-2027</c:v>
                </c:pt>
                <c:pt idx="57">
                  <c:v>Q2-2027</c:v>
                </c:pt>
                <c:pt idx="58">
                  <c:v>Q3-2027</c:v>
                </c:pt>
                <c:pt idx="59">
                  <c:v>Q4-2027</c:v>
                </c:pt>
              </c:strCache>
            </c:strRef>
          </c:cat>
          <c:val>
            <c:numRef>
              <c:f>'Electric Vehicles'!$B$4:$B$63</c:f>
              <c:numCache>
                <c:formatCode>#,##0</c:formatCode>
                <c:ptCount val="60"/>
                <c:pt idx="0">
                  <c:v>851</c:v>
                </c:pt>
                <c:pt idx="1">
                  <c:v>987</c:v>
                </c:pt>
                <c:pt idx="2">
                  <c:v>1197</c:v>
                </c:pt>
                <c:pt idx="3">
                  <c:v>1581</c:v>
                </c:pt>
                <c:pt idx="4">
                  <c:v>1734</c:v>
                </c:pt>
                <c:pt idx="5">
                  <c:v>1915</c:v>
                </c:pt>
                <c:pt idx="6">
                  <c:v>2214</c:v>
                </c:pt>
                <c:pt idx="7">
                  <c:v>2462</c:v>
                </c:pt>
                <c:pt idx="8">
                  <c:v>2654</c:v>
                </c:pt>
                <c:pt idx="9">
                  <c:v>2890</c:v>
                </c:pt>
                <c:pt idx="10">
                  <c:v>3088</c:v>
                </c:pt>
                <c:pt idx="11">
                  <c:v>3371</c:v>
                </c:pt>
                <c:pt idx="12">
                  <c:v>3725</c:v>
                </c:pt>
                <c:pt idx="13">
                  <c:v>4133</c:v>
                </c:pt>
                <c:pt idx="14">
                  <c:v>4520</c:v>
                </c:pt>
                <c:pt idx="15">
                  <c:v>4972</c:v>
                </c:pt>
                <c:pt idx="16">
                  <c:v>5442</c:v>
                </c:pt>
                <c:pt idx="17">
                  <c:v>5930</c:v>
                </c:pt>
                <c:pt idx="18">
                  <c:v>6383</c:v>
                </c:pt>
                <c:pt idx="19">
                  <c:v>6775</c:v>
                </c:pt>
                <c:pt idx="20">
                  <c:v>7376</c:v>
                </c:pt>
                <c:pt idx="21">
                  <c:v>7958</c:v>
                </c:pt>
                <c:pt idx="22">
                  <c:v>8591</c:v>
                </c:pt>
                <c:pt idx="23">
                  <c:v>9246</c:v>
                </c:pt>
                <c:pt idx="24">
                  <c:v>9706</c:v>
                </c:pt>
                <c:pt idx="25">
                  <c:v>10281</c:v>
                </c:pt>
                <c:pt idx="26">
                  <c:v>10902</c:v>
                </c:pt>
                <c:pt idx="27">
                  <c:v>11420</c:v>
                </c:pt>
                <c:pt idx="28">
                  <c:v>11823</c:v>
                </c:pt>
                <c:pt idx="29">
                  <c:v>11785</c:v>
                </c:pt>
                <c:pt idx="30">
                  <c:v>12024</c:v>
                </c:pt>
                <c:pt idx="31">
                  <c:v>12426</c:v>
                </c:pt>
                <c:pt idx="32">
                  <c:v>12964</c:v>
                </c:pt>
                <c:pt idx="33">
                  <c:v>13857</c:v>
                </c:pt>
                <c:pt idx="34">
                  <c:v>15056</c:v>
                </c:pt>
                <c:pt idx="35">
                  <c:v>16454</c:v>
                </c:pt>
                <c:pt idx="36">
                  <c:v>17346</c:v>
                </c:pt>
                <c:pt idx="37">
                  <c:v>19072.205900718076</c:v>
                </c:pt>
                <c:pt idx="38">
                  <c:v>20770.318646581327</c:v>
                </c:pt>
                <c:pt idx="39">
                  <c:v>22330.673392132372</c:v>
                </c:pt>
                <c:pt idx="40">
                  <c:v>23918.105877302525</c:v>
                </c:pt>
                <c:pt idx="41">
                  <c:v>25691.020878863561</c:v>
                </c:pt>
                <c:pt idx="42">
                  <c:v>27394.210700905394</c:v>
                </c:pt>
                <c:pt idx="43">
                  <c:v>29075.061387761471</c:v>
                </c:pt>
                <c:pt idx="44">
                  <c:v>30758.281376834213</c:v>
                </c:pt>
                <c:pt idx="45">
                  <c:v>32632.060958476424</c:v>
                </c:pt>
                <c:pt idx="46">
                  <c:v>34492.978613799562</c:v>
                </c:pt>
                <c:pt idx="47">
                  <c:v>36239.492819231964</c:v>
                </c:pt>
                <c:pt idx="48">
                  <c:v>37864.157196378394</c:v>
                </c:pt>
                <c:pt idx="49">
                  <c:v>39575.808812051197</c:v>
                </c:pt>
                <c:pt idx="50">
                  <c:v>41284.414182016852</c:v>
                </c:pt>
                <c:pt idx="51">
                  <c:v>42931.756166094281</c:v>
                </c:pt>
                <c:pt idx="52">
                  <c:v>44467.064002497653</c:v>
                </c:pt>
                <c:pt idx="53">
                  <c:v>46136.745121760847</c:v>
                </c:pt>
                <c:pt idx="54">
                  <c:v>47843.996604745538</c:v>
                </c:pt>
                <c:pt idx="55">
                  <c:v>49418.905635341856</c:v>
                </c:pt>
                <c:pt idx="56">
                  <c:v>50942.705432407114</c:v>
                </c:pt>
                <c:pt idx="57">
                  <c:v>52648.603028410856</c:v>
                </c:pt>
                <c:pt idx="58">
                  <c:v>54431.333710583822</c:v>
                </c:pt>
                <c:pt idx="59">
                  <c:v>56262.1273805807</c:v>
                </c:pt>
              </c:numCache>
            </c:numRef>
          </c:val>
          <c:smooth val="0"/>
          <c:extLst>
            <c:ext xmlns:c16="http://schemas.microsoft.com/office/drawing/2014/chart" uri="{C3380CC4-5D6E-409C-BE32-E72D297353CC}">
              <c16:uniqueId val="{00000000-78CB-42B6-8EF6-24830692ED7F}"/>
            </c:ext>
          </c:extLst>
        </c:ser>
        <c:ser>
          <c:idx val="1"/>
          <c:order val="1"/>
          <c:tx>
            <c:strRef>
              <c:f>'Electric Vehicles'!$C$3</c:f>
              <c:strCache>
                <c:ptCount val="1"/>
                <c:pt idx="0">
                  <c:v>PHEV (high)</c:v>
                </c:pt>
              </c:strCache>
            </c:strRef>
          </c:tx>
          <c:spPr>
            <a:ln w="28575" cap="rnd">
              <a:solidFill>
                <a:schemeClr val="accent2"/>
              </a:solidFill>
              <a:round/>
            </a:ln>
            <a:effectLst/>
          </c:spPr>
          <c:marker>
            <c:symbol val="none"/>
          </c:marker>
          <c:cat>
            <c:strRef>
              <c:f>'Electric Vehicles'!$A$4:$A$63</c:f>
              <c:strCache>
                <c:ptCount val="60"/>
                <c:pt idx="0">
                  <c:v>Q1-2013</c:v>
                </c:pt>
                <c:pt idx="1">
                  <c:v>Q2-2013</c:v>
                </c:pt>
                <c:pt idx="2">
                  <c:v>Q3-2013</c:v>
                </c:pt>
                <c:pt idx="3">
                  <c:v>Q4-2013</c:v>
                </c:pt>
                <c:pt idx="4">
                  <c:v>Q1-2014</c:v>
                </c:pt>
                <c:pt idx="5">
                  <c:v>Q2-2014</c:v>
                </c:pt>
                <c:pt idx="6">
                  <c:v>Q3-2014</c:v>
                </c:pt>
                <c:pt idx="7">
                  <c:v>Q4-2014</c:v>
                </c:pt>
                <c:pt idx="8">
                  <c:v>Q1-2015</c:v>
                </c:pt>
                <c:pt idx="9">
                  <c:v>Q2-2015</c:v>
                </c:pt>
                <c:pt idx="10">
                  <c:v>Q3-2015</c:v>
                </c:pt>
                <c:pt idx="11">
                  <c:v>Q4-2015</c:v>
                </c:pt>
                <c:pt idx="12">
                  <c:v>Q1-2016</c:v>
                </c:pt>
                <c:pt idx="13">
                  <c:v>Q2-2016</c:v>
                </c:pt>
                <c:pt idx="14">
                  <c:v>Q3-2016</c:v>
                </c:pt>
                <c:pt idx="15">
                  <c:v>Q4-2016</c:v>
                </c:pt>
                <c:pt idx="16">
                  <c:v>Q1-2017</c:v>
                </c:pt>
                <c:pt idx="17">
                  <c:v>Q2-2017</c:v>
                </c:pt>
                <c:pt idx="18">
                  <c:v>Q3-2017</c:v>
                </c:pt>
                <c:pt idx="19">
                  <c:v>Q4-2017</c:v>
                </c:pt>
                <c:pt idx="20">
                  <c:v>Q1-2018</c:v>
                </c:pt>
                <c:pt idx="21">
                  <c:v>Q2-2018</c:v>
                </c:pt>
                <c:pt idx="22">
                  <c:v>Q3-2018</c:v>
                </c:pt>
                <c:pt idx="23">
                  <c:v>Q4-2018</c:v>
                </c:pt>
                <c:pt idx="24">
                  <c:v>Q1-2019</c:v>
                </c:pt>
                <c:pt idx="25">
                  <c:v>Q2-2019</c:v>
                </c:pt>
                <c:pt idx="26">
                  <c:v>Q3-2019</c:v>
                </c:pt>
                <c:pt idx="27">
                  <c:v>Q4-2019</c:v>
                </c:pt>
                <c:pt idx="28">
                  <c:v>Q1-2020</c:v>
                </c:pt>
                <c:pt idx="29">
                  <c:v>Q2-2020</c:v>
                </c:pt>
                <c:pt idx="30">
                  <c:v>Q3-2020</c:v>
                </c:pt>
                <c:pt idx="31">
                  <c:v>Q4-2020</c:v>
                </c:pt>
                <c:pt idx="32">
                  <c:v>Q1-2021</c:v>
                </c:pt>
                <c:pt idx="33">
                  <c:v>Q2-2021</c:v>
                </c:pt>
                <c:pt idx="34">
                  <c:v>Q3-2021</c:v>
                </c:pt>
                <c:pt idx="35">
                  <c:v>Q4-2021</c:v>
                </c:pt>
                <c:pt idx="36">
                  <c:v>Q1-2022</c:v>
                </c:pt>
                <c:pt idx="37">
                  <c:v>Q2-2022</c:v>
                </c:pt>
                <c:pt idx="38">
                  <c:v>Q3-2022</c:v>
                </c:pt>
                <c:pt idx="39">
                  <c:v>Q4-2022</c:v>
                </c:pt>
                <c:pt idx="40">
                  <c:v>Q1-2023</c:v>
                </c:pt>
                <c:pt idx="41">
                  <c:v>Q2-2023</c:v>
                </c:pt>
                <c:pt idx="42">
                  <c:v>Q3-2023</c:v>
                </c:pt>
                <c:pt idx="43">
                  <c:v>Q4-2023</c:v>
                </c:pt>
                <c:pt idx="44">
                  <c:v>Q1-2024</c:v>
                </c:pt>
                <c:pt idx="45">
                  <c:v>Q2-2024</c:v>
                </c:pt>
                <c:pt idx="46">
                  <c:v>Q3-2024</c:v>
                </c:pt>
                <c:pt idx="47">
                  <c:v>Q4-2024</c:v>
                </c:pt>
                <c:pt idx="48">
                  <c:v>Q1-2025</c:v>
                </c:pt>
                <c:pt idx="49">
                  <c:v>Q2-2025</c:v>
                </c:pt>
                <c:pt idx="50">
                  <c:v>Q3-2025</c:v>
                </c:pt>
                <c:pt idx="51">
                  <c:v>Q4-2025</c:v>
                </c:pt>
                <c:pt idx="52">
                  <c:v>Q1-2026</c:v>
                </c:pt>
                <c:pt idx="53">
                  <c:v>Q2-2026</c:v>
                </c:pt>
                <c:pt idx="54">
                  <c:v>Q3-2026</c:v>
                </c:pt>
                <c:pt idx="55">
                  <c:v>Q4-2026</c:v>
                </c:pt>
                <c:pt idx="56">
                  <c:v>Q1-2027</c:v>
                </c:pt>
                <c:pt idx="57">
                  <c:v>Q2-2027</c:v>
                </c:pt>
                <c:pt idx="58">
                  <c:v>Q3-2027</c:v>
                </c:pt>
                <c:pt idx="59">
                  <c:v>Q4-2027</c:v>
                </c:pt>
              </c:strCache>
            </c:strRef>
          </c:cat>
          <c:val>
            <c:numRef>
              <c:f>'Electric Vehicles'!$C$4:$C$63</c:f>
              <c:numCache>
                <c:formatCode>#,##0</c:formatCode>
                <c:ptCount val="60"/>
                <c:pt idx="37">
                  <c:v>19072.205900718076</c:v>
                </c:pt>
                <c:pt idx="38">
                  <c:v>20961.040705588508</c:v>
                </c:pt>
                <c:pt idx="39">
                  <c:v>22745.33371107612</c:v>
                </c:pt>
                <c:pt idx="40">
                  <c:v>24589.696712528632</c:v>
                </c:pt>
                <c:pt idx="41">
                  <c:v>26658.28994202178</c:v>
                </c:pt>
                <c:pt idx="42">
                  <c:v>28692.187901298046</c:v>
                </c:pt>
                <c:pt idx="43">
                  <c:v>30739.601596186072</c:v>
                </c:pt>
                <c:pt idx="44">
                  <c:v>32826.581537106118</c:v>
                </c:pt>
                <c:pt idx="45">
                  <c:v>35154.626776618519</c:v>
                </c:pt>
                <c:pt idx="46">
                  <c:v>37510.945765241966</c:v>
                </c:pt>
                <c:pt idx="47">
                  <c:v>39785.380890640277</c:v>
                </c:pt>
                <c:pt idx="48">
                  <c:v>41966.865927131716</c:v>
                </c:pt>
                <c:pt idx="49">
                  <c:v>44283.649409171878</c:v>
                </c:pt>
                <c:pt idx="50">
                  <c:v>46638.342753530858</c:v>
                </c:pt>
                <c:pt idx="51">
                  <c:v>48965.702087057121</c:v>
                </c:pt>
                <c:pt idx="52">
                  <c:v>51206.450440842324</c:v>
                </c:pt>
                <c:pt idx="53">
                  <c:v>53641.251366093791</c:v>
                </c:pt>
                <c:pt idx="54">
                  <c:v>56162.613310024011</c:v>
                </c:pt>
                <c:pt idx="55">
                  <c:v>58572.977281950036</c:v>
                </c:pt>
                <c:pt idx="56">
                  <c:v>60964.766694259284</c:v>
                </c:pt>
                <c:pt idx="57">
                  <c:v>63615.916634430316</c:v>
                </c:pt>
                <c:pt idx="58">
                  <c:v>66406.169925504902</c:v>
                </c:pt>
                <c:pt idx="59">
                  <c:v>69303.797978191273</c:v>
                </c:pt>
              </c:numCache>
            </c:numRef>
          </c:val>
          <c:smooth val="0"/>
          <c:extLst>
            <c:ext xmlns:c16="http://schemas.microsoft.com/office/drawing/2014/chart" uri="{C3380CC4-5D6E-409C-BE32-E72D297353CC}">
              <c16:uniqueId val="{00000001-78CB-42B6-8EF6-24830692ED7F}"/>
            </c:ext>
          </c:extLst>
        </c:ser>
        <c:ser>
          <c:idx val="2"/>
          <c:order val="2"/>
          <c:tx>
            <c:strRef>
              <c:f>'Electric Vehicles'!$D$3</c:f>
              <c:strCache>
                <c:ptCount val="1"/>
                <c:pt idx="0">
                  <c:v>PHEV (low)</c:v>
                </c:pt>
              </c:strCache>
            </c:strRef>
          </c:tx>
          <c:spPr>
            <a:ln w="28575" cap="rnd">
              <a:solidFill>
                <a:schemeClr val="accent3"/>
              </a:solidFill>
              <a:round/>
            </a:ln>
            <a:effectLst/>
          </c:spPr>
          <c:marker>
            <c:symbol val="none"/>
          </c:marker>
          <c:cat>
            <c:strRef>
              <c:f>'Electric Vehicles'!$A$4:$A$63</c:f>
              <c:strCache>
                <c:ptCount val="60"/>
                <c:pt idx="0">
                  <c:v>Q1-2013</c:v>
                </c:pt>
                <c:pt idx="1">
                  <c:v>Q2-2013</c:v>
                </c:pt>
                <c:pt idx="2">
                  <c:v>Q3-2013</c:v>
                </c:pt>
                <c:pt idx="3">
                  <c:v>Q4-2013</c:v>
                </c:pt>
                <c:pt idx="4">
                  <c:v>Q1-2014</c:v>
                </c:pt>
                <c:pt idx="5">
                  <c:v>Q2-2014</c:v>
                </c:pt>
                <c:pt idx="6">
                  <c:v>Q3-2014</c:v>
                </c:pt>
                <c:pt idx="7">
                  <c:v>Q4-2014</c:v>
                </c:pt>
                <c:pt idx="8">
                  <c:v>Q1-2015</c:v>
                </c:pt>
                <c:pt idx="9">
                  <c:v>Q2-2015</c:v>
                </c:pt>
                <c:pt idx="10">
                  <c:v>Q3-2015</c:v>
                </c:pt>
                <c:pt idx="11">
                  <c:v>Q4-2015</c:v>
                </c:pt>
                <c:pt idx="12">
                  <c:v>Q1-2016</c:v>
                </c:pt>
                <c:pt idx="13">
                  <c:v>Q2-2016</c:v>
                </c:pt>
                <c:pt idx="14">
                  <c:v>Q3-2016</c:v>
                </c:pt>
                <c:pt idx="15">
                  <c:v>Q4-2016</c:v>
                </c:pt>
                <c:pt idx="16">
                  <c:v>Q1-2017</c:v>
                </c:pt>
                <c:pt idx="17">
                  <c:v>Q2-2017</c:v>
                </c:pt>
                <c:pt idx="18">
                  <c:v>Q3-2017</c:v>
                </c:pt>
                <c:pt idx="19">
                  <c:v>Q4-2017</c:v>
                </c:pt>
                <c:pt idx="20">
                  <c:v>Q1-2018</c:v>
                </c:pt>
                <c:pt idx="21">
                  <c:v>Q2-2018</c:v>
                </c:pt>
                <c:pt idx="22">
                  <c:v>Q3-2018</c:v>
                </c:pt>
                <c:pt idx="23">
                  <c:v>Q4-2018</c:v>
                </c:pt>
                <c:pt idx="24">
                  <c:v>Q1-2019</c:v>
                </c:pt>
                <c:pt idx="25">
                  <c:v>Q2-2019</c:v>
                </c:pt>
                <c:pt idx="26">
                  <c:v>Q3-2019</c:v>
                </c:pt>
                <c:pt idx="27">
                  <c:v>Q4-2019</c:v>
                </c:pt>
                <c:pt idx="28">
                  <c:v>Q1-2020</c:v>
                </c:pt>
                <c:pt idx="29">
                  <c:v>Q2-2020</c:v>
                </c:pt>
                <c:pt idx="30">
                  <c:v>Q3-2020</c:v>
                </c:pt>
                <c:pt idx="31">
                  <c:v>Q4-2020</c:v>
                </c:pt>
                <c:pt idx="32">
                  <c:v>Q1-2021</c:v>
                </c:pt>
                <c:pt idx="33">
                  <c:v>Q2-2021</c:v>
                </c:pt>
                <c:pt idx="34">
                  <c:v>Q3-2021</c:v>
                </c:pt>
                <c:pt idx="35">
                  <c:v>Q4-2021</c:v>
                </c:pt>
                <c:pt idx="36">
                  <c:v>Q1-2022</c:v>
                </c:pt>
                <c:pt idx="37">
                  <c:v>Q2-2022</c:v>
                </c:pt>
                <c:pt idx="38">
                  <c:v>Q3-2022</c:v>
                </c:pt>
                <c:pt idx="39">
                  <c:v>Q4-2022</c:v>
                </c:pt>
                <c:pt idx="40">
                  <c:v>Q1-2023</c:v>
                </c:pt>
                <c:pt idx="41">
                  <c:v>Q2-2023</c:v>
                </c:pt>
                <c:pt idx="42">
                  <c:v>Q3-2023</c:v>
                </c:pt>
                <c:pt idx="43">
                  <c:v>Q4-2023</c:v>
                </c:pt>
                <c:pt idx="44">
                  <c:v>Q1-2024</c:v>
                </c:pt>
                <c:pt idx="45">
                  <c:v>Q2-2024</c:v>
                </c:pt>
                <c:pt idx="46">
                  <c:v>Q3-2024</c:v>
                </c:pt>
                <c:pt idx="47">
                  <c:v>Q4-2024</c:v>
                </c:pt>
                <c:pt idx="48">
                  <c:v>Q1-2025</c:v>
                </c:pt>
                <c:pt idx="49">
                  <c:v>Q2-2025</c:v>
                </c:pt>
                <c:pt idx="50">
                  <c:v>Q3-2025</c:v>
                </c:pt>
                <c:pt idx="51">
                  <c:v>Q4-2025</c:v>
                </c:pt>
                <c:pt idx="52">
                  <c:v>Q1-2026</c:v>
                </c:pt>
                <c:pt idx="53">
                  <c:v>Q2-2026</c:v>
                </c:pt>
                <c:pt idx="54">
                  <c:v>Q3-2026</c:v>
                </c:pt>
                <c:pt idx="55">
                  <c:v>Q4-2026</c:v>
                </c:pt>
                <c:pt idx="56">
                  <c:v>Q1-2027</c:v>
                </c:pt>
                <c:pt idx="57">
                  <c:v>Q2-2027</c:v>
                </c:pt>
                <c:pt idx="58">
                  <c:v>Q3-2027</c:v>
                </c:pt>
                <c:pt idx="59">
                  <c:v>Q4-2027</c:v>
                </c:pt>
              </c:strCache>
            </c:strRef>
          </c:cat>
          <c:val>
            <c:numRef>
              <c:f>'Electric Vehicles'!$D$4:$D$63</c:f>
              <c:numCache>
                <c:formatCode>#,##0</c:formatCode>
                <c:ptCount val="60"/>
                <c:pt idx="37">
                  <c:v>19072.205900718076</c:v>
                </c:pt>
                <c:pt idx="38">
                  <c:v>20579.596587574146</c:v>
                </c:pt>
                <c:pt idx="39">
                  <c:v>21919.827514368764</c:v>
                </c:pt>
                <c:pt idx="40">
                  <c:v>23258.855704437497</c:v>
                </c:pt>
                <c:pt idx="41">
                  <c:v>24750.315632213664</c:v>
                </c:pt>
                <c:pt idx="42">
                  <c:v>26143.638112049506</c:v>
                </c:pt>
                <c:pt idx="43">
                  <c:v>27486.319935221818</c:v>
                </c:pt>
                <c:pt idx="44">
                  <c:v>28802.700947669902</c:v>
                </c:pt>
                <c:pt idx="45">
                  <c:v>30269.32050867872</c:v>
                </c:pt>
                <c:pt idx="46">
                  <c:v>31692.804299305193</c:v>
                </c:pt>
                <c:pt idx="47">
                  <c:v>32980.606701266559</c:v>
                </c:pt>
                <c:pt idx="48">
                  <c:v>34129.364837994319</c:v>
                </c:pt>
                <c:pt idx="49">
                  <c:v>35330.891281023331</c:v>
                </c:pt>
                <c:pt idx="50">
                  <c:v>36502.922023433159</c:v>
                </c:pt>
                <c:pt idx="51">
                  <c:v>37594.442379646476</c:v>
                </c:pt>
                <c:pt idx="52">
                  <c:v>38562.934968102272</c:v>
                </c:pt>
                <c:pt idx="53">
                  <c:v>39625.294278432579</c:v>
                </c:pt>
                <c:pt idx="54">
                  <c:v>40695.342051964952</c:v>
                </c:pt>
                <c:pt idx="55">
                  <c:v>41627.981187441939</c:v>
                </c:pt>
                <c:pt idx="56">
                  <c:v>42495.273087044203</c:v>
                </c:pt>
                <c:pt idx="57">
                  <c:v>43493.342231148526</c:v>
                </c:pt>
                <c:pt idx="58">
                  <c:v>44531.133842469484</c:v>
                </c:pt>
                <c:pt idx="59">
                  <c:v>45583.623722550015</c:v>
                </c:pt>
              </c:numCache>
            </c:numRef>
          </c:val>
          <c:smooth val="0"/>
          <c:extLst>
            <c:ext xmlns:c16="http://schemas.microsoft.com/office/drawing/2014/chart" uri="{C3380CC4-5D6E-409C-BE32-E72D297353CC}">
              <c16:uniqueId val="{00000002-78CB-42B6-8EF6-24830692ED7F}"/>
            </c:ext>
          </c:extLst>
        </c:ser>
        <c:dLbls>
          <c:showLegendKey val="0"/>
          <c:showVal val="0"/>
          <c:showCatName val="0"/>
          <c:showSerName val="0"/>
          <c:showPercent val="0"/>
          <c:showBubbleSize val="0"/>
        </c:dLbls>
        <c:smooth val="0"/>
        <c:axId val="346915056"/>
        <c:axId val="346914664"/>
      </c:lineChart>
      <c:catAx>
        <c:axId val="346915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6914664"/>
        <c:crosses val="autoZero"/>
        <c:auto val="1"/>
        <c:lblAlgn val="ctr"/>
        <c:lblOffset val="100"/>
        <c:noMultiLvlLbl val="0"/>
      </c:catAx>
      <c:valAx>
        <c:axId val="346914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6915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Battery </a:t>
            </a:r>
            <a:r>
              <a:rPr lang="en-US" baseline="0"/>
              <a:t>Electric Vehicles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'Electric Vehicles'!$E$3</c:f>
              <c:strCache>
                <c:ptCount val="1"/>
                <c:pt idx="0">
                  <c:v>BEV (baseline)</c:v>
                </c:pt>
              </c:strCache>
            </c:strRef>
          </c:tx>
          <c:spPr>
            <a:ln w="28575" cap="rnd">
              <a:solidFill>
                <a:schemeClr val="accent1"/>
              </a:solidFill>
              <a:round/>
            </a:ln>
            <a:effectLst/>
          </c:spPr>
          <c:marker>
            <c:symbol val="none"/>
          </c:marker>
          <c:cat>
            <c:strRef>
              <c:f>'Electric Vehicles'!$A$4:$A$63</c:f>
              <c:strCache>
                <c:ptCount val="60"/>
                <c:pt idx="0">
                  <c:v>Q1-2013</c:v>
                </c:pt>
                <c:pt idx="1">
                  <c:v>Q2-2013</c:v>
                </c:pt>
                <c:pt idx="2">
                  <c:v>Q3-2013</c:v>
                </c:pt>
                <c:pt idx="3">
                  <c:v>Q4-2013</c:v>
                </c:pt>
                <c:pt idx="4">
                  <c:v>Q1-2014</c:v>
                </c:pt>
                <c:pt idx="5">
                  <c:v>Q2-2014</c:v>
                </c:pt>
                <c:pt idx="6">
                  <c:v>Q3-2014</c:v>
                </c:pt>
                <c:pt idx="7">
                  <c:v>Q4-2014</c:v>
                </c:pt>
                <c:pt idx="8">
                  <c:v>Q1-2015</c:v>
                </c:pt>
                <c:pt idx="9">
                  <c:v>Q2-2015</c:v>
                </c:pt>
                <c:pt idx="10">
                  <c:v>Q3-2015</c:v>
                </c:pt>
                <c:pt idx="11">
                  <c:v>Q4-2015</c:v>
                </c:pt>
                <c:pt idx="12">
                  <c:v>Q1-2016</c:v>
                </c:pt>
                <c:pt idx="13">
                  <c:v>Q2-2016</c:v>
                </c:pt>
                <c:pt idx="14">
                  <c:v>Q3-2016</c:v>
                </c:pt>
                <c:pt idx="15">
                  <c:v>Q4-2016</c:v>
                </c:pt>
                <c:pt idx="16">
                  <c:v>Q1-2017</c:v>
                </c:pt>
                <c:pt idx="17">
                  <c:v>Q2-2017</c:v>
                </c:pt>
                <c:pt idx="18">
                  <c:v>Q3-2017</c:v>
                </c:pt>
                <c:pt idx="19">
                  <c:v>Q4-2017</c:v>
                </c:pt>
                <c:pt idx="20">
                  <c:v>Q1-2018</c:v>
                </c:pt>
                <c:pt idx="21">
                  <c:v>Q2-2018</c:v>
                </c:pt>
                <c:pt idx="22">
                  <c:v>Q3-2018</c:v>
                </c:pt>
                <c:pt idx="23">
                  <c:v>Q4-2018</c:v>
                </c:pt>
                <c:pt idx="24">
                  <c:v>Q1-2019</c:v>
                </c:pt>
                <c:pt idx="25">
                  <c:v>Q2-2019</c:v>
                </c:pt>
                <c:pt idx="26">
                  <c:v>Q3-2019</c:v>
                </c:pt>
                <c:pt idx="27">
                  <c:v>Q4-2019</c:v>
                </c:pt>
                <c:pt idx="28">
                  <c:v>Q1-2020</c:v>
                </c:pt>
                <c:pt idx="29">
                  <c:v>Q2-2020</c:v>
                </c:pt>
                <c:pt idx="30">
                  <c:v>Q3-2020</c:v>
                </c:pt>
                <c:pt idx="31">
                  <c:v>Q4-2020</c:v>
                </c:pt>
                <c:pt idx="32">
                  <c:v>Q1-2021</c:v>
                </c:pt>
                <c:pt idx="33">
                  <c:v>Q2-2021</c:v>
                </c:pt>
                <c:pt idx="34">
                  <c:v>Q3-2021</c:v>
                </c:pt>
                <c:pt idx="35">
                  <c:v>Q4-2021</c:v>
                </c:pt>
                <c:pt idx="36">
                  <c:v>Q1-2022</c:v>
                </c:pt>
                <c:pt idx="37">
                  <c:v>Q2-2022</c:v>
                </c:pt>
                <c:pt idx="38">
                  <c:v>Q3-2022</c:v>
                </c:pt>
                <c:pt idx="39">
                  <c:v>Q4-2022</c:v>
                </c:pt>
                <c:pt idx="40">
                  <c:v>Q1-2023</c:v>
                </c:pt>
                <c:pt idx="41">
                  <c:v>Q2-2023</c:v>
                </c:pt>
                <c:pt idx="42">
                  <c:v>Q3-2023</c:v>
                </c:pt>
                <c:pt idx="43">
                  <c:v>Q4-2023</c:v>
                </c:pt>
                <c:pt idx="44">
                  <c:v>Q1-2024</c:v>
                </c:pt>
                <c:pt idx="45">
                  <c:v>Q2-2024</c:v>
                </c:pt>
                <c:pt idx="46">
                  <c:v>Q3-2024</c:v>
                </c:pt>
                <c:pt idx="47">
                  <c:v>Q4-2024</c:v>
                </c:pt>
                <c:pt idx="48">
                  <c:v>Q1-2025</c:v>
                </c:pt>
                <c:pt idx="49">
                  <c:v>Q2-2025</c:v>
                </c:pt>
                <c:pt idx="50">
                  <c:v>Q3-2025</c:v>
                </c:pt>
                <c:pt idx="51">
                  <c:v>Q4-2025</c:v>
                </c:pt>
                <c:pt idx="52">
                  <c:v>Q1-2026</c:v>
                </c:pt>
                <c:pt idx="53">
                  <c:v>Q2-2026</c:v>
                </c:pt>
                <c:pt idx="54">
                  <c:v>Q3-2026</c:v>
                </c:pt>
                <c:pt idx="55">
                  <c:v>Q4-2026</c:v>
                </c:pt>
                <c:pt idx="56">
                  <c:v>Q1-2027</c:v>
                </c:pt>
                <c:pt idx="57">
                  <c:v>Q2-2027</c:v>
                </c:pt>
                <c:pt idx="58">
                  <c:v>Q3-2027</c:v>
                </c:pt>
                <c:pt idx="59">
                  <c:v>Q4-2027</c:v>
                </c:pt>
              </c:strCache>
            </c:strRef>
          </c:cat>
          <c:val>
            <c:numRef>
              <c:f>'Electric Vehicles'!$E$4:$E$63</c:f>
              <c:numCache>
                <c:formatCode>#,##0</c:formatCode>
                <c:ptCount val="60"/>
                <c:pt idx="0">
                  <c:v>1735</c:v>
                </c:pt>
                <c:pt idx="1">
                  <c:v>2088</c:v>
                </c:pt>
                <c:pt idx="2">
                  <c:v>2480</c:v>
                </c:pt>
                <c:pt idx="3">
                  <c:v>2793</c:v>
                </c:pt>
                <c:pt idx="4">
                  <c:v>3028</c:v>
                </c:pt>
                <c:pt idx="5">
                  <c:v>3317</c:v>
                </c:pt>
                <c:pt idx="6">
                  <c:v>3705</c:v>
                </c:pt>
                <c:pt idx="7">
                  <c:v>4180</c:v>
                </c:pt>
                <c:pt idx="8">
                  <c:v>4538</c:v>
                </c:pt>
                <c:pt idx="9">
                  <c:v>4995</c:v>
                </c:pt>
                <c:pt idx="10">
                  <c:v>5532</c:v>
                </c:pt>
                <c:pt idx="11">
                  <c:v>5942</c:v>
                </c:pt>
                <c:pt idx="12">
                  <c:v>6447</c:v>
                </c:pt>
                <c:pt idx="13">
                  <c:v>6989</c:v>
                </c:pt>
                <c:pt idx="14">
                  <c:v>7537</c:v>
                </c:pt>
                <c:pt idx="15">
                  <c:v>8197</c:v>
                </c:pt>
                <c:pt idx="16">
                  <c:v>8877</c:v>
                </c:pt>
                <c:pt idx="17">
                  <c:v>9488</c:v>
                </c:pt>
                <c:pt idx="18">
                  <c:v>9942</c:v>
                </c:pt>
                <c:pt idx="19">
                  <c:v>10538</c:v>
                </c:pt>
                <c:pt idx="20">
                  <c:v>11085</c:v>
                </c:pt>
                <c:pt idx="21">
                  <c:v>11680</c:v>
                </c:pt>
                <c:pt idx="22">
                  <c:v>12276</c:v>
                </c:pt>
                <c:pt idx="23">
                  <c:v>13601</c:v>
                </c:pt>
                <c:pt idx="24">
                  <c:v>14971</c:v>
                </c:pt>
                <c:pt idx="25">
                  <c:v>15918</c:v>
                </c:pt>
                <c:pt idx="26">
                  <c:v>17359</c:v>
                </c:pt>
                <c:pt idx="27">
                  <c:v>18643</c:v>
                </c:pt>
                <c:pt idx="28">
                  <c:v>20150</c:v>
                </c:pt>
                <c:pt idx="29">
                  <c:v>20379</c:v>
                </c:pt>
                <c:pt idx="30">
                  <c:v>21214</c:v>
                </c:pt>
                <c:pt idx="31">
                  <c:v>22714</c:v>
                </c:pt>
                <c:pt idx="32">
                  <c:v>24292</c:v>
                </c:pt>
                <c:pt idx="33">
                  <c:v>25754</c:v>
                </c:pt>
                <c:pt idx="34">
                  <c:v>27904</c:v>
                </c:pt>
                <c:pt idx="35">
                  <c:v>30210</c:v>
                </c:pt>
                <c:pt idx="36">
                  <c:v>32290</c:v>
                </c:pt>
                <c:pt idx="37">
                  <c:v>35088.053540643399</c:v>
                </c:pt>
                <c:pt idx="38">
                  <c:v>37768.821303494566</c:v>
                </c:pt>
                <c:pt idx="39">
                  <c:v>40021.058343904842</c:v>
                </c:pt>
                <c:pt idx="40">
                  <c:v>42462.353055980224</c:v>
                </c:pt>
                <c:pt idx="41">
                  <c:v>45579.703997657998</c:v>
                </c:pt>
                <c:pt idx="42">
                  <c:v>48402.265014257988</c:v>
                </c:pt>
                <c:pt idx="43">
                  <c:v>51190.165457719369</c:v>
                </c:pt>
                <c:pt idx="44">
                  <c:v>54060.691105834383</c:v>
                </c:pt>
                <c:pt idx="45">
                  <c:v>57402.460505914627</c:v>
                </c:pt>
                <c:pt idx="46">
                  <c:v>60724.974032028964</c:v>
                </c:pt>
                <c:pt idx="47">
                  <c:v>63609.503952119179</c:v>
                </c:pt>
                <c:pt idx="48">
                  <c:v>66577.359290461784</c:v>
                </c:pt>
                <c:pt idx="49">
                  <c:v>70222.321178804923</c:v>
                </c:pt>
                <c:pt idx="50">
                  <c:v>73506.322956987497</c:v>
                </c:pt>
                <c:pt idx="51">
                  <c:v>76775.970356395497</c:v>
                </c:pt>
                <c:pt idx="52">
                  <c:v>79958.091055958532</c:v>
                </c:pt>
                <c:pt idx="53">
                  <c:v>83468.962040139217</c:v>
                </c:pt>
                <c:pt idx="54">
                  <c:v>86956.725975560839</c:v>
                </c:pt>
                <c:pt idx="55">
                  <c:v>90041.516984896298</c:v>
                </c:pt>
                <c:pt idx="56">
                  <c:v>93087.0960327012</c:v>
                </c:pt>
                <c:pt idx="57">
                  <c:v>96659.935920372111</c:v>
                </c:pt>
                <c:pt idx="58">
                  <c:v>100246.78008001822</c:v>
                </c:pt>
                <c:pt idx="59">
                  <c:v>103665.22286916262</c:v>
                </c:pt>
              </c:numCache>
            </c:numRef>
          </c:val>
          <c:smooth val="0"/>
          <c:extLst>
            <c:ext xmlns:c16="http://schemas.microsoft.com/office/drawing/2014/chart" uri="{C3380CC4-5D6E-409C-BE32-E72D297353CC}">
              <c16:uniqueId val="{00000000-0F64-4906-B0DD-85879E9E56F0}"/>
            </c:ext>
          </c:extLst>
        </c:ser>
        <c:ser>
          <c:idx val="1"/>
          <c:order val="1"/>
          <c:tx>
            <c:strRef>
              <c:f>'Electric Vehicles'!$F$3</c:f>
              <c:strCache>
                <c:ptCount val="1"/>
                <c:pt idx="0">
                  <c:v>BEV (high)</c:v>
                </c:pt>
              </c:strCache>
            </c:strRef>
          </c:tx>
          <c:spPr>
            <a:ln w="28575" cap="rnd">
              <a:solidFill>
                <a:schemeClr val="accent2"/>
              </a:solidFill>
              <a:round/>
            </a:ln>
            <a:effectLst/>
          </c:spPr>
          <c:marker>
            <c:symbol val="none"/>
          </c:marker>
          <c:cat>
            <c:strRef>
              <c:f>'Electric Vehicles'!$A$4:$A$63</c:f>
              <c:strCache>
                <c:ptCount val="60"/>
                <c:pt idx="0">
                  <c:v>Q1-2013</c:v>
                </c:pt>
                <c:pt idx="1">
                  <c:v>Q2-2013</c:v>
                </c:pt>
                <c:pt idx="2">
                  <c:v>Q3-2013</c:v>
                </c:pt>
                <c:pt idx="3">
                  <c:v>Q4-2013</c:v>
                </c:pt>
                <c:pt idx="4">
                  <c:v>Q1-2014</c:v>
                </c:pt>
                <c:pt idx="5">
                  <c:v>Q2-2014</c:v>
                </c:pt>
                <c:pt idx="6">
                  <c:v>Q3-2014</c:v>
                </c:pt>
                <c:pt idx="7">
                  <c:v>Q4-2014</c:v>
                </c:pt>
                <c:pt idx="8">
                  <c:v>Q1-2015</c:v>
                </c:pt>
                <c:pt idx="9">
                  <c:v>Q2-2015</c:v>
                </c:pt>
                <c:pt idx="10">
                  <c:v>Q3-2015</c:v>
                </c:pt>
                <c:pt idx="11">
                  <c:v>Q4-2015</c:v>
                </c:pt>
                <c:pt idx="12">
                  <c:v>Q1-2016</c:v>
                </c:pt>
                <c:pt idx="13">
                  <c:v>Q2-2016</c:v>
                </c:pt>
                <c:pt idx="14">
                  <c:v>Q3-2016</c:v>
                </c:pt>
                <c:pt idx="15">
                  <c:v>Q4-2016</c:v>
                </c:pt>
                <c:pt idx="16">
                  <c:v>Q1-2017</c:v>
                </c:pt>
                <c:pt idx="17">
                  <c:v>Q2-2017</c:v>
                </c:pt>
                <c:pt idx="18">
                  <c:v>Q3-2017</c:v>
                </c:pt>
                <c:pt idx="19">
                  <c:v>Q4-2017</c:v>
                </c:pt>
                <c:pt idx="20">
                  <c:v>Q1-2018</c:v>
                </c:pt>
                <c:pt idx="21">
                  <c:v>Q2-2018</c:v>
                </c:pt>
                <c:pt idx="22">
                  <c:v>Q3-2018</c:v>
                </c:pt>
                <c:pt idx="23">
                  <c:v>Q4-2018</c:v>
                </c:pt>
                <c:pt idx="24">
                  <c:v>Q1-2019</c:v>
                </c:pt>
                <c:pt idx="25">
                  <c:v>Q2-2019</c:v>
                </c:pt>
                <c:pt idx="26">
                  <c:v>Q3-2019</c:v>
                </c:pt>
                <c:pt idx="27">
                  <c:v>Q4-2019</c:v>
                </c:pt>
                <c:pt idx="28">
                  <c:v>Q1-2020</c:v>
                </c:pt>
                <c:pt idx="29">
                  <c:v>Q2-2020</c:v>
                </c:pt>
                <c:pt idx="30">
                  <c:v>Q3-2020</c:v>
                </c:pt>
                <c:pt idx="31">
                  <c:v>Q4-2020</c:v>
                </c:pt>
                <c:pt idx="32">
                  <c:v>Q1-2021</c:v>
                </c:pt>
                <c:pt idx="33">
                  <c:v>Q2-2021</c:v>
                </c:pt>
                <c:pt idx="34">
                  <c:v>Q3-2021</c:v>
                </c:pt>
                <c:pt idx="35">
                  <c:v>Q4-2021</c:v>
                </c:pt>
                <c:pt idx="36">
                  <c:v>Q1-2022</c:v>
                </c:pt>
                <c:pt idx="37">
                  <c:v>Q2-2022</c:v>
                </c:pt>
                <c:pt idx="38">
                  <c:v>Q3-2022</c:v>
                </c:pt>
                <c:pt idx="39">
                  <c:v>Q4-2022</c:v>
                </c:pt>
                <c:pt idx="40">
                  <c:v>Q1-2023</c:v>
                </c:pt>
                <c:pt idx="41">
                  <c:v>Q2-2023</c:v>
                </c:pt>
                <c:pt idx="42">
                  <c:v>Q3-2023</c:v>
                </c:pt>
                <c:pt idx="43">
                  <c:v>Q4-2023</c:v>
                </c:pt>
                <c:pt idx="44">
                  <c:v>Q1-2024</c:v>
                </c:pt>
                <c:pt idx="45">
                  <c:v>Q2-2024</c:v>
                </c:pt>
                <c:pt idx="46">
                  <c:v>Q3-2024</c:v>
                </c:pt>
                <c:pt idx="47">
                  <c:v>Q4-2024</c:v>
                </c:pt>
                <c:pt idx="48">
                  <c:v>Q1-2025</c:v>
                </c:pt>
                <c:pt idx="49">
                  <c:v>Q2-2025</c:v>
                </c:pt>
                <c:pt idx="50">
                  <c:v>Q3-2025</c:v>
                </c:pt>
                <c:pt idx="51">
                  <c:v>Q4-2025</c:v>
                </c:pt>
                <c:pt idx="52">
                  <c:v>Q1-2026</c:v>
                </c:pt>
                <c:pt idx="53">
                  <c:v>Q2-2026</c:v>
                </c:pt>
                <c:pt idx="54">
                  <c:v>Q3-2026</c:v>
                </c:pt>
                <c:pt idx="55">
                  <c:v>Q4-2026</c:v>
                </c:pt>
                <c:pt idx="56">
                  <c:v>Q1-2027</c:v>
                </c:pt>
                <c:pt idx="57">
                  <c:v>Q2-2027</c:v>
                </c:pt>
                <c:pt idx="58">
                  <c:v>Q3-2027</c:v>
                </c:pt>
                <c:pt idx="59">
                  <c:v>Q4-2027</c:v>
                </c:pt>
              </c:strCache>
            </c:strRef>
          </c:cat>
          <c:val>
            <c:numRef>
              <c:f>'Electric Vehicles'!$F$4:$F$63</c:f>
              <c:numCache>
                <c:formatCode>#,##0</c:formatCode>
                <c:ptCount val="60"/>
                <c:pt idx="37">
                  <c:v>35088.053540643399</c:v>
                </c:pt>
                <c:pt idx="38">
                  <c:v>38295.142106604217</c:v>
                </c:pt>
                <c:pt idx="39">
                  <c:v>41153.191933950176</c:v>
                </c:pt>
                <c:pt idx="40">
                  <c:v>44280.844961242925</c:v>
                </c:pt>
                <c:pt idx="41">
                  <c:v>48195.912188074959</c:v>
                </c:pt>
                <c:pt idx="42">
                  <c:v>51903.422752023842</c:v>
                </c:pt>
                <c:pt idx="43">
                  <c:v>55671.536157494898</c:v>
                </c:pt>
                <c:pt idx="44">
                  <c:v>59628.430959586622</c:v>
                </c:pt>
                <c:pt idx="45">
                  <c:v>64208.797464322204</c:v>
                </c:pt>
                <c:pt idx="46">
                  <c:v>68888.400744598635</c:v>
                </c:pt>
                <c:pt idx="47">
                  <c:v>73194.032034813936</c:v>
                </c:pt>
                <c:pt idx="48">
                  <c:v>77706.987205400961</c:v>
                </c:pt>
                <c:pt idx="49">
                  <c:v>83126.876200181941</c:v>
                </c:pt>
                <c:pt idx="50">
                  <c:v>88261.27273095031</c:v>
                </c:pt>
                <c:pt idx="51">
                  <c:v>93511.156681047243</c:v>
                </c:pt>
                <c:pt idx="52">
                  <c:v>98789.565177008757</c:v>
                </c:pt>
                <c:pt idx="53">
                  <c:v>104609.14875500035</c:v>
                </c:pt>
                <c:pt idx="54">
                  <c:v>110549.39600644748</c:v>
                </c:pt>
                <c:pt idx="55">
                  <c:v>116129.37823868987</c:v>
                </c:pt>
                <c:pt idx="56">
                  <c:v>121799.29806057454</c:v>
                </c:pt>
                <c:pt idx="57">
                  <c:v>128301.15020254838</c:v>
                </c:pt>
                <c:pt idx="58">
                  <c:v>134986.64962361736</c:v>
                </c:pt>
                <c:pt idx="59">
                  <c:v>141614.5312691388</c:v>
                </c:pt>
              </c:numCache>
            </c:numRef>
          </c:val>
          <c:smooth val="0"/>
          <c:extLst>
            <c:ext xmlns:c16="http://schemas.microsoft.com/office/drawing/2014/chart" uri="{C3380CC4-5D6E-409C-BE32-E72D297353CC}">
              <c16:uniqueId val="{00000001-0F64-4906-B0DD-85879E9E56F0}"/>
            </c:ext>
          </c:extLst>
        </c:ser>
        <c:ser>
          <c:idx val="2"/>
          <c:order val="2"/>
          <c:tx>
            <c:strRef>
              <c:f>'Electric Vehicles'!$G$3</c:f>
              <c:strCache>
                <c:ptCount val="1"/>
                <c:pt idx="0">
                  <c:v>BEV (low)</c:v>
                </c:pt>
              </c:strCache>
            </c:strRef>
          </c:tx>
          <c:spPr>
            <a:ln w="28575" cap="rnd">
              <a:solidFill>
                <a:schemeClr val="accent3"/>
              </a:solidFill>
              <a:round/>
            </a:ln>
            <a:effectLst/>
          </c:spPr>
          <c:marker>
            <c:symbol val="none"/>
          </c:marker>
          <c:cat>
            <c:strRef>
              <c:f>'Electric Vehicles'!$A$4:$A$63</c:f>
              <c:strCache>
                <c:ptCount val="60"/>
                <c:pt idx="0">
                  <c:v>Q1-2013</c:v>
                </c:pt>
                <c:pt idx="1">
                  <c:v>Q2-2013</c:v>
                </c:pt>
                <c:pt idx="2">
                  <c:v>Q3-2013</c:v>
                </c:pt>
                <c:pt idx="3">
                  <c:v>Q4-2013</c:v>
                </c:pt>
                <c:pt idx="4">
                  <c:v>Q1-2014</c:v>
                </c:pt>
                <c:pt idx="5">
                  <c:v>Q2-2014</c:v>
                </c:pt>
                <c:pt idx="6">
                  <c:v>Q3-2014</c:v>
                </c:pt>
                <c:pt idx="7">
                  <c:v>Q4-2014</c:v>
                </c:pt>
                <c:pt idx="8">
                  <c:v>Q1-2015</c:v>
                </c:pt>
                <c:pt idx="9">
                  <c:v>Q2-2015</c:v>
                </c:pt>
                <c:pt idx="10">
                  <c:v>Q3-2015</c:v>
                </c:pt>
                <c:pt idx="11">
                  <c:v>Q4-2015</c:v>
                </c:pt>
                <c:pt idx="12">
                  <c:v>Q1-2016</c:v>
                </c:pt>
                <c:pt idx="13">
                  <c:v>Q2-2016</c:v>
                </c:pt>
                <c:pt idx="14">
                  <c:v>Q3-2016</c:v>
                </c:pt>
                <c:pt idx="15">
                  <c:v>Q4-2016</c:v>
                </c:pt>
                <c:pt idx="16">
                  <c:v>Q1-2017</c:v>
                </c:pt>
                <c:pt idx="17">
                  <c:v>Q2-2017</c:v>
                </c:pt>
                <c:pt idx="18">
                  <c:v>Q3-2017</c:v>
                </c:pt>
                <c:pt idx="19">
                  <c:v>Q4-2017</c:v>
                </c:pt>
                <c:pt idx="20">
                  <c:v>Q1-2018</c:v>
                </c:pt>
                <c:pt idx="21">
                  <c:v>Q2-2018</c:v>
                </c:pt>
                <c:pt idx="22">
                  <c:v>Q3-2018</c:v>
                </c:pt>
                <c:pt idx="23">
                  <c:v>Q4-2018</c:v>
                </c:pt>
                <c:pt idx="24">
                  <c:v>Q1-2019</c:v>
                </c:pt>
                <c:pt idx="25">
                  <c:v>Q2-2019</c:v>
                </c:pt>
                <c:pt idx="26">
                  <c:v>Q3-2019</c:v>
                </c:pt>
                <c:pt idx="27">
                  <c:v>Q4-2019</c:v>
                </c:pt>
                <c:pt idx="28">
                  <c:v>Q1-2020</c:v>
                </c:pt>
                <c:pt idx="29">
                  <c:v>Q2-2020</c:v>
                </c:pt>
                <c:pt idx="30">
                  <c:v>Q3-2020</c:v>
                </c:pt>
                <c:pt idx="31">
                  <c:v>Q4-2020</c:v>
                </c:pt>
                <c:pt idx="32">
                  <c:v>Q1-2021</c:v>
                </c:pt>
                <c:pt idx="33">
                  <c:v>Q2-2021</c:v>
                </c:pt>
                <c:pt idx="34">
                  <c:v>Q3-2021</c:v>
                </c:pt>
                <c:pt idx="35">
                  <c:v>Q4-2021</c:v>
                </c:pt>
                <c:pt idx="36">
                  <c:v>Q1-2022</c:v>
                </c:pt>
                <c:pt idx="37">
                  <c:v>Q2-2022</c:v>
                </c:pt>
                <c:pt idx="38">
                  <c:v>Q3-2022</c:v>
                </c:pt>
                <c:pt idx="39">
                  <c:v>Q4-2022</c:v>
                </c:pt>
                <c:pt idx="40">
                  <c:v>Q1-2023</c:v>
                </c:pt>
                <c:pt idx="41">
                  <c:v>Q2-2023</c:v>
                </c:pt>
                <c:pt idx="42">
                  <c:v>Q3-2023</c:v>
                </c:pt>
                <c:pt idx="43">
                  <c:v>Q4-2023</c:v>
                </c:pt>
                <c:pt idx="44">
                  <c:v>Q1-2024</c:v>
                </c:pt>
                <c:pt idx="45">
                  <c:v>Q2-2024</c:v>
                </c:pt>
                <c:pt idx="46">
                  <c:v>Q3-2024</c:v>
                </c:pt>
                <c:pt idx="47">
                  <c:v>Q4-2024</c:v>
                </c:pt>
                <c:pt idx="48">
                  <c:v>Q1-2025</c:v>
                </c:pt>
                <c:pt idx="49">
                  <c:v>Q2-2025</c:v>
                </c:pt>
                <c:pt idx="50">
                  <c:v>Q3-2025</c:v>
                </c:pt>
                <c:pt idx="51">
                  <c:v>Q4-2025</c:v>
                </c:pt>
                <c:pt idx="52">
                  <c:v>Q1-2026</c:v>
                </c:pt>
                <c:pt idx="53">
                  <c:v>Q2-2026</c:v>
                </c:pt>
                <c:pt idx="54">
                  <c:v>Q3-2026</c:v>
                </c:pt>
                <c:pt idx="55">
                  <c:v>Q4-2026</c:v>
                </c:pt>
                <c:pt idx="56">
                  <c:v>Q1-2027</c:v>
                </c:pt>
                <c:pt idx="57">
                  <c:v>Q2-2027</c:v>
                </c:pt>
                <c:pt idx="58">
                  <c:v>Q3-2027</c:v>
                </c:pt>
                <c:pt idx="59">
                  <c:v>Q4-2027</c:v>
                </c:pt>
              </c:strCache>
            </c:strRef>
          </c:cat>
          <c:val>
            <c:numRef>
              <c:f>'Electric Vehicles'!$G$4:$G$63</c:f>
              <c:numCache>
                <c:formatCode>#,##0</c:formatCode>
                <c:ptCount val="60"/>
                <c:pt idx="37">
                  <c:v>35088.053540643399</c:v>
                </c:pt>
                <c:pt idx="38">
                  <c:v>37242.500500384922</c:v>
                </c:pt>
                <c:pt idx="39">
                  <c:v>38904.714377952805</c:v>
                </c:pt>
                <c:pt idx="40">
                  <c:v>40694.341109226203</c:v>
                </c:pt>
                <c:pt idx="41">
                  <c:v>43071.47928268832</c:v>
                </c:pt>
                <c:pt idx="42">
                  <c:v>45092.644211900042</c:v>
                </c:pt>
                <c:pt idx="43">
                  <c:v>47013.5256218453</c:v>
                </c:pt>
                <c:pt idx="44">
                  <c:v>48944.640278184386</c:v>
                </c:pt>
                <c:pt idx="45">
                  <c:v>51235.990655977221</c:v>
                </c:pt>
                <c:pt idx="46">
                  <c:v>53433.042697216646</c:v>
                </c:pt>
                <c:pt idx="47">
                  <c:v>55169.698992406571</c:v>
                </c:pt>
                <c:pt idx="48">
                  <c:v>56916.22932160979</c:v>
                </c:pt>
                <c:pt idx="49">
                  <c:v>59178.522458129512</c:v>
                </c:pt>
                <c:pt idx="50">
                  <c:v>61058.374513752395</c:v>
                </c:pt>
                <c:pt idx="51">
                  <c:v>62858.446958878609</c:v>
                </c:pt>
                <c:pt idx="52">
                  <c:v>64520.853708181814</c:v>
                </c:pt>
                <c:pt idx="53">
                  <c:v>66386.079937971896</c:v>
                </c:pt>
                <c:pt idx="54">
                  <c:v>68164.241712108473</c:v>
                </c:pt>
                <c:pt idx="55">
                  <c:v>69559.905466829587</c:v>
                </c:pt>
                <c:pt idx="56">
                  <c:v>70869.312543272477</c:v>
                </c:pt>
                <c:pt idx="57">
                  <c:v>72526.356706245686</c:v>
                </c:pt>
                <c:pt idx="58">
                  <c:v>74129.75983930206</c:v>
                </c:pt>
                <c:pt idx="59">
                  <c:v>75545.658653113802</c:v>
                </c:pt>
              </c:numCache>
            </c:numRef>
          </c:val>
          <c:smooth val="0"/>
          <c:extLst>
            <c:ext xmlns:c16="http://schemas.microsoft.com/office/drawing/2014/chart" uri="{C3380CC4-5D6E-409C-BE32-E72D297353CC}">
              <c16:uniqueId val="{00000002-0F64-4906-B0DD-85879E9E56F0}"/>
            </c:ext>
          </c:extLst>
        </c:ser>
        <c:dLbls>
          <c:showLegendKey val="0"/>
          <c:showVal val="0"/>
          <c:showCatName val="0"/>
          <c:showSerName val="0"/>
          <c:showPercent val="0"/>
          <c:showBubbleSize val="0"/>
        </c:dLbls>
        <c:smooth val="0"/>
        <c:axId val="347881528"/>
        <c:axId val="347879176"/>
      </c:lineChart>
      <c:catAx>
        <c:axId val="347881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879176"/>
        <c:crosses val="autoZero"/>
        <c:auto val="1"/>
        <c:lblAlgn val="ctr"/>
        <c:lblOffset val="100"/>
        <c:noMultiLvlLbl val="0"/>
      </c:catAx>
      <c:valAx>
        <c:axId val="3478791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78815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t>
            </a:r>
            <a:r>
              <a:rPr lang="en-US" baseline="0"/>
              <a:t>Electric Vehicles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145948969493567"/>
          <c:y val="0.12003236245954693"/>
          <c:w val="0.8484858654963211"/>
          <c:h val="0.74502127768009585"/>
        </c:manualLayout>
      </c:layout>
      <c:lineChart>
        <c:grouping val="standard"/>
        <c:varyColors val="0"/>
        <c:ser>
          <c:idx val="0"/>
          <c:order val="0"/>
          <c:tx>
            <c:strRef>
              <c:f>'Electric Vehicles'!$H$3</c:f>
              <c:strCache>
                <c:ptCount val="1"/>
                <c:pt idx="0">
                  <c:v>Total (baseline)</c:v>
                </c:pt>
              </c:strCache>
            </c:strRef>
          </c:tx>
          <c:spPr>
            <a:ln w="28575" cap="rnd">
              <a:solidFill>
                <a:schemeClr val="accent1"/>
              </a:solidFill>
              <a:round/>
            </a:ln>
            <a:effectLst/>
          </c:spPr>
          <c:marker>
            <c:symbol val="none"/>
          </c:marker>
          <c:cat>
            <c:strRef>
              <c:f>'Electric Vehicles'!$A$4:$A$63</c:f>
              <c:strCache>
                <c:ptCount val="60"/>
                <c:pt idx="0">
                  <c:v>Q1-2013</c:v>
                </c:pt>
                <c:pt idx="1">
                  <c:v>Q2-2013</c:v>
                </c:pt>
                <c:pt idx="2">
                  <c:v>Q3-2013</c:v>
                </c:pt>
                <c:pt idx="3">
                  <c:v>Q4-2013</c:v>
                </c:pt>
                <c:pt idx="4">
                  <c:v>Q1-2014</c:v>
                </c:pt>
                <c:pt idx="5">
                  <c:v>Q2-2014</c:v>
                </c:pt>
                <c:pt idx="6">
                  <c:v>Q3-2014</c:v>
                </c:pt>
                <c:pt idx="7">
                  <c:v>Q4-2014</c:v>
                </c:pt>
                <c:pt idx="8">
                  <c:v>Q1-2015</c:v>
                </c:pt>
                <c:pt idx="9">
                  <c:v>Q2-2015</c:v>
                </c:pt>
                <c:pt idx="10">
                  <c:v>Q3-2015</c:v>
                </c:pt>
                <c:pt idx="11">
                  <c:v>Q4-2015</c:v>
                </c:pt>
                <c:pt idx="12">
                  <c:v>Q1-2016</c:v>
                </c:pt>
                <c:pt idx="13">
                  <c:v>Q2-2016</c:v>
                </c:pt>
                <c:pt idx="14">
                  <c:v>Q3-2016</c:v>
                </c:pt>
                <c:pt idx="15">
                  <c:v>Q4-2016</c:v>
                </c:pt>
                <c:pt idx="16">
                  <c:v>Q1-2017</c:v>
                </c:pt>
                <c:pt idx="17">
                  <c:v>Q2-2017</c:v>
                </c:pt>
                <c:pt idx="18">
                  <c:v>Q3-2017</c:v>
                </c:pt>
                <c:pt idx="19">
                  <c:v>Q4-2017</c:v>
                </c:pt>
                <c:pt idx="20">
                  <c:v>Q1-2018</c:v>
                </c:pt>
                <c:pt idx="21">
                  <c:v>Q2-2018</c:v>
                </c:pt>
                <c:pt idx="22">
                  <c:v>Q3-2018</c:v>
                </c:pt>
                <c:pt idx="23">
                  <c:v>Q4-2018</c:v>
                </c:pt>
                <c:pt idx="24">
                  <c:v>Q1-2019</c:v>
                </c:pt>
                <c:pt idx="25">
                  <c:v>Q2-2019</c:v>
                </c:pt>
                <c:pt idx="26">
                  <c:v>Q3-2019</c:v>
                </c:pt>
                <c:pt idx="27">
                  <c:v>Q4-2019</c:v>
                </c:pt>
                <c:pt idx="28">
                  <c:v>Q1-2020</c:v>
                </c:pt>
                <c:pt idx="29">
                  <c:v>Q2-2020</c:v>
                </c:pt>
                <c:pt idx="30">
                  <c:v>Q3-2020</c:v>
                </c:pt>
                <c:pt idx="31">
                  <c:v>Q4-2020</c:v>
                </c:pt>
                <c:pt idx="32">
                  <c:v>Q1-2021</c:v>
                </c:pt>
                <c:pt idx="33">
                  <c:v>Q2-2021</c:v>
                </c:pt>
                <c:pt idx="34">
                  <c:v>Q3-2021</c:v>
                </c:pt>
                <c:pt idx="35">
                  <c:v>Q4-2021</c:v>
                </c:pt>
                <c:pt idx="36">
                  <c:v>Q1-2022</c:v>
                </c:pt>
                <c:pt idx="37">
                  <c:v>Q2-2022</c:v>
                </c:pt>
                <c:pt idx="38">
                  <c:v>Q3-2022</c:v>
                </c:pt>
                <c:pt idx="39">
                  <c:v>Q4-2022</c:v>
                </c:pt>
                <c:pt idx="40">
                  <c:v>Q1-2023</c:v>
                </c:pt>
                <c:pt idx="41">
                  <c:v>Q2-2023</c:v>
                </c:pt>
                <c:pt idx="42">
                  <c:v>Q3-2023</c:v>
                </c:pt>
                <c:pt idx="43">
                  <c:v>Q4-2023</c:v>
                </c:pt>
                <c:pt idx="44">
                  <c:v>Q1-2024</c:v>
                </c:pt>
                <c:pt idx="45">
                  <c:v>Q2-2024</c:v>
                </c:pt>
                <c:pt idx="46">
                  <c:v>Q3-2024</c:v>
                </c:pt>
                <c:pt idx="47">
                  <c:v>Q4-2024</c:v>
                </c:pt>
                <c:pt idx="48">
                  <c:v>Q1-2025</c:v>
                </c:pt>
                <c:pt idx="49">
                  <c:v>Q2-2025</c:v>
                </c:pt>
                <c:pt idx="50">
                  <c:v>Q3-2025</c:v>
                </c:pt>
                <c:pt idx="51">
                  <c:v>Q4-2025</c:v>
                </c:pt>
                <c:pt idx="52">
                  <c:v>Q1-2026</c:v>
                </c:pt>
                <c:pt idx="53">
                  <c:v>Q2-2026</c:v>
                </c:pt>
                <c:pt idx="54">
                  <c:v>Q3-2026</c:v>
                </c:pt>
                <c:pt idx="55">
                  <c:v>Q4-2026</c:v>
                </c:pt>
                <c:pt idx="56">
                  <c:v>Q1-2027</c:v>
                </c:pt>
                <c:pt idx="57">
                  <c:v>Q2-2027</c:v>
                </c:pt>
                <c:pt idx="58">
                  <c:v>Q3-2027</c:v>
                </c:pt>
                <c:pt idx="59">
                  <c:v>Q4-2027</c:v>
                </c:pt>
              </c:strCache>
            </c:strRef>
          </c:cat>
          <c:val>
            <c:numRef>
              <c:f>'Electric Vehicles'!$H$4:$H$63</c:f>
              <c:numCache>
                <c:formatCode>#,##0</c:formatCode>
                <c:ptCount val="60"/>
                <c:pt idx="0">
                  <c:v>2586</c:v>
                </c:pt>
                <c:pt idx="1">
                  <c:v>3075</c:v>
                </c:pt>
                <c:pt idx="2">
                  <c:v>3677</c:v>
                </c:pt>
                <c:pt idx="3">
                  <c:v>4374</c:v>
                </c:pt>
                <c:pt idx="4">
                  <c:v>4762</c:v>
                </c:pt>
                <c:pt idx="5">
                  <c:v>5232</c:v>
                </c:pt>
                <c:pt idx="6">
                  <c:v>5919</c:v>
                </c:pt>
                <c:pt idx="7">
                  <c:v>6642</c:v>
                </c:pt>
                <c:pt idx="8">
                  <c:v>7192</c:v>
                </c:pt>
                <c:pt idx="9">
                  <c:v>7885</c:v>
                </c:pt>
                <c:pt idx="10">
                  <c:v>8620</c:v>
                </c:pt>
                <c:pt idx="11">
                  <c:v>9313</c:v>
                </c:pt>
                <c:pt idx="12">
                  <c:v>10172</c:v>
                </c:pt>
                <c:pt idx="13">
                  <c:v>11122</c:v>
                </c:pt>
                <c:pt idx="14">
                  <c:v>12057</c:v>
                </c:pt>
                <c:pt idx="15">
                  <c:v>13169</c:v>
                </c:pt>
                <c:pt idx="16">
                  <c:v>14319</c:v>
                </c:pt>
                <c:pt idx="17">
                  <c:v>15418</c:v>
                </c:pt>
                <c:pt idx="18">
                  <c:v>16325</c:v>
                </c:pt>
                <c:pt idx="19">
                  <c:v>17313</c:v>
                </c:pt>
                <c:pt idx="20">
                  <c:v>18461</c:v>
                </c:pt>
                <c:pt idx="21">
                  <c:v>19638</c:v>
                </c:pt>
                <c:pt idx="22">
                  <c:v>20867</c:v>
                </c:pt>
                <c:pt idx="23">
                  <c:v>22847</c:v>
                </c:pt>
                <c:pt idx="24">
                  <c:v>24677</c:v>
                </c:pt>
                <c:pt idx="25">
                  <c:v>26199</c:v>
                </c:pt>
                <c:pt idx="26">
                  <c:v>28261</c:v>
                </c:pt>
                <c:pt idx="27">
                  <c:v>30063</c:v>
                </c:pt>
                <c:pt idx="28">
                  <c:v>31973</c:v>
                </c:pt>
                <c:pt idx="29">
                  <c:v>32164</c:v>
                </c:pt>
                <c:pt idx="30">
                  <c:v>33238</c:v>
                </c:pt>
                <c:pt idx="31">
                  <c:v>35140</c:v>
                </c:pt>
                <c:pt idx="32">
                  <c:v>37256</c:v>
                </c:pt>
                <c:pt idx="33">
                  <c:v>39611</c:v>
                </c:pt>
                <c:pt idx="34">
                  <c:v>42960</c:v>
                </c:pt>
                <c:pt idx="35">
                  <c:v>46664</c:v>
                </c:pt>
                <c:pt idx="36">
                  <c:v>49636</c:v>
                </c:pt>
                <c:pt idx="37">
                  <c:v>54160.259441361472</c:v>
                </c:pt>
                <c:pt idx="38">
                  <c:v>58539.139950075893</c:v>
                </c:pt>
                <c:pt idx="39">
                  <c:v>62351.731736037211</c:v>
                </c:pt>
                <c:pt idx="40">
                  <c:v>66380.458933282745</c:v>
                </c:pt>
                <c:pt idx="41">
                  <c:v>71270.724876521563</c:v>
                </c:pt>
                <c:pt idx="42">
                  <c:v>75796.475715163382</c:v>
                </c:pt>
                <c:pt idx="43">
                  <c:v>80265.226845480836</c:v>
                </c:pt>
                <c:pt idx="44">
                  <c:v>84818.9724826686</c:v>
                </c:pt>
                <c:pt idx="45">
                  <c:v>90034.521464391059</c:v>
                </c:pt>
                <c:pt idx="46">
                  <c:v>95217.952645828525</c:v>
                </c:pt>
                <c:pt idx="47">
                  <c:v>99848.996771351143</c:v>
                </c:pt>
                <c:pt idx="48">
                  <c:v>104441.51648684018</c:v>
                </c:pt>
                <c:pt idx="49">
                  <c:v>109798.12999085612</c:v>
                </c:pt>
                <c:pt idx="50">
                  <c:v>114790.73713900434</c:v>
                </c:pt>
                <c:pt idx="51">
                  <c:v>119707.72652248977</c:v>
                </c:pt>
                <c:pt idx="52">
                  <c:v>124425.15505845618</c:v>
                </c:pt>
                <c:pt idx="53">
                  <c:v>129605.70716190006</c:v>
                </c:pt>
                <c:pt idx="54">
                  <c:v>134800.72258030638</c:v>
                </c:pt>
                <c:pt idx="55">
                  <c:v>139460.42262023815</c:v>
                </c:pt>
                <c:pt idx="56">
                  <c:v>144029.80146510832</c:v>
                </c:pt>
                <c:pt idx="57">
                  <c:v>149308.53894878295</c:v>
                </c:pt>
                <c:pt idx="58">
                  <c:v>154678.11379060204</c:v>
                </c:pt>
                <c:pt idx="59">
                  <c:v>159927.35024974332</c:v>
                </c:pt>
              </c:numCache>
            </c:numRef>
          </c:val>
          <c:smooth val="0"/>
          <c:extLst>
            <c:ext xmlns:c16="http://schemas.microsoft.com/office/drawing/2014/chart" uri="{C3380CC4-5D6E-409C-BE32-E72D297353CC}">
              <c16:uniqueId val="{00000000-EF24-4740-A444-3B2B1319CDF5}"/>
            </c:ext>
          </c:extLst>
        </c:ser>
        <c:ser>
          <c:idx val="1"/>
          <c:order val="1"/>
          <c:tx>
            <c:strRef>
              <c:f>'Electric Vehicles'!$I$3</c:f>
              <c:strCache>
                <c:ptCount val="1"/>
                <c:pt idx="0">
                  <c:v>Total (high)</c:v>
                </c:pt>
              </c:strCache>
            </c:strRef>
          </c:tx>
          <c:spPr>
            <a:ln w="28575" cap="rnd">
              <a:solidFill>
                <a:schemeClr val="accent2"/>
              </a:solidFill>
              <a:round/>
            </a:ln>
            <a:effectLst/>
          </c:spPr>
          <c:marker>
            <c:symbol val="none"/>
          </c:marker>
          <c:val>
            <c:numRef>
              <c:f>'Electric Vehicles'!$I$4:$I$63</c:f>
              <c:numCache>
                <c:formatCode>#,##0</c:formatCode>
                <c:ptCount val="60"/>
                <c:pt idx="37">
                  <c:v>54160.259441361472</c:v>
                </c:pt>
                <c:pt idx="38">
                  <c:v>59256.182812192725</c:v>
                </c:pt>
                <c:pt idx="39">
                  <c:v>63898.525645026297</c:v>
                </c:pt>
                <c:pt idx="40">
                  <c:v>68870.541673771557</c:v>
                </c:pt>
                <c:pt idx="41">
                  <c:v>74854.202130096732</c:v>
                </c:pt>
                <c:pt idx="42">
                  <c:v>80595.610653321884</c:v>
                </c:pt>
                <c:pt idx="43">
                  <c:v>86411.137753680974</c:v>
                </c:pt>
                <c:pt idx="44">
                  <c:v>92455.01249669274</c:v>
                </c:pt>
                <c:pt idx="45">
                  <c:v>99363.424240940716</c:v>
                </c:pt>
                <c:pt idx="46">
                  <c:v>106399.3465098406</c:v>
                </c:pt>
                <c:pt idx="47">
                  <c:v>112979.41292545421</c:v>
                </c:pt>
                <c:pt idx="48">
                  <c:v>119673.85313253268</c:v>
                </c:pt>
                <c:pt idx="49">
                  <c:v>127410.52560935382</c:v>
                </c:pt>
                <c:pt idx="50">
                  <c:v>134899.61548448115</c:v>
                </c:pt>
                <c:pt idx="51">
                  <c:v>142476.85876810437</c:v>
                </c:pt>
                <c:pt idx="52">
                  <c:v>149996.01561785108</c:v>
                </c:pt>
                <c:pt idx="53">
                  <c:v>158250.40012109414</c:v>
                </c:pt>
                <c:pt idx="54">
                  <c:v>166712.00931647149</c:v>
                </c:pt>
                <c:pt idx="55">
                  <c:v>174702.35552063992</c:v>
                </c:pt>
                <c:pt idx="56">
                  <c:v>182764.06475483382</c:v>
                </c:pt>
                <c:pt idx="57">
                  <c:v>191917.06683697869</c:v>
                </c:pt>
                <c:pt idx="58">
                  <c:v>201392.81954912224</c:v>
                </c:pt>
                <c:pt idx="59">
                  <c:v>210918.32924733008</c:v>
                </c:pt>
              </c:numCache>
            </c:numRef>
          </c:val>
          <c:smooth val="0"/>
          <c:extLst>
            <c:ext xmlns:c16="http://schemas.microsoft.com/office/drawing/2014/chart" uri="{C3380CC4-5D6E-409C-BE32-E72D297353CC}">
              <c16:uniqueId val="{00000001-946D-43E5-8064-F0A956C86027}"/>
            </c:ext>
          </c:extLst>
        </c:ser>
        <c:ser>
          <c:idx val="2"/>
          <c:order val="2"/>
          <c:tx>
            <c:strRef>
              <c:f>'Electric Vehicles'!$J$3</c:f>
              <c:strCache>
                <c:ptCount val="1"/>
                <c:pt idx="0">
                  <c:v>Total (low)</c:v>
                </c:pt>
              </c:strCache>
            </c:strRef>
          </c:tx>
          <c:spPr>
            <a:ln w="28575" cap="rnd">
              <a:solidFill>
                <a:schemeClr val="accent3"/>
              </a:solidFill>
              <a:round/>
            </a:ln>
            <a:effectLst/>
          </c:spPr>
          <c:marker>
            <c:symbol val="none"/>
          </c:marker>
          <c:val>
            <c:numRef>
              <c:f>'Electric Vehicles'!$J$4:$J$63</c:f>
              <c:numCache>
                <c:formatCode>#,##0</c:formatCode>
                <c:ptCount val="60"/>
                <c:pt idx="37">
                  <c:v>54160.259441361472</c:v>
                </c:pt>
                <c:pt idx="38">
                  <c:v>57822.097087959068</c:v>
                </c:pt>
                <c:pt idx="39">
                  <c:v>60824.541892321569</c:v>
                </c:pt>
                <c:pt idx="40">
                  <c:v>63953.196813663701</c:v>
                </c:pt>
                <c:pt idx="41">
                  <c:v>67821.794914901984</c:v>
                </c:pt>
                <c:pt idx="42">
                  <c:v>71236.282323949548</c:v>
                </c:pt>
                <c:pt idx="43">
                  <c:v>74499.845557067121</c:v>
                </c:pt>
                <c:pt idx="44">
                  <c:v>77747.341225854296</c:v>
                </c:pt>
                <c:pt idx="45">
                  <c:v>81505.311164655941</c:v>
                </c:pt>
                <c:pt idx="46">
                  <c:v>85125.846996521839</c:v>
                </c:pt>
                <c:pt idx="47">
                  <c:v>88150.30569367313</c:v>
                </c:pt>
                <c:pt idx="48">
                  <c:v>91045.594159604108</c:v>
                </c:pt>
                <c:pt idx="49">
                  <c:v>94509.413739152835</c:v>
                </c:pt>
                <c:pt idx="50">
                  <c:v>97561.296537185553</c:v>
                </c:pt>
                <c:pt idx="51">
                  <c:v>100452.88933852508</c:v>
                </c:pt>
                <c:pt idx="52">
                  <c:v>103083.78867628408</c:v>
                </c:pt>
                <c:pt idx="53">
                  <c:v>106011.37421640448</c:v>
                </c:pt>
                <c:pt idx="54">
                  <c:v>108859.58376407342</c:v>
                </c:pt>
                <c:pt idx="55">
                  <c:v>111187.88665427153</c:v>
                </c:pt>
                <c:pt idx="56">
                  <c:v>113364.58563031668</c:v>
                </c:pt>
                <c:pt idx="57">
                  <c:v>116019.69893739422</c:v>
                </c:pt>
                <c:pt idx="58">
                  <c:v>118660.89368177154</c:v>
                </c:pt>
                <c:pt idx="59">
                  <c:v>121129.28237566381</c:v>
                </c:pt>
              </c:numCache>
            </c:numRef>
          </c:val>
          <c:smooth val="0"/>
          <c:extLst>
            <c:ext xmlns:c16="http://schemas.microsoft.com/office/drawing/2014/chart" uri="{C3380CC4-5D6E-409C-BE32-E72D297353CC}">
              <c16:uniqueId val="{00000002-946D-43E5-8064-F0A956C86027}"/>
            </c:ext>
          </c:extLst>
        </c:ser>
        <c:dLbls>
          <c:showLegendKey val="0"/>
          <c:showVal val="0"/>
          <c:showCatName val="0"/>
          <c:showSerName val="0"/>
          <c:showPercent val="0"/>
          <c:showBubbleSize val="0"/>
        </c:dLbls>
        <c:smooth val="0"/>
        <c:axId val="434422656"/>
        <c:axId val="434422264"/>
      </c:lineChart>
      <c:catAx>
        <c:axId val="434422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4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4422264"/>
        <c:crosses val="autoZero"/>
        <c:auto val="1"/>
        <c:lblAlgn val="ctr"/>
        <c:lblOffset val="100"/>
        <c:noMultiLvlLbl val="0"/>
      </c:catAx>
      <c:valAx>
        <c:axId val="4344222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44226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 Vehicle Fleet</a:t>
            </a:r>
          </a:p>
          <a:p>
            <a:pPr>
              <a:defRPr/>
            </a:pPr>
            <a:r>
              <a:rPr lang="en-US"/>
              <a:t>(Quarterly changes, year-over-year)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591822995606254E-2"/>
          <c:y val="0.13137450102282752"/>
          <c:w val="0.89931179561852925"/>
          <c:h val="0.71889094162684486"/>
        </c:manualLayout>
      </c:layout>
      <c:barChart>
        <c:barDir val="col"/>
        <c:grouping val="clustered"/>
        <c:varyColors val="0"/>
        <c:ser>
          <c:idx val="2"/>
          <c:order val="0"/>
          <c:tx>
            <c:strRef>
              <c:f>'Electric Vehicles'!$N$3</c:f>
              <c:strCache>
                <c:ptCount val="1"/>
                <c:pt idx="0">
                  <c:v>Total</c:v>
                </c:pt>
              </c:strCache>
            </c:strRef>
          </c:tx>
          <c:spPr>
            <a:solidFill>
              <a:schemeClr val="accent3"/>
            </a:solidFill>
            <a:ln>
              <a:noFill/>
            </a:ln>
            <a:effectLst/>
          </c:spPr>
          <c:invertIfNegative val="0"/>
          <c:cat>
            <c:strRef>
              <c:f>'Electric Vehicles'!$A$8:$A$63</c:f>
              <c:strCache>
                <c:ptCount val="56"/>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pt idx="48">
                  <c:v>Q1-2026</c:v>
                </c:pt>
                <c:pt idx="49">
                  <c:v>Q2-2026</c:v>
                </c:pt>
                <c:pt idx="50">
                  <c:v>Q3-2026</c:v>
                </c:pt>
                <c:pt idx="51">
                  <c:v>Q4-2026</c:v>
                </c:pt>
                <c:pt idx="52">
                  <c:v>Q1-2027</c:v>
                </c:pt>
                <c:pt idx="53">
                  <c:v>Q2-2027</c:v>
                </c:pt>
                <c:pt idx="54">
                  <c:v>Q3-2027</c:v>
                </c:pt>
                <c:pt idx="55">
                  <c:v>Q4-2027</c:v>
                </c:pt>
              </c:strCache>
            </c:strRef>
          </c:cat>
          <c:val>
            <c:numRef>
              <c:f>'Electric Vehicles'!$N$8:$N$63</c:f>
              <c:numCache>
                <c:formatCode>0%</c:formatCode>
                <c:ptCount val="56"/>
                <c:pt idx="0">
                  <c:v>0.84145398298530538</c:v>
                </c:pt>
                <c:pt idx="1">
                  <c:v>0.7014634146341463</c:v>
                </c:pt>
                <c:pt idx="2">
                  <c:v>0.60973619798748979</c:v>
                </c:pt>
                <c:pt idx="3">
                  <c:v>0.5185185185185186</c:v>
                </c:pt>
                <c:pt idx="4">
                  <c:v>0.51028979420411602</c:v>
                </c:pt>
                <c:pt idx="5">
                  <c:v>0.50707186544342497</c:v>
                </c:pt>
                <c:pt idx="6">
                  <c:v>0.4563270822774117</c:v>
                </c:pt>
                <c:pt idx="7">
                  <c:v>0.40213791026799162</c:v>
                </c:pt>
                <c:pt idx="8">
                  <c:v>0.41434927697441593</c:v>
                </c:pt>
                <c:pt idx="9">
                  <c:v>0.41052631578947363</c:v>
                </c:pt>
                <c:pt idx="10">
                  <c:v>0.39872389791183305</c:v>
                </c:pt>
                <c:pt idx="11">
                  <c:v>0.41404488349618807</c:v>
                </c:pt>
                <c:pt idx="12">
                  <c:v>0.40768777034998038</c:v>
                </c:pt>
                <c:pt idx="13">
                  <c:v>0.38626146376550974</c:v>
                </c:pt>
                <c:pt idx="14">
                  <c:v>0.35398523679190519</c:v>
                </c:pt>
                <c:pt idx="15">
                  <c:v>0.31467841142076081</c:v>
                </c:pt>
                <c:pt idx="16">
                  <c:v>0.28926601019624276</c:v>
                </c:pt>
                <c:pt idx="17">
                  <c:v>0.2737060578544559</c:v>
                </c:pt>
                <c:pt idx="18">
                  <c:v>0.27822358346094944</c:v>
                </c:pt>
                <c:pt idx="19">
                  <c:v>0.31964419800150168</c:v>
                </c:pt>
                <c:pt idx="20">
                  <c:v>0.33670982070310385</c:v>
                </c:pt>
                <c:pt idx="21">
                  <c:v>0.33409715857011912</c:v>
                </c:pt>
                <c:pt idx="22">
                  <c:v>0.35433938754971961</c:v>
                </c:pt>
                <c:pt idx="23">
                  <c:v>0.31584015406836774</c:v>
                </c:pt>
                <c:pt idx="24">
                  <c:v>0.29565992624711268</c:v>
                </c:pt>
                <c:pt idx="25">
                  <c:v>0.22768044581854263</c:v>
                </c:pt>
                <c:pt idx="26">
                  <c:v>0.17610841796114785</c:v>
                </c:pt>
                <c:pt idx="27">
                  <c:v>0.16887868808834772</c:v>
                </c:pt>
                <c:pt idx="28">
                  <c:v>0.16523316548337652</c:v>
                </c:pt>
                <c:pt idx="29">
                  <c:v>0.23153214774281805</c:v>
                </c:pt>
                <c:pt idx="30">
                  <c:v>0.2924965401046995</c:v>
                </c:pt>
                <c:pt idx="31">
                  <c:v>0.32794536141149688</c:v>
                </c:pt>
                <c:pt idx="32">
                  <c:v>0.33229546918617126</c:v>
                </c:pt>
                <c:pt idx="33">
                  <c:v>0.36730351269499573</c:v>
                </c:pt>
                <c:pt idx="34">
                  <c:v>0.36264292248780006</c:v>
                </c:pt>
                <c:pt idx="35">
                  <c:v>0.33618489062311863</c:v>
                </c:pt>
                <c:pt idx="36">
                  <c:v>0.33734505063427234</c:v>
                </c:pt>
                <c:pt idx="37">
                  <c:v>0.31592288537105961</c:v>
                </c:pt>
                <c:pt idx="38">
                  <c:v>0.29479995401034453</c:v>
                </c:pt>
                <c:pt idx="39">
                  <c:v>0.28729747531759764</c:v>
                </c:pt>
                <c:pt idx="40">
                  <c:v>0.2777702029435789</c:v>
                </c:pt>
                <c:pt idx="41">
                  <c:v>0.26327495083539953</c:v>
                </c:pt>
                <c:pt idx="42">
                  <c:v>0.25623192565904218</c:v>
                </c:pt>
                <c:pt idx="43">
                  <c:v>0.24398822124518715</c:v>
                </c:pt>
                <c:pt idx="44">
                  <c:v>0.23134616501256411</c:v>
                </c:pt>
                <c:pt idx="45">
                  <c:v>0.21951145188550414</c:v>
                </c:pt>
                <c:pt idx="46">
                  <c:v>0.20555771206275031</c:v>
                </c:pt>
                <c:pt idx="47">
                  <c:v>0.19888762424537987</c:v>
                </c:pt>
                <c:pt idx="48">
                  <c:v>0.19133807363026922</c:v>
                </c:pt>
                <c:pt idx="49">
                  <c:v>0.18039995009654075</c:v>
                </c:pt>
                <c:pt idx="50">
                  <c:v>0.17431707418231146</c:v>
                </c:pt>
                <c:pt idx="51">
                  <c:v>0.16500769558961936</c:v>
                </c:pt>
                <c:pt idx="52">
                  <c:v>0.1575617598984842</c:v>
                </c:pt>
                <c:pt idx="53">
                  <c:v>0.15202132852275274</c:v>
                </c:pt>
                <c:pt idx="54">
                  <c:v>0.14745760133781105</c:v>
                </c:pt>
                <c:pt idx="55">
                  <c:v>0.14675796362125082</c:v>
                </c:pt>
              </c:numCache>
            </c:numRef>
          </c:val>
          <c:extLst>
            <c:ext xmlns:c16="http://schemas.microsoft.com/office/drawing/2014/chart" uri="{C3380CC4-5D6E-409C-BE32-E72D297353CC}">
              <c16:uniqueId val="{00000002-0BCE-4B74-B8E9-2806189225CA}"/>
            </c:ext>
          </c:extLst>
        </c:ser>
        <c:dLbls>
          <c:showLegendKey val="0"/>
          <c:showVal val="0"/>
          <c:showCatName val="0"/>
          <c:showSerName val="0"/>
          <c:showPercent val="0"/>
          <c:showBubbleSize val="0"/>
        </c:dLbls>
        <c:gapWidth val="219"/>
        <c:overlap val="-27"/>
        <c:axId val="434420696"/>
        <c:axId val="434423440"/>
      </c:barChart>
      <c:catAx>
        <c:axId val="434420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3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3440"/>
        <c:crosses val="autoZero"/>
        <c:auto val="1"/>
        <c:lblAlgn val="ctr"/>
        <c:lblOffset val="100"/>
        <c:noMultiLvlLbl val="0"/>
      </c:catAx>
      <c:valAx>
        <c:axId val="43442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0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Carbon Intensity</a:t>
            </a:r>
            <a:r>
              <a:rPr lang="en-US" baseline="0"/>
              <a:t> Targets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9247594050743664E-2"/>
          <c:y val="0.17171296296296296"/>
          <c:w val="0.89019685039370078"/>
          <c:h val="0.69760279965004379"/>
        </c:manualLayout>
      </c:layout>
      <c:lineChart>
        <c:grouping val="standard"/>
        <c:varyColors val="0"/>
        <c:ser>
          <c:idx val="0"/>
          <c:order val="0"/>
          <c:tx>
            <c:strRef>
              <c:f>Constants_out!$S$18</c:f>
              <c:strCache>
                <c:ptCount val="1"/>
                <c:pt idx="0">
                  <c:v>Gasoline</c:v>
                </c:pt>
              </c:strCache>
            </c:strRef>
          </c:tx>
          <c:spPr>
            <a:ln w="28575" cap="rnd">
              <a:solidFill>
                <a:schemeClr val="accent1"/>
              </a:solidFill>
              <a:round/>
            </a:ln>
            <a:effectLst/>
          </c:spPr>
          <c:marker>
            <c:symbol val="none"/>
          </c:marker>
          <c:cat>
            <c:numRef>
              <c:f>Constants_out!$R$19:$R$28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Constants_out!$S$19:$S$28</c:f>
              <c:numCache>
                <c:formatCode>General</c:formatCode>
                <c:ptCount val="10"/>
                <c:pt idx="0">
                  <c:v>98.37</c:v>
                </c:pt>
                <c:pt idx="1">
                  <c:v>98.13</c:v>
                </c:pt>
                <c:pt idx="2">
                  <c:v>97.66</c:v>
                </c:pt>
                <c:pt idx="3">
                  <c:v>96.59</c:v>
                </c:pt>
                <c:pt idx="4">
                  <c:v>95.61</c:v>
                </c:pt>
                <c:pt idx="5">
                  <c:v>94.63</c:v>
                </c:pt>
                <c:pt idx="6">
                  <c:v>93.15</c:v>
                </c:pt>
                <c:pt idx="7">
                  <c:v>91.68</c:v>
                </c:pt>
                <c:pt idx="8">
                  <c:v>90.21</c:v>
                </c:pt>
                <c:pt idx="9">
                  <c:v>88.25</c:v>
                </c:pt>
              </c:numCache>
            </c:numRef>
          </c:val>
          <c:smooth val="0"/>
          <c:extLst>
            <c:ext xmlns:c16="http://schemas.microsoft.com/office/drawing/2014/chart" uri="{C3380CC4-5D6E-409C-BE32-E72D297353CC}">
              <c16:uniqueId val="{00000000-904F-4B94-89B5-0F363981A3EB}"/>
            </c:ext>
          </c:extLst>
        </c:ser>
        <c:ser>
          <c:idx val="1"/>
          <c:order val="1"/>
          <c:tx>
            <c:strRef>
              <c:f>Constants_out!$T$18</c:f>
              <c:strCache>
                <c:ptCount val="1"/>
                <c:pt idx="0">
                  <c:v>Diesel</c:v>
                </c:pt>
              </c:strCache>
            </c:strRef>
          </c:tx>
          <c:spPr>
            <a:ln w="28575" cap="rnd">
              <a:solidFill>
                <a:schemeClr val="accent2"/>
              </a:solidFill>
              <a:round/>
            </a:ln>
            <a:effectLst/>
          </c:spPr>
          <c:marker>
            <c:symbol val="none"/>
          </c:marker>
          <c:cat>
            <c:numRef>
              <c:f>Constants_out!$R$19:$R$28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Constants_out!$T$19:$T$28</c:f>
              <c:numCache>
                <c:formatCode>General</c:formatCode>
                <c:ptCount val="10"/>
                <c:pt idx="0">
                  <c:v>99.36</c:v>
                </c:pt>
                <c:pt idx="1">
                  <c:v>99.14</c:v>
                </c:pt>
                <c:pt idx="2">
                  <c:v>98.61</c:v>
                </c:pt>
                <c:pt idx="3">
                  <c:v>97.26</c:v>
                </c:pt>
                <c:pt idx="4">
                  <c:v>96.27</c:v>
                </c:pt>
                <c:pt idx="5">
                  <c:v>95.29</c:v>
                </c:pt>
                <c:pt idx="6">
                  <c:v>93.81</c:v>
                </c:pt>
                <c:pt idx="7">
                  <c:v>92.32</c:v>
                </c:pt>
                <c:pt idx="8">
                  <c:v>90.84</c:v>
                </c:pt>
                <c:pt idx="9">
                  <c:v>88.87</c:v>
                </c:pt>
              </c:numCache>
            </c:numRef>
          </c:val>
          <c:smooth val="0"/>
          <c:extLst>
            <c:ext xmlns:c16="http://schemas.microsoft.com/office/drawing/2014/chart" uri="{C3380CC4-5D6E-409C-BE32-E72D297353CC}">
              <c16:uniqueId val="{00000001-904F-4B94-89B5-0F363981A3EB}"/>
            </c:ext>
          </c:extLst>
        </c:ser>
        <c:dLbls>
          <c:showLegendKey val="0"/>
          <c:showVal val="0"/>
          <c:showCatName val="0"/>
          <c:showSerName val="0"/>
          <c:showPercent val="0"/>
          <c:showBubbleSize val="0"/>
        </c:dLbls>
        <c:smooth val="0"/>
        <c:axId val="1614869711"/>
        <c:axId val="1614872623"/>
      </c:lineChart>
      <c:catAx>
        <c:axId val="1614869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72623"/>
        <c:crosses val="autoZero"/>
        <c:auto val="1"/>
        <c:lblAlgn val="ctr"/>
        <c:lblOffset val="100"/>
        <c:noMultiLvlLbl val="0"/>
      </c:catAx>
      <c:valAx>
        <c:axId val="1614872623"/>
        <c:scaling>
          <c:orientation val="minMax"/>
          <c:min val="8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69711"/>
        <c:crosses val="autoZero"/>
        <c:crossBetween val="between"/>
      </c:valAx>
      <c:spPr>
        <a:noFill/>
        <a:ln>
          <a:noFill/>
        </a:ln>
        <a:effectLst/>
      </c:spPr>
    </c:plotArea>
    <c:legend>
      <c:legendPos val="b"/>
      <c:layout>
        <c:manualLayout>
          <c:xMode val="edge"/>
          <c:yMode val="edge"/>
          <c:x val="0.54432174103237096"/>
          <c:y val="0.19039297171186931"/>
          <c:w val="0.33807762139613157"/>
          <c:h val="6.7164649194970047E-2"/>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Forecast_Main!$H$82:$AM$82</c:f>
              <c:numCache>
                <c:formatCode>#,##0</c:formatCode>
                <c:ptCount val="32"/>
                <c:pt idx="0">
                  <c:v>200546412.40000001</c:v>
                </c:pt>
                <c:pt idx="1">
                  <c:v>158442194</c:v>
                </c:pt>
                <c:pt idx="2">
                  <c:v>184357269.94999999</c:v>
                </c:pt>
                <c:pt idx="3">
                  <c:v>165547124.84999999</c:v>
                </c:pt>
                <c:pt idx="4">
                  <c:v>140610590</c:v>
                </c:pt>
                <c:pt idx="5">
                  <c:v>185101028.80000001</c:v>
                </c:pt>
                <c:pt idx="6">
                  <c:v>193155530.75</c:v>
                </c:pt>
                <c:pt idx="7">
                  <c:v>163876928.19999999</c:v>
                </c:pt>
                <c:pt idx="8">
                  <c:v>161928057.75</c:v>
                </c:pt>
                <c:pt idx="9">
                  <c:v>181643251.14999998</c:v>
                </c:pt>
                <c:pt idx="10">
                  <c:v>204800544.40000001</c:v>
                </c:pt>
                <c:pt idx="11">
                  <c:v>168174070.40000001</c:v>
                </c:pt>
                <c:pt idx="12">
                  <c:v>174790251.40000001</c:v>
                </c:pt>
                <c:pt idx="13">
                  <c:v>169817565.84999999</c:v>
                </c:pt>
                <c:pt idx="14">
                  <c:v>191951959.25</c:v>
                </c:pt>
                <c:pt idx="15">
                  <c:v>183194227.59999999</c:v>
                </c:pt>
                <c:pt idx="16">
                  <c:v>140851202.29999998</c:v>
                </c:pt>
                <c:pt idx="17">
                  <c:v>178439866.5</c:v>
                </c:pt>
                <c:pt idx="18">
                  <c:v>169257305.59999999</c:v>
                </c:pt>
                <c:pt idx="19">
                  <c:v>173246694.54999998</c:v>
                </c:pt>
                <c:pt idx="20">
                  <c:v>180452942.05000001</c:v>
                </c:pt>
                <c:pt idx="21">
                  <c:v>181865582.85000002</c:v>
                </c:pt>
                <c:pt idx="22">
                  <c:v>196899970.15000001</c:v>
                </c:pt>
                <c:pt idx="23">
                  <c:v>164118747.45000002</c:v>
                </c:pt>
                <c:pt idx="24">
                  <c:v>172329313.63366863</c:v>
                </c:pt>
                <c:pt idx="25">
                  <c:v>167176022.59056506</c:v>
                </c:pt>
                <c:pt idx="26">
                  <c:v>182561943.46500716</c:v>
                </c:pt>
                <c:pt idx="27">
                  <c:v>160351290.79662955</c:v>
                </c:pt>
                <c:pt idx="28">
                  <c:v>166943600.90042746</c:v>
                </c:pt>
                <c:pt idx="29">
                  <c:v>160344085.1203672</c:v>
                </c:pt>
                <c:pt idx="30">
                  <c:v>175819986.85951078</c:v>
                </c:pt>
                <c:pt idx="31">
                  <c:v>154755674.97407043</c:v>
                </c:pt>
              </c:numCache>
            </c:numRef>
          </c:val>
          <c:smooth val="0"/>
          <c:extLst>
            <c:ext xmlns:c16="http://schemas.microsoft.com/office/drawing/2014/chart" uri="{C3380CC4-5D6E-409C-BE32-E72D297353CC}">
              <c16:uniqueId val="{00000000-C410-4083-82EA-527008730AA6}"/>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1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6666666666666666E-2"/>
                <c:y val="0.34763888888888889"/>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Motor Gasoline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Forecast_Main!$H$79:$AM$79</c:f>
              <c:numCache>
                <c:formatCode>#,##0</c:formatCode>
                <c:ptCount val="32"/>
                <c:pt idx="0">
                  <c:v>432288642</c:v>
                </c:pt>
                <c:pt idx="1">
                  <c:v>369245735</c:v>
                </c:pt>
                <c:pt idx="2">
                  <c:v>426111111</c:v>
                </c:pt>
                <c:pt idx="3">
                  <c:v>374941421</c:v>
                </c:pt>
                <c:pt idx="4">
                  <c:v>317609932</c:v>
                </c:pt>
                <c:pt idx="5">
                  <c:v>410970093</c:v>
                </c:pt>
                <c:pt idx="6">
                  <c:v>472280556</c:v>
                </c:pt>
                <c:pt idx="7">
                  <c:v>417771717</c:v>
                </c:pt>
                <c:pt idx="8">
                  <c:v>380521964</c:v>
                </c:pt>
                <c:pt idx="9">
                  <c:v>455326178</c:v>
                </c:pt>
                <c:pt idx="10">
                  <c:v>453925418</c:v>
                </c:pt>
                <c:pt idx="11">
                  <c:v>422283914</c:v>
                </c:pt>
                <c:pt idx="12">
                  <c:v>411105176</c:v>
                </c:pt>
                <c:pt idx="13">
                  <c:v>438385251</c:v>
                </c:pt>
                <c:pt idx="14">
                  <c:v>443985802</c:v>
                </c:pt>
                <c:pt idx="15">
                  <c:v>445906198</c:v>
                </c:pt>
                <c:pt idx="16">
                  <c:v>362756583</c:v>
                </c:pt>
                <c:pt idx="17">
                  <c:v>284894327</c:v>
                </c:pt>
                <c:pt idx="18">
                  <c:v>418893389</c:v>
                </c:pt>
                <c:pt idx="19">
                  <c:v>340656343</c:v>
                </c:pt>
                <c:pt idx="20">
                  <c:v>356654812</c:v>
                </c:pt>
                <c:pt idx="21">
                  <c:v>361646686</c:v>
                </c:pt>
                <c:pt idx="22">
                  <c:v>419053919</c:v>
                </c:pt>
                <c:pt idx="23">
                  <c:v>356839585</c:v>
                </c:pt>
                <c:pt idx="24">
                  <c:v>356288478.67527264</c:v>
                </c:pt>
                <c:pt idx="25">
                  <c:v>340480390.61060131</c:v>
                </c:pt>
                <c:pt idx="26">
                  <c:v>399766686.88793087</c:v>
                </c:pt>
                <c:pt idx="27">
                  <c:v>348429411.33321726</c:v>
                </c:pt>
                <c:pt idx="28">
                  <c:v>350234922.00585699</c:v>
                </c:pt>
                <c:pt idx="29">
                  <c:v>337474525.29788035</c:v>
                </c:pt>
                <c:pt idx="30">
                  <c:v>398356567.65431863</c:v>
                </c:pt>
                <c:pt idx="31">
                  <c:v>347995336.33133382</c:v>
                </c:pt>
              </c:numCache>
            </c:numRef>
          </c:val>
          <c:smooth val="0"/>
          <c:extLst>
            <c:ext xmlns:c16="http://schemas.microsoft.com/office/drawing/2014/chart" uri="{C3380CC4-5D6E-409C-BE32-E72D297353CC}">
              <c16:uniqueId val="{00000000-FE8F-4209-BA48-4D2E6978658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2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393373374340477E-2"/>
                <c:y val="0.40511026638911518"/>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Biodiesel/Renewable Diesel Blend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Forecast_Main!$G$83</c:f>
              <c:strCache>
                <c:ptCount val="1"/>
                <c:pt idx="0">
                  <c:v>Biodiesel</c:v>
                </c:pt>
              </c:strCache>
            </c:strRef>
          </c:tx>
          <c:spPr>
            <a:solidFill>
              <a:schemeClr val="accent1"/>
            </a:solidFill>
            <a:ln>
              <a:noFill/>
            </a:ln>
            <a:effectLst/>
          </c:spPr>
          <c:invertIfNegative val="0"/>
          <c:cat>
            <c:strRef>
              <c:f>Forecast_Main!$H$74:$AE$74</c:f>
              <c:strCache>
                <c:ptCount val="24"/>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strCache>
            </c:strRef>
          </c:cat>
          <c:val>
            <c:numRef>
              <c:f>Forecast_Main!$H$84:$AE$84</c:f>
              <c:numCache>
                <c:formatCode>0.0%</c:formatCode>
                <c:ptCount val="24"/>
                <c:pt idx="0">
                  <c:v>5.5869384181331347E-2</c:v>
                </c:pt>
                <c:pt idx="1">
                  <c:v>6.5833092061322054E-2</c:v>
                </c:pt>
                <c:pt idx="2">
                  <c:v>6.5930567152852546E-2</c:v>
                </c:pt>
                <c:pt idx="3">
                  <c:v>6.4896925449701173E-2</c:v>
                </c:pt>
                <c:pt idx="4">
                  <c:v>6.0812781805495791E-2</c:v>
                </c:pt>
                <c:pt idx="5">
                  <c:v>6.7506535503566889E-2</c:v>
                </c:pt>
                <c:pt idx="6">
                  <c:v>6.969851875392663E-2</c:v>
                </c:pt>
                <c:pt idx="7">
                  <c:v>7.9642577236442066E-2</c:v>
                </c:pt>
                <c:pt idx="8">
                  <c:v>6.2385752232972005E-2</c:v>
                </c:pt>
                <c:pt idx="9">
                  <c:v>6.7023368584565382E-2</c:v>
                </c:pt>
                <c:pt idx="10">
                  <c:v>6.7111751966367289E-2</c:v>
                </c:pt>
                <c:pt idx="11">
                  <c:v>7.1738307743542812E-2</c:v>
                </c:pt>
                <c:pt idx="12">
                  <c:v>6.0750667673647646E-2</c:v>
                </c:pt>
                <c:pt idx="13">
                  <c:v>8.8439150430515756E-2</c:v>
                </c:pt>
                <c:pt idx="14">
                  <c:v>7.6943815626543066E-2</c:v>
                </c:pt>
                <c:pt idx="15">
                  <c:v>7.5432523813665373E-2</c:v>
                </c:pt>
                <c:pt idx="16">
                  <c:v>9.397262999735688E-2</c:v>
                </c:pt>
                <c:pt idx="17">
                  <c:v>8.0703423756347439E-2</c:v>
                </c:pt>
                <c:pt idx="18">
                  <c:v>9.7064787708608449E-2</c:v>
                </c:pt>
                <c:pt idx="19">
                  <c:v>9.5274855769459044E-2</c:v>
                </c:pt>
                <c:pt idx="20">
                  <c:v>7.4729514367893074E-2</c:v>
                </c:pt>
                <c:pt idx="21">
                  <c:v>0.10002475181591224</c:v>
                </c:pt>
                <c:pt idx="22">
                  <c:v>8.6559600124470018E-2</c:v>
                </c:pt>
                <c:pt idx="23">
                  <c:v>0.10510870996699123</c:v>
                </c:pt>
              </c:numCache>
            </c:numRef>
          </c:val>
          <c:extLst>
            <c:ext xmlns:c16="http://schemas.microsoft.com/office/drawing/2014/chart" uri="{C3380CC4-5D6E-409C-BE32-E72D297353CC}">
              <c16:uniqueId val="{00000000-7EED-4E18-AA45-C8DAB3DF3365}"/>
            </c:ext>
          </c:extLst>
        </c:ser>
        <c:ser>
          <c:idx val="1"/>
          <c:order val="1"/>
          <c:tx>
            <c:strRef>
              <c:f>Forecast_Main!$G$85</c:f>
              <c:strCache>
                <c:ptCount val="1"/>
                <c:pt idx="0">
                  <c:v>Renewable Diesel</c:v>
                </c:pt>
              </c:strCache>
            </c:strRef>
          </c:tx>
          <c:spPr>
            <a:solidFill>
              <a:schemeClr val="accent2"/>
            </a:solidFill>
            <a:ln>
              <a:noFill/>
            </a:ln>
            <a:effectLst/>
          </c:spPr>
          <c:invertIfNegative val="0"/>
          <c:val>
            <c:numRef>
              <c:f>Forecast_Main!$H$86:$AE$86</c:f>
              <c:numCache>
                <c:formatCode>0.0%</c:formatCode>
                <c:ptCount val="24"/>
                <c:pt idx="0">
                  <c:v>0</c:v>
                </c:pt>
                <c:pt idx="1">
                  <c:v>0</c:v>
                </c:pt>
                <c:pt idx="2">
                  <c:v>0</c:v>
                </c:pt>
                <c:pt idx="3">
                  <c:v>0</c:v>
                </c:pt>
                <c:pt idx="4">
                  <c:v>0</c:v>
                </c:pt>
                <c:pt idx="5">
                  <c:v>0</c:v>
                </c:pt>
                <c:pt idx="6">
                  <c:v>0</c:v>
                </c:pt>
                <c:pt idx="7">
                  <c:v>1.9069555357184209E-3</c:v>
                </c:pt>
                <c:pt idx="8">
                  <c:v>1.7424259230957673E-3</c:v>
                </c:pt>
                <c:pt idx="9">
                  <c:v>1.0284694935403047E-3</c:v>
                </c:pt>
                <c:pt idx="10">
                  <c:v>1.0188139878315738E-3</c:v>
                </c:pt>
                <c:pt idx="11">
                  <c:v>2.650563039697287E-3</c:v>
                </c:pt>
                <c:pt idx="12">
                  <c:v>8.7405181541309028E-4</c:v>
                </c:pt>
                <c:pt idx="13">
                  <c:v>2.4617866139428376E-3</c:v>
                </c:pt>
                <c:pt idx="14">
                  <c:v>5.1693615561994463E-2</c:v>
                </c:pt>
                <c:pt idx="15">
                  <c:v>2.1214793040279803E-2</c:v>
                </c:pt>
                <c:pt idx="16">
                  <c:v>4.3637149014050504E-2</c:v>
                </c:pt>
                <c:pt idx="17">
                  <c:v>3.0818567248478177E-2</c:v>
                </c:pt>
                <c:pt idx="18">
                  <c:v>1.0828838336974947E-3</c:v>
                </c:pt>
                <c:pt idx="19">
                  <c:v>1.9906109595361442E-2</c:v>
                </c:pt>
                <c:pt idx="20">
                  <c:v>3.383522950435764E-2</c:v>
                </c:pt>
                <c:pt idx="21">
                  <c:v>-2.1901091552150977E-3</c:v>
                </c:pt>
                <c:pt idx="22">
                  <c:v>1.4837706510474197E-2</c:v>
                </c:pt>
                <c:pt idx="23">
                  <c:v>4.5476013577088408E-4</c:v>
                </c:pt>
              </c:numCache>
            </c:numRef>
          </c:val>
          <c:extLst>
            <c:ext xmlns:c16="http://schemas.microsoft.com/office/drawing/2014/chart" uri="{C3380CC4-5D6E-409C-BE32-E72D297353CC}">
              <c16:uniqueId val="{00000002-7EED-4E18-AA45-C8DAB3DF3365}"/>
            </c:ext>
          </c:extLst>
        </c:ser>
        <c:dLbls>
          <c:showLegendKey val="0"/>
          <c:showVal val="0"/>
          <c:showCatName val="0"/>
          <c:showSerName val="0"/>
          <c:showPercent val="0"/>
          <c:showBubbleSize val="0"/>
        </c:dLbls>
        <c:gapWidth val="219"/>
        <c:overlap val="100"/>
        <c:axId val="1862246543"/>
        <c:axId val="1862248207"/>
      </c:barChart>
      <c:catAx>
        <c:axId val="1862246543"/>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34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Forecast_Main!$H$77:$AM$77</c:f>
              <c:numCache>
                <c:formatCode>#,##0</c:formatCode>
                <c:ptCount val="32"/>
                <c:pt idx="0">
                  <c:v>50904982.299999997</c:v>
                </c:pt>
                <c:pt idx="1">
                  <c:v>41169772.600000001</c:v>
                </c:pt>
                <c:pt idx="2">
                  <c:v>46844753.899999999</c:v>
                </c:pt>
                <c:pt idx="3">
                  <c:v>38687842.100000001</c:v>
                </c:pt>
                <c:pt idx="4">
                  <c:v>39795000.899999999</c:v>
                </c:pt>
                <c:pt idx="5">
                  <c:v>42848673.5</c:v>
                </c:pt>
                <c:pt idx="6">
                  <c:v>49152301.399999999</c:v>
                </c:pt>
                <c:pt idx="7">
                  <c:v>42482357.700000003</c:v>
                </c:pt>
                <c:pt idx="8">
                  <c:v>41973456.899999999</c:v>
                </c:pt>
                <c:pt idx="9">
                  <c:v>40297149.899999999</c:v>
                </c:pt>
                <c:pt idx="10">
                  <c:v>46877337.299999997</c:v>
                </c:pt>
                <c:pt idx="11">
                  <c:v>43494023.100000001</c:v>
                </c:pt>
                <c:pt idx="12">
                  <c:v>38612516.200000003</c:v>
                </c:pt>
                <c:pt idx="13">
                  <c:v>44486189.600000001</c:v>
                </c:pt>
                <c:pt idx="14">
                  <c:v>47299348.899999999</c:v>
                </c:pt>
                <c:pt idx="15">
                  <c:v>43634242.200000003</c:v>
                </c:pt>
                <c:pt idx="16">
                  <c:v>36176279.5</c:v>
                </c:pt>
                <c:pt idx="17">
                  <c:v>32344049</c:v>
                </c:pt>
                <c:pt idx="18">
                  <c:v>39113520.100000001</c:v>
                </c:pt>
                <c:pt idx="19">
                  <c:v>34126098.299999997</c:v>
                </c:pt>
                <c:pt idx="20">
                  <c:v>31022128.600000001</c:v>
                </c:pt>
                <c:pt idx="21">
                  <c:v>43283555.600000001</c:v>
                </c:pt>
                <c:pt idx="22">
                  <c:v>41217790.899999999</c:v>
                </c:pt>
                <c:pt idx="23">
                  <c:v>37553113.399999999</c:v>
                </c:pt>
                <c:pt idx="24">
                  <c:v>36341424.824877806</c:v>
                </c:pt>
                <c:pt idx="25">
                  <c:v>34728999.842281334</c:v>
                </c:pt>
                <c:pt idx="26">
                  <c:v>40776202.062568948</c:v>
                </c:pt>
                <c:pt idx="27">
                  <c:v>35539799.955988161</c:v>
                </c:pt>
                <c:pt idx="28">
                  <c:v>35723962.04459741</c:v>
                </c:pt>
                <c:pt idx="29">
                  <c:v>34422401.580383793</c:v>
                </c:pt>
                <c:pt idx="30">
                  <c:v>40632369.900740497</c:v>
                </c:pt>
                <c:pt idx="31">
                  <c:v>35495524.30579605</c:v>
                </c:pt>
              </c:numCache>
            </c:numRef>
          </c:val>
          <c:smooth val="0"/>
          <c:extLst>
            <c:ext xmlns:c16="http://schemas.microsoft.com/office/drawing/2014/chart" uri="{C3380CC4-5D6E-409C-BE32-E72D297353CC}">
              <c16:uniqueId val="{00000000-470A-4ABD-8E8B-2F4F1110BB69}"/>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30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Gallone</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Forecast_Main!$H$83:$AM$83</c:f>
              <c:numCache>
                <c:formatCode>#,##0</c:formatCode>
                <c:ptCount val="32"/>
                <c:pt idx="0">
                  <c:v>11867430.6</c:v>
                </c:pt>
                <c:pt idx="1">
                  <c:v>11165820</c:v>
                </c:pt>
                <c:pt idx="2">
                  <c:v>13012715.050000001</c:v>
                </c:pt>
                <c:pt idx="3">
                  <c:v>11489107.15</c:v>
                </c:pt>
                <c:pt idx="4">
                  <c:v>9104597</c:v>
                </c:pt>
                <c:pt idx="5">
                  <c:v>13400125.199999999</c:v>
                </c:pt>
                <c:pt idx="6">
                  <c:v>14471281.25</c:v>
                </c:pt>
                <c:pt idx="7">
                  <c:v>14210435.268036803</c:v>
                </c:pt>
                <c:pt idx="8">
                  <c:v>10794217.172234204</c:v>
                </c:pt>
                <c:pt idx="9">
                  <c:v>13063325.912483048</c:v>
                </c:pt>
                <c:pt idx="10">
                  <c:v>14749408.915234635</c:v>
                </c:pt>
                <c:pt idx="11">
                  <c:v>13034116.418898588</c:v>
                </c:pt>
                <c:pt idx="12">
                  <c:v>11315967.817921368</c:v>
                </c:pt>
                <c:pt idx="13">
                  <c:v>16520225.203099381</c:v>
                </c:pt>
                <c:pt idx="14">
                  <c:v>16949908.901677188</c:v>
                </c:pt>
                <c:pt idx="15">
                  <c:v>15297240.151916169</c:v>
                </c:pt>
                <c:pt idx="16">
                  <c:v>15348223.572442209</c:v>
                </c:pt>
                <c:pt idx="17">
                  <c:v>16208288.798798824</c:v>
                </c:pt>
                <c:pt idx="18">
                  <c:v>18216867.571092319</c:v>
                </c:pt>
                <c:pt idx="19">
                  <c:v>18654722.818652291</c:v>
                </c:pt>
                <c:pt idx="20">
                  <c:v>15127470.708564309</c:v>
                </c:pt>
                <c:pt idx="21">
                  <c:v>20163775.56557611</c:v>
                </c:pt>
                <c:pt idx="22">
                  <c:v>18966761.179938015</c:v>
                </c:pt>
                <c:pt idx="23">
                  <c:v>19286231.330298893</c:v>
                </c:pt>
                <c:pt idx="24">
                  <c:v>19582876.549280528</c:v>
                </c:pt>
                <c:pt idx="25">
                  <c:v>18997275.294382393</c:v>
                </c:pt>
                <c:pt idx="26">
                  <c:v>20745675.393750817</c:v>
                </c:pt>
                <c:pt idx="27">
                  <c:v>18221737.590526085</c:v>
                </c:pt>
                <c:pt idx="28">
                  <c:v>21478124.092452656</c:v>
                </c:pt>
                <c:pt idx="29">
                  <c:v>20629063.582737301</c:v>
                </c:pt>
                <c:pt idx="30">
                  <c:v>22620115.268475071</c:v>
                </c:pt>
                <c:pt idx="31">
                  <c:v>19910086.838769294</c:v>
                </c:pt>
              </c:numCache>
            </c:numRef>
          </c:val>
          <c:smooth val="0"/>
          <c:extLst>
            <c:ext xmlns:c16="http://schemas.microsoft.com/office/drawing/2014/chart" uri="{C3380CC4-5D6E-409C-BE32-E72D297353CC}">
              <c16:uniqueId val="{00000000-2E2A-491B-AA8E-4F3BF16CB000}"/>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8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 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Forecast_Main!$H$85:$AM$85</c:f>
              <c:numCache>
                <c:formatCode>#,##0</c:formatCode>
                <c:ptCount val="32"/>
                <c:pt idx="0">
                  <c:v>0</c:v>
                </c:pt>
                <c:pt idx="1">
                  <c:v>0</c:v>
                </c:pt>
                <c:pt idx="2">
                  <c:v>0</c:v>
                </c:pt>
                <c:pt idx="3">
                  <c:v>0</c:v>
                </c:pt>
                <c:pt idx="4">
                  <c:v>0</c:v>
                </c:pt>
                <c:pt idx="5">
                  <c:v>0</c:v>
                </c:pt>
                <c:pt idx="6">
                  <c:v>0</c:v>
                </c:pt>
                <c:pt idx="7">
                  <c:v>340253.53196319623</c:v>
                </c:pt>
                <c:pt idx="8">
                  <c:v>301481.0777657968</c:v>
                </c:pt>
                <c:pt idx="9">
                  <c:v>200455.93751695345</c:v>
                </c:pt>
                <c:pt idx="10">
                  <c:v>223908.68476536599</c:v>
                </c:pt>
                <c:pt idx="11">
                  <c:v>481580.18110141181</c:v>
                </c:pt>
                <c:pt idx="12">
                  <c:v>162808.78207863175</c:v>
                </c:pt>
                <c:pt idx="13">
                  <c:v>459855.94690061948</c:v>
                </c:pt>
                <c:pt idx="14">
                  <c:v>11387556.848322812</c:v>
                </c:pt>
                <c:pt idx="15">
                  <c:v>4302226.2480838317</c:v>
                </c:pt>
                <c:pt idx="16">
                  <c:v>7127104.1275577899</c:v>
                </c:pt>
                <c:pt idx="17">
                  <c:v>6189529.7012011772</c:v>
                </c:pt>
                <c:pt idx="18">
                  <c:v>203232.82890768119</c:v>
                </c:pt>
                <c:pt idx="19">
                  <c:v>3897596.6313477093</c:v>
                </c:pt>
                <c:pt idx="20">
                  <c:v>6849254.2414356917</c:v>
                </c:pt>
                <c:pt idx="21">
                  <c:v>-441499.41557611019</c:v>
                </c:pt>
                <c:pt idx="22">
                  <c:v>3251207.6700619878</c:v>
                </c:pt>
                <c:pt idx="23">
                  <c:v>83443.219701105278</c:v>
                </c:pt>
                <c:pt idx="24">
                  <c:v>3916575.3098561056</c:v>
                </c:pt>
                <c:pt idx="25">
                  <c:v>3799455.0588764786</c:v>
                </c:pt>
                <c:pt idx="26">
                  <c:v>4149135.0787501629</c:v>
                </c:pt>
                <c:pt idx="27">
                  <c:v>3644347.5181052173</c:v>
                </c:pt>
                <c:pt idx="28">
                  <c:v>6833948.5748712998</c:v>
                </c:pt>
                <c:pt idx="29">
                  <c:v>6563792.9581436869</c:v>
                </c:pt>
                <c:pt idx="30">
                  <c:v>7197309.4036057051</c:v>
                </c:pt>
                <c:pt idx="31">
                  <c:v>6335027.6305175032</c:v>
                </c:pt>
              </c:numCache>
            </c:numRef>
          </c:val>
          <c:smooth val="0"/>
          <c:extLst>
            <c:ext xmlns:c16="http://schemas.microsoft.com/office/drawing/2014/chart" uri="{C3380CC4-5D6E-409C-BE32-E72D297353CC}">
              <c16:uniqueId val="{00000000-66E0-42F3-A159-C9605CFA70E3}"/>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Charging Station Consumption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Forecast_Main!$H$90:$AM$90</c:f>
              <c:numCache>
                <c:formatCode>#,##0</c:formatCode>
                <c:ptCount val="32"/>
                <c:pt idx="0">
                  <c:v>7061</c:v>
                </c:pt>
                <c:pt idx="1">
                  <c:v>10979</c:v>
                </c:pt>
                <c:pt idx="2">
                  <c:v>15031</c:v>
                </c:pt>
                <c:pt idx="3">
                  <c:v>14084</c:v>
                </c:pt>
                <c:pt idx="4">
                  <c:v>14322</c:v>
                </c:pt>
                <c:pt idx="5">
                  <c:v>18144</c:v>
                </c:pt>
                <c:pt idx="6">
                  <c:v>24117</c:v>
                </c:pt>
                <c:pt idx="7">
                  <c:v>22967</c:v>
                </c:pt>
                <c:pt idx="8">
                  <c:v>18643</c:v>
                </c:pt>
                <c:pt idx="9">
                  <c:v>26424</c:v>
                </c:pt>
                <c:pt idx="10">
                  <c:v>34852</c:v>
                </c:pt>
                <c:pt idx="11">
                  <c:v>43869</c:v>
                </c:pt>
                <c:pt idx="12">
                  <c:v>43384</c:v>
                </c:pt>
                <c:pt idx="13">
                  <c:v>54052</c:v>
                </c:pt>
                <c:pt idx="14">
                  <c:v>70193</c:v>
                </c:pt>
                <c:pt idx="15">
                  <c:v>69198</c:v>
                </c:pt>
                <c:pt idx="16">
                  <c:v>54300</c:v>
                </c:pt>
                <c:pt idx="17">
                  <c:v>37633</c:v>
                </c:pt>
                <c:pt idx="18">
                  <c:v>72090</c:v>
                </c:pt>
                <c:pt idx="19">
                  <c:v>67128</c:v>
                </c:pt>
                <c:pt idx="20">
                  <c:v>74857</c:v>
                </c:pt>
                <c:pt idx="21">
                  <c:v>108611</c:v>
                </c:pt>
                <c:pt idx="22">
                  <c:v>141880</c:v>
                </c:pt>
                <c:pt idx="23">
                  <c:v>146167</c:v>
                </c:pt>
                <c:pt idx="24">
                  <c:v>164737.27570685744</c:v>
                </c:pt>
                <c:pt idx="25">
                  <c:v>190548.92574100196</c:v>
                </c:pt>
                <c:pt idx="26">
                  <c:v>212735.64723243378</c:v>
                </c:pt>
                <c:pt idx="27">
                  <c:v>229327.7522928752</c:v>
                </c:pt>
                <c:pt idx="28">
                  <c:v>247337.36235020123</c:v>
                </c:pt>
                <c:pt idx="29">
                  <c:v>270487.00393334031</c:v>
                </c:pt>
                <c:pt idx="30">
                  <c:v>290627.41672282852</c:v>
                </c:pt>
                <c:pt idx="31">
                  <c:v>309389.61238052323</c:v>
                </c:pt>
              </c:numCache>
            </c:numRef>
          </c:val>
          <c:smooth val="0"/>
          <c:extLst>
            <c:ext xmlns:c16="http://schemas.microsoft.com/office/drawing/2014/chart" uri="{C3380CC4-5D6E-409C-BE32-E72D297353CC}">
              <c16:uniqueId val="{00000000-0D30-42A3-9C67-B5A422F77284}"/>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Residential Charging</a:t>
            </a:r>
            <a:r>
              <a:rPr lang="en-US" baseline="0"/>
              <a:t> Percentage</a:t>
            </a:r>
            <a:endParaRPr lang="en-US"/>
          </a:p>
        </c:rich>
      </c:tx>
      <c:overlay val="0"/>
      <c:spPr>
        <a:noFill/>
        <a:ln>
          <a:noFill/>
        </a:ln>
        <a:effectLst/>
      </c:spPr>
    </c:title>
    <c:autoTitleDeleted val="0"/>
    <c:plotArea>
      <c:layout/>
      <c:lineChart>
        <c:grouping val="standard"/>
        <c:varyColors val="0"/>
        <c:ser>
          <c:idx val="1"/>
          <c:order val="0"/>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Forecast_Main!$H$92:$AE$92</c:f>
              <c:numCache>
                <c:formatCode>0.0%</c:formatCode>
                <c:ptCount val="24"/>
                <c:pt idx="0">
                  <c:v>0.96445123059040005</c:v>
                </c:pt>
                <c:pt idx="1">
                  <c:v>0.96445123059040005</c:v>
                </c:pt>
                <c:pt idx="2">
                  <c:v>0.96445123059040005</c:v>
                </c:pt>
                <c:pt idx="3">
                  <c:v>0.96445123059040005</c:v>
                </c:pt>
                <c:pt idx="4">
                  <c:v>0.95158695803547244</c:v>
                </c:pt>
                <c:pt idx="5">
                  <c:v>0.95158695803547244</c:v>
                </c:pt>
                <c:pt idx="6">
                  <c:v>0.95158695803547244</c:v>
                </c:pt>
                <c:pt idx="7">
                  <c:v>0.95158695803547244</c:v>
                </c:pt>
                <c:pt idx="8">
                  <c:v>0.94462868059347527</c:v>
                </c:pt>
                <c:pt idx="9">
                  <c:v>0.94462868059347527</c:v>
                </c:pt>
                <c:pt idx="10">
                  <c:v>0.94462868059347527</c:v>
                </c:pt>
                <c:pt idx="11">
                  <c:v>0.94462868059347527</c:v>
                </c:pt>
                <c:pt idx="12">
                  <c:v>0.91770971607879626</c:v>
                </c:pt>
                <c:pt idx="13">
                  <c:v>0.91770971607879626</c:v>
                </c:pt>
                <c:pt idx="14">
                  <c:v>0.91770971607879626</c:v>
                </c:pt>
                <c:pt idx="15">
                  <c:v>0.91770971607879626</c:v>
                </c:pt>
                <c:pt idx="16">
                  <c:v>0.93706354148340298</c:v>
                </c:pt>
                <c:pt idx="17">
                  <c:v>0.93706354148340298</c:v>
                </c:pt>
                <c:pt idx="18">
                  <c:v>0.93706354148340298</c:v>
                </c:pt>
                <c:pt idx="19">
                  <c:v>0.93706354148340298</c:v>
                </c:pt>
                <c:pt idx="20">
                  <c:v>0.92066452195395332</c:v>
                </c:pt>
                <c:pt idx="21">
                  <c:v>0.91856209950764423</c:v>
                </c:pt>
                <c:pt idx="22">
                  <c:v>0.91643631681193161</c:v>
                </c:pt>
                <c:pt idx="23">
                  <c:v>0.91428717386681568</c:v>
                </c:pt>
              </c:numCache>
            </c:numRef>
          </c:val>
          <c:smooth val="0"/>
          <c:extLst>
            <c:ext xmlns:c16="http://schemas.microsoft.com/office/drawing/2014/chart" uri="{C3380CC4-5D6E-409C-BE32-E72D297353CC}">
              <c16:uniqueId val="{00000002-A791-4135-83E5-22B3E4D2D0A7}"/>
            </c:ext>
          </c:extLst>
        </c:ser>
        <c:ser>
          <c:idx val="0"/>
          <c:order val="1"/>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Forecast_Main!$H$92:$AM$92</c:f>
              <c:numCache>
                <c:formatCode>0.0%</c:formatCode>
                <c:ptCount val="32"/>
                <c:pt idx="0">
                  <c:v>0.96445123059040005</c:v>
                </c:pt>
                <c:pt idx="1">
                  <c:v>0.96445123059040005</c:v>
                </c:pt>
                <c:pt idx="2">
                  <c:v>0.96445123059040005</c:v>
                </c:pt>
                <c:pt idx="3">
                  <c:v>0.96445123059040005</c:v>
                </c:pt>
                <c:pt idx="4">
                  <c:v>0.95158695803547244</c:v>
                </c:pt>
                <c:pt idx="5">
                  <c:v>0.95158695803547244</c:v>
                </c:pt>
                <c:pt idx="6">
                  <c:v>0.95158695803547244</c:v>
                </c:pt>
                <c:pt idx="7">
                  <c:v>0.95158695803547244</c:v>
                </c:pt>
                <c:pt idx="8">
                  <c:v>0.94462868059347527</c:v>
                </c:pt>
                <c:pt idx="9">
                  <c:v>0.94462868059347527</c:v>
                </c:pt>
                <c:pt idx="10">
                  <c:v>0.94462868059347527</c:v>
                </c:pt>
                <c:pt idx="11">
                  <c:v>0.94462868059347527</c:v>
                </c:pt>
                <c:pt idx="12">
                  <c:v>0.91770971607879626</c:v>
                </c:pt>
                <c:pt idx="13">
                  <c:v>0.91770971607879626</c:v>
                </c:pt>
                <c:pt idx="14">
                  <c:v>0.91770971607879626</c:v>
                </c:pt>
                <c:pt idx="15">
                  <c:v>0.91770971607879626</c:v>
                </c:pt>
                <c:pt idx="16">
                  <c:v>0.93706354148340298</c:v>
                </c:pt>
                <c:pt idx="17">
                  <c:v>0.93706354148340298</c:v>
                </c:pt>
                <c:pt idx="18">
                  <c:v>0.93706354148340298</c:v>
                </c:pt>
                <c:pt idx="19">
                  <c:v>0.93706354148340298</c:v>
                </c:pt>
                <c:pt idx="20">
                  <c:v>0.92066452195395332</c:v>
                </c:pt>
                <c:pt idx="21">
                  <c:v>0.91856209950764423</c:v>
                </c:pt>
                <c:pt idx="22">
                  <c:v>0.91643631681193161</c:v>
                </c:pt>
                <c:pt idx="23">
                  <c:v>0.91428717386681568</c:v>
                </c:pt>
                <c:pt idx="24">
                  <c:v>0.91213803092169976</c:v>
                </c:pt>
                <c:pt idx="25">
                  <c:v>0.91003560847539089</c:v>
                </c:pt>
                <c:pt idx="26">
                  <c:v>0.90790982577967827</c:v>
                </c:pt>
                <c:pt idx="27">
                  <c:v>0.90576068283456235</c:v>
                </c:pt>
                <c:pt idx="28">
                  <c:v>0.90361153988944642</c:v>
                </c:pt>
                <c:pt idx="29">
                  <c:v>0.90150911744313733</c:v>
                </c:pt>
                <c:pt idx="30">
                  <c:v>0.89938333474742493</c:v>
                </c:pt>
                <c:pt idx="31">
                  <c:v>0.89723419180230901</c:v>
                </c:pt>
              </c:numCache>
            </c:numRef>
          </c:val>
          <c:smooth val="0"/>
          <c:extLst>
            <c:ext xmlns:c16="http://schemas.microsoft.com/office/drawing/2014/chart" uri="{C3380CC4-5D6E-409C-BE32-E72D297353CC}">
              <c16:uniqueId val="{00000001-A791-4135-83E5-22B3E4D2D0A7}"/>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On-Road</a:t>
            </a:r>
            <a:r>
              <a:rPr lang="en-US" baseline="0"/>
              <a:t> Electricity</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Forecast_Main!$H$93:$AM$93</c:f>
              <c:numCache>
                <c:formatCode>#,##0</c:formatCode>
                <c:ptCount val="32"/>
                <c:pt idx="0">
                  <c:v>198628.53531276336</c:v>
                </c:pt>
                <c:pt idx="1">
                  <c:v>308843.32094587578</c:v>
                </c:pt>
                <c:pt idx="2">
                  <c:v>422827.57602126413</c:v>
                </c:pt>
                <c:pt idx="3">
                  <c:v>396188.11660458281</c:v>
                </c:pt>
                <c:pt idx="4">
                  <c:v>295829.37611096178</c:v>
                </c:pt>
                <c:pt idx="5">
                  <c:v>374775.04539570527</c:v>
                </c:pt>
                <c:pt idx="6">
                  <c:v>498150.89119313407</c:v>
                </c:pt>
                <c:pt idx="7">
                  <c:v>474396.96139788156</c:v>
                </c:pt>
                <c:pt idx="8">
                  <c:v>336690.5502671334</c:v>
                </c:pt>
                <c:pt idx="9">
                  <c:v>477214.5631206744</c:v>
                </c:pt>
                <c:pt idx="10">
                  <c:v>629423.32553291484</c:v>
                </c:pt>
                <c:pt idx="11">
                  <c:v>792269.36381853104</c:v>
                </c:pt>
                <c:pt idx="12">
                  <c:v>527206.83333091799</c:v>
                </c:pt>
                <c:pt idx="13">
                  <c:v>656845.46734286321</c:v>
                </c:pt>
                <c:pt idx="14">
                  <c:v>852992.5606674609</c:v>
                </c:pt>
                <c:pt idx="15">
                  <c:v>840901.21825633547</c:v>
                </c:pt>
                <c:pt idx="16">
                  <c:v>862774.95238599239</c:v>
                </c:pt>
                <c:pt idx="17">
                  <c:v>597952.29803208204</c:v>
                </c:pt>
                <c:pt idx="18">
                  <c:v>1145441.0003223976</c:v>
                </c:pt>
                <c:pt idx="19">
                  <c:v>1066599.5764966279</c:v>
                </c:pt>
                <c:pt idx="20">
                  <c:v>742121.50003799412</c:v>
                </c:pt>
                <c:pt idx="21">
                  <c:v>1076753.7870957502</c:v>
                </c:pt>
                <c:pt idx="22">
                  <c:v>1406577.8541137183</c:v>
                </c:pt>
                <c:pt idx="23">
                  <c:v>1449078.5537231453</c:v>
                </c:pt>
                <c:pt idx="24">
                  <c:v>1296318.9298544733</c:v>
                </c:pt>
                <c:pt idx="25">
                  <c:v>1425272.8351559395</c:v>
                </c:pt>
                <c:pt idx="26">
                  <c:v>1547287.5212167529</c:v>
                </c:pt>
                <c:pt idx="27">
                  <c:v>1650797.5672826688</c:v>
                </c:pt>
                <c:pt idx="28">
                  <c:v>1760652.4869130584</c:v>
                </c:pt>
                <c:pt idx="29">
                  <c:v>1895288.45344728</c:v>
                </c:pt>
                <c:pt idx="30">
                  <c:v>2018605.1217821441</c:v>
                </c:pt>
                <c:pt idx="31">
                  <c:v>2139244.1164570572</c:v>
                </c:pt>
              </c:numCache>
            </c:numRef>
          </c:val>
          <c:smooth val="0"/>
          <c:extLst>
            <c:ext xmlns:c16="http://schemas.microsoft.com/office/drawing/2014/chart" uri="{C3380CC4-5D6E-409C-BE32-E72D297353CC}">
              <c16:uniqueId val="{00000000-B564-47E2-A92A-BBF66E7CAEB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086571233810499E-2"/>
                <c:y val="0.3336781609195402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Natural</a:t>
            </a:r>
            <a:r>
              <a:rPr lang="en-US" baseline="0"/>
              <a:t> Gas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Forecast_Main!$H$106:$AM$106</c:f>
              <c:numCache>
                <c:formatCode>#,##0</c:formatCode>
                <c:ptCount val="32"/>
                <c:pt idx="0">
                  <c:v>136671</c:v>
                </c:pt>
                <c:pt idx="1">
                  <c:v>164875</c:v>
                </c:pt>
                <c:pt idx="2">
                  <c:v>569688</c:v>
                </c:pt>
                <c:pt idx="3">
                  <c:v>641005</c:v>
                </c:pt>
                <c:pt idx="4">
                  <c:v>653628</c:v>
                </c:pt>
                <c:pt idx="5">
                  <c:v>764053</c:v>
                </c:pt>
                <c:pt idx="6">
                  <c:v>715854</c:v>
                </c:pt>
                <c:pt idx="7">
                  <c:v>641309</c:v>
                </c:pt>
                <c:pt idx="8">
                  <c:v>656068</c:v>
                </c:pt>
                <c:pt idx="9">
                  <c:v>781791</c:v>
                </c:pt>
                <c:pt idx="10">
                  <c:v>796050</c:v>
                </c:pt>
                <c:pt idx="11">
                  <c:v>857405</c:v>
                </c:pt>
                <c:pt idx="12">
                  <c:v>794598</c:v>
                </c:pt>
                <c:pt idx="13">
                  <c:v>838419</c:v>
                </c:pt>
                <c:pt idx="14">
                  <c:v>864575</c:v>
                </c:pt>
                <c:pt idx="15">
                  <c:v>816268</c:v>
                </c:pt>
                <c:pt idx="16">
                  <c:v>833581</c:v>
                </c:pt>
                <c:pt idx="17">
                  <c:v>800387</c:v>
                </c:pt>
                <c:pt idx="18">
                  <c:v>807804</c:v>
                </c:pt>
                <c:pt idx="19">
                  <c:v>848580</c:v>
                </c:pt>
                <c:pt idx="20">
                  <c:v>828832</c:v>
                </c:pt>
                <c:pt idx="21">
                  <c:v>885724</c:v>
                </c:pt>
                <c:pt idx="22">
                  <c:v>916185</c:v>
                </c:pt>
                <c:pt idx="23">
                  <c:v>911758</c:v>
                </c:pt>
                <c:pt idx="24">
                  <c:v>911715.20000000007</c:v>
                </c:pt>
                <c:pt idx="25">
                  <c:v>974296.4</c:v>
                </c:pt>
                <c:pt idx="26">
                  <c:v>1007803.5000000001</c:v>
                </c:pt>
                <c:pt idx="27">
                  <c:v>1002933.8</c:v>
                </c:pt>
                <c:pt idx="28">
                  <c:v>1021121.0240000002</c:v>
                </c:pt>
                <c:pt idx="29">
                  <c:v>1091211.9680000001</c:v>
                </c:pt>
                <c:pt idx="30">
                  <c:v>1128739.9200000002</c:v>
                </c:pt>
                <c:pt idx="31">
                  <c:v>1123285.8560000001</c:v>
                </c:pt>
              </c:numCache>
            </c:numRef>
          </c:val>
          <c:smooth val="0"/>
          <c:extLst>
            <c:ext xmlns:c16="http://schemas.microsoft.com/office/drawing/2014/chart" uri="{C3380CC4-5D6E-409C-BE32-E72D297353CC}">
              <c16:uniqueId val="{00000000-DC3C-4DD4-8E1C-7149D58AD77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Liquified Petroleum</a:t>
            </a:r>
            <a:r>
              <a:rPr lang="en-US" baseline="0"/>
              <a:t> Gas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Forecast_Main!$H$109:$AM$109</c:f>
              <c:numCache>
                <c:formatCode>#,##0</c:formatCode>
                <c:ptCount val="32"/>
                <c:pt idx="0">
                  <c:v>18821</c:v>
                </c:pt>
                <c:pt idx="1">
                  <c:v>18876</c:v>
                </c:pt>
                <c:pt idx="2">
                  <c:v>7995</c:v>
                </c:pt>
                <c:pt idx="3">
                  <c:v>19358</c:v>
                </c:pt>
                <c:pt idx="4">
                  <c:v>20826</c:v>
                </c:pt>
                <c:pt idx="5">
                  <c:v>43505</c:v>
                </c:pt>
                <c:pt idx="6">
                  <c:v>24333</c:v>
                </c:pt>
                <c:pt idx="7">
                  <c:v>39627</c:v>
                </c:pt>
                <c:pt idx="8">
                  <c:v>138064</c:v>
                </c:pt>
                <c:pt idx="9">
                  <c:v>152677</c:v>
                </c:pt>
                <c:pt idx="10">
                  <c:v>162962</c:v>
                </c:pt>
                <c:pt idx="11">
                  <c:v>286715</c:v>
                </c:pt>
                <c:pt idx="12">
                  <c:v>495110</c:v>
                </c:pt>
                <c:pt idx="13">
                  <c:v>365157</c:v>
                </c:pt>
                <c:pt idx="14">
                  <c:v>486957</c:v>
                </c:pt>
                <c:pt idx="15">
                  <c:v>708353</c:v>
                </c:pt>
                <c:pt idx="16">
                  <c:v>675568</c:v>
                </c:pt>
                <c:pt idx="17">
                  <c:v>236707</c:v>
                </c:pt>
                <c:pt idx="18">
                  <c:v>229332</c:v>
                </c:pt>
                <c:pt idx="19">
                  <c:v>333561</c:v>
                </c:pt>
                <c:pt idx="20">
                  <c:v>419595</c:v>
                </c:pt>
                <c:pt idx="21">
                  <c:v>691611</c:v>
                </c:pt>
                <c:pt idx="22">
                  <c:v>534231</c:v>
                </c:pt>
                <c:pt idx="23">
                  <c:v>798824</c:v>
                </c:pt>
                <c:pt idx="24">
                  <c:v>763831.5625</c:v>
                </c:pt>
                <c:pt idx="25">
                  <c:v>871405.48828125</c:v>
                </c:pt>
                <c:pt idx="26">
                  <c:v>927591.26586914063</c:v>
                </c:pt>
                <c:pt idx="27">
                  <c:v>1050516.3489532471</c:v>
                </c:pt>
                <c:pt idx="28">
                  <c:v>1129170.2080011368</c:v>
                </c:pt>
                <c:pt idx="29">
                  <c:v>1243338.534720242</c:v>
                </c:pt>
                <c:pt idx="30">
                  <c:v>1359567.611732427</c:v>
                </c:pt>
                <c:pt idx="31">
                  <c:v>1494560.219814704</c:v>
                </c:pt>
              </c:numCache>
            </c:numRef>
          </c:val>
          <c:smooth val="0"/>
          <c:extLst>
            <c:ext xmlns:c16="http://schemas.microsoft.com/office/drawing/2014/chart" uri="{C3380CC4-5D6E-409C-BE32-E72D297353CC}">
              <c16:uniqueId val="{00000000-1CC7-49D3-BB79-817141FEE9A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KWh per Vehicle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trendline>
            <c:spPr>
              <a:ln w="19050" cap="rnd">
                <a:solidFill>
                  <a:srgbClr val="C00000"/>
                </a:solidFill>
                <a:prstDash val="dash"/>
              </a:ln>
              <a:effectLst/>
            </c:spPr>
            <c:trendlineType val="linear"/>
            <c:dispRSqr val="0"/>
            <c:dispEq val="0"/>
          </c:trendline>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Forecast_Main!$H$98:$AM$98</c:f>
              <c:numCache>
                <c:formatCode>#,##0</c:formatCode>
                <c:ptCount val="32"/>
                <c:pt idx="0">
                  <c:v>2518.7646550944532</c:v>
                </c:pt>
                <c:pt idx="1">
                  <c:v>3581.8518980006315</c:v>
                </c:pt>
                <c:pt idx="2">
                  <c:v>4523.5182236514111</c:v>
                </c:pt>
                <c:pt idx="3">
                  <c:v>3880.6184943280955</c:v>
                </c:pt>
                <c:pt idx="4">
                  <c:v>2664.8999598607561</c:v>
                </c:pt>
                <c:pt idx="5">
                  <c:v>3135.414235884999</c:v>
                </c:pt>
                <c:pt idx="6">
                  <c:v>3936.0447138751697</c:v>
                </c:pt>
                <c:pt idx="7">
                  <c:v>3534.4502364106656</c:v>
                </c:pt>
                <c:pt idx="8">
                  <c:v>2352.4911964869798</c:v>
                </c:pt>
                <c:pt idx="9">
                  <c:v>3134.5033230742602</c:v>
                </c:pt>
                <c:pt idx="10">
                  <c:v>3890.7660613044568</c:v>
                </c:pt>
                <c:pt idx="11">
                  <c:v>4472.9699715349579</c:v>
                </c:pt>
                <c:pt idx="12">
                  <c:v>2810.1888195582055</c:v>
                </c:pt>
                <c:pt idx="13">
                  <c:v>3297.8076754604785</c:v>
                </c:pt>
                <c:pt idx="14">
                  <c:v>3970.1283790970679</c:v>
                </c:pt>
                <c:pt idx="15">
                  <c:v>3679.2516796519812</c:v>
                </c:pt>
                <c:pt idx="16">
                  <c:v>3672.288638268968</c:v>
                </c:pt>
                <c:pt idx="17">
                  <c:v>2529.9920360572</c:v>
                </c:pt>
                <c:pt idx="18">
                  <c:v>4689.8668097253894</c:v>
                </c:pt>
                <c:pt idx="19">
                  <c:v>4130.6872867041984</c:v>
                </c:pt>
                <c:pt idx="20">
                  <c:v>2710.8248432662158</c:v>
                </c:pt>
                <c:pt idx="21">
                  <c:v>3699.331662739236</c:v>
                </c:pt>
                <c:pt idx="22">
                  <c:v>4455.763903679087</c:v>
                </c:pt>
                <c:pt idx="23">
                  <c:v>4226.0305650801674</c:v>
                </c:pt>
                <c:pt idx="24">
                  <c:v>3585.4400807600091</c:v>
                </c:pt>
                <c:pt idx="25">
                  <c:v>3585.4400807600091</c:v>
                </c:pt>
                <c:pt idx="26">
                  <c:v>3585.4400807600091</c:v>
                </c:pt>
                <c:pt idx="27">
                  <c:v>3585.4400807600091</c:v>
                </c:pt>
                <c:pt idx="28">
                  <c:v>3620.4404803517436</c:v>
                </c:pt>
                <c:pt idx="29">
                  <c:v>3620.4404803517436</c:v>
                </c:pt>
                <c:pt idx="30">
                  <c:v>3620.4404803517436</c:v>
                </c:pt>
                <c:pt idx="31">
                  <c:v>3620.4404803517436</c:v>
                </c:pt>
              </c:numCache>
            </c:numRef>
          </c:val>
          <c:smooth val="0"/>
          <c:extLst>
            <c:ext xmlns:c16="http://schemas.microsoft.com/office/drawing/2014/chart" uri="{C3380CC4-5D6E-409C-BE32-E72D297353CC}">
              <c16:uniqueId val="{00000000-7E24-41CA-B0AA-5D8256A4D736}"/>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2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Off-Road</a:t>
            </a:r>
            <a:r>
              <a:rPr lang="en-US" baseline="0"/>
              <a:t> Electricity</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Forecast_Main!$H$100:$AM$100</c:f>
              <c:numCache>
                <c:formatCode>#,##0</c:formatCode>
                <c:ptCount val="32"/>
                <c:pt idx="0">
                  <c:v>0</c:v>
                </c:pt>
                <c:pt idx="1">
                  <c:v>0</c:v>
                </c:pt>
                <c:pt idx="2">
                  <c:v>0</c:v>
                </c:pt>
                <c:pt idx="3">
                  <c:v>0</c:v>
                </c:pt>
                <c:pt idx="4">
                  <c:v>0</c:v>
                </c:pt>
                <c:pt idx="5">
                  <c:v>0</c:v>
                </c:pt>
                <c:pt idx="6">
                  <c:v>0</c:v>
                </c:pt>
                <c:pt idx="7">
                  <c:v>0</c:v>
                </c:pt>
                <c:pt idx="8">
                  <c:v>431079</c:v>
                </c:pt>
                <c:pt idx="9">
                  <c:v>422832</c:v>
                </c:pt>
                <c:pt idx="10">
                  <c:v>440204</c:v>
                </c:pt>
                <c:pt idx="11">
                  <c:v>433671</c:v>
                </c:pt>
                <c:pt idx="12">
                  <c:v>477625</c:v>
                </c:pt>
                <c:pt idx="13">
                  <c:v>490452</c:v>
                </c:pt>
                <c:pt idx="14">
                  <c:v>605468</c:v>
                </c:pt>
                <c:pt idx="15">
                  <c:v>647037</c:v>
                </c:pt>
                <c:pt idx="16">
                  <c:v>690933</c:v>
                </c:pt>
                <c:pt idx="17">
                  <c:v>710727</c:v>
                </c:pt>
                <c:pt idx="18">
                  <c:v>872188</c:v>
                </c:pt>
                <c:pt idx="19">
                  <c:v>962153</c:v>
                </c:pt>
                <c:pt idx="20">
                  <c:v>965691</c:v>
                </c:pt>
                <c:pt idx="21">
                  <c:v>1281340</c:v>
                </c:pt>
                <c:pt idx="22">
                  <c:v>1319091</c:v>
                </c:pt>
                <c:pt idx="23">
                  <c:v>1419333</c:v>
                </c:pt>
                <c:pt idx="24">
                  <c:v>1448536.5</c:v>
                </c:pt>
                <c:pt idx="25">
                  <c:v>1922010</c:v>
                </c:pt>
                <c:pt idx="26">
                  <c:v>1978636.5</c:v>
                </c:pt>
                <c:pt idx="27">
                  <c:v>2128999.5</c:v>
                </c:pt>
                <c:pt idx="28">
                  <c:v>2172804.75</c:v>
                </c:pt>
                <c:pt idx="29">
                  <c:v>2883015</c:v>
                </c:pt>
                <c:pt idx="30">
                  <c:v>2967954.75</c:v>
                </c:pt>
                <c:pt idx="31">
                  <c:v>3193499.25</c:v>
                </c:pt>
              </c:numCache>
            </c:numRef>
          </c:val>
          <c:smooth val="0"/>
          <c:extLst>
            <c:ext xmlns:c16="http://schemas.microsoft.com/office/drawing/2014/chart" uri="{C3380CC4-5D6E-409C-BE32-E72D297353CC}">
              <c16:uniqueId val="{00000000-B180-4167-973B-2EB7AE9FFD6B}"/>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086571233810499E-2"/>
                <c:y val="0.3336781609195402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Biogas Blend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Forecast_Main!$H$74:$AE$74</c:f>
              <c:strCache>
                <c:ptCount val="24"/>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strCache>
            </c:strRef>
          </c:cat>
          <c:val>
            <c:numRef>
              <c:f>Forecast_Main!$H$105:$AE$105</c:f>
              <c:numCache>
                <c:formatCode>0.0%</c:formatCode>
                <c:ptCount val="24"/>
                <c:pt idx="0">
                  <c:v>0.64920136678593121</c:v>
                </c:pt>
                <c:pt idx="1">
                  <c:v>0.49337983320697498</c:v>
                </c:pt>
                <c:pt idx="2">
                  <c:v>0.55477910716041057</c:v>
                </c:pt>
                <c:pt idx="3">
                  <c:v>0.6684518841506697</c:v>
                </c:pt>
                <c:pt idx="4">
                  <c:v>0.64124547907984353</c:v>
                </c:pt>
                <c:pt idx="5">
                  <c:v>0.70583061646247058</c:v>
                </c:pt>
                <c:pt idx="6">
                  <c:v>0.6520086498084805</c:v>
                </c:pt>
                <c:pt idx="7">
                  <c:v>0.68001384667921394</c:v>
                </c:pt>
                <c:pt idx="8">
                  <c:v>0.41432747824920585</c:v>
                </c:pt>
                <c:pt idx="9">
                  <c:v>0.55601816853865038</c:v>
                </c:pt>
                <c:pt idx="10">
                  <c:v>0.5958017712455248</c:v>
                </c:pt>
                <c:pt idx="11">
                  <c:v>0.62809290825222619</c:v>
                </c:pt>
                <c:pt idx="12">
                  <c:v>0.63391299751572494</c:v>
                </c:pt>
                <c:pt idx="13">
                  <c:v>0.66258278975070939</c:v>
                </c:pt>
                <c:pt idx="14">
                  <c:v>0.64416042564265674</c:v>
                </c:pt>
                <c:pt idx="15">
                  <c:v>0.7447443731715564</c:v>
                </c:pt>
                <c:pt idx="16">
                  <c:v>0.78592122421216415</c:v>
                </c:pt>
                <c:pt idx="17">
                  <c:v>0.88568405034064768</c:v>
                </c:pt>
                <c:pt idx="18">
                  <c:v>0.94136077563369336</c:v>
                </c:pt>
                <c:pt idx="19">
                  <c:v>0.93672841688467789</c:v>
                </c:pt>
                <c:pt idx="20">
                  <c:v>0.8274125516389329</c:v>
                </c:pt>
                <c:pt idx="21">
                  <c:v>0.84640023302970224</c:v>
                </c:pt>
                <c:pt idx="22">
                  <c:v>0.95767994455268313</c:v>
                </c:pt>
                <c:pt idx="23">
                  <c:v>0.9897900539397515</c:v>
                </c:pt>
              </c:numCache>
            </c:numRef>
          </c:val>
          <c:extLst>
            <c:ext xmlns:c16="http://schemas.microsoft.com/office/drawing/2014/chart" uri="{C3380CC4-5D6E-409C-BE32-E72D297353CC}">
              <c16:uniqueId val="{00000000-7D61-48B1-8CDF-2A0743F59DA7}"/>
            </c:ext>
          </c:extLst>
        </c:ser>
        <c:dLbls>
          <c:showLegendKey val="0"/>
          <c:showVal val="0"/>
          <c:showCatName val="0"/>
          <c:showSerName val="0"/>
          <c:showPercent val="0"/>
          <c:showBubbleSize val="0"/>
        </c:dLbls>
        <c:gapWidth val="219"/>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Forecast_Main!$H$118:$AM$118</c:f>
              <c:numCache>
                <c:formatCode>#,##0</c:formatCode>
                <c:ptCount val="32"/>
                <c:pt idx="0">
                  <c:v>138645.70000000001</c:v>
                </c:pt>
                <c:pt idx="1">
                  <c:v>118783.40000000001</c:v>
                </c:pt>
                <c:pt idx="2">
                  <c:v>134538.4</c:v>
                </c:pt>
                <c:pt idx="3">
                  <c:v>107971.2</c:v>
                </c:pt>
                <c:pt idx="4">
                  <c:v>110453.3</c:v>
                </c:pt>
                <c:pt idx="5">
                  <c:v>116910.40000000001</c:v>
                </c:pt>
                <c:pt idx="6">
                  <c:v>131067</c:v>
                </c:pt>
                <c:pt idx="7">
                  <c:v>121246.8</c:v>
                </c:pt>
                <c:pt idx="8">
                  <c:v>116865.8</c:v>
                </c:pt>
                <c:pt idx="9">
                  <c:v>113534.5</c:v>
                </c:pt>
                <c:pt idx="10">
                  <c:v>134719.80000000002</c:v>
                </c:pt>
                <c:pt idx="11">
                  <c:v>130007.5</c:v>
                </c:pt>
                <c:pt idx="12">
                  <c:v>108480.1</c:v>
                </c:pt>
                <c:pt idx="13">
                  <c:v>127109.7</c:v>
                </c:pt>
                <c:pt idx="14">
                  <c:v>146323.4</c:v>
                </c:pt>
                <c:pt idx="15">
                  <c:v>138932.29999999999</c:v>
                </c:pt>
                <c:pt idx="16">
                  <c:v>122550.39999999999</c:v>
                </c:pt>
                <c:pt idx="17">
                  <c:v>108268.5</c:v>
                </c:pt>
                <c:pt idx="18">
                  <c:v>133983.20000000001</c:v>
                </c:pt>
                <c:pt idx="19">
                  <c:v>123386</c:v>
                </c:pt>
                <c:pt idx="20">
                  <c:v>108492.5</c:v>
                </c:pt>
                <c:pt idx="21">
                  <c:v>150528.90000000002</c:v>
                </c:pt>
                <c:pt idx="22">
                  <c:v>143834.5</c:v>
                </c:pt>
                <c:pt idx="23">
                  <c:v>130238.9</c:v>
                </c:pt>
                <c:pt idx="24">
                  <c:v>115262.6</c:v>
                </c:pt>
                <c:pt idx="25">
                  <c:v>116485.80597949008</c:v>
                </c:pt>
                <c:pt idx="26">
                  <c:v>136768.94766943782</c:v>
                </c:pt>
                <c:pt idx="27">
                  <c:v>119205.34023507831</c:v>
                </c:pt>
                <c:pt idx="28">
                  <c:v>121366.33089591404</c:v>
                </c:pt>
                <c:pt idx="29">
                  <c:v>116944.49163341604</c:v>
                </c:pt>
                <c:pt idx="30">
                  <c:v>138041.84553499808</c:v>
                </c:pt>
                <c:pt idx="31">
                  <c:v>120590.25095937539</c:v>
                </c:pt>
              </c:numCache>
            </c:numRef>
          </c:val>
          <c:smooth val="0"/>
          <c:extLst>
            <c:ext xmlns:c16="http://schemas.microsoft.com/office/drawing/2014/chart" uri="{C3380CC4-5D6E-409C-BE32-E72D297353CC}">
              <c16:uniqueId val="{00000000-48DF-46DB-8C9D-892C30F3B25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1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Forecast_Main!$H$119:$AM$119</c:f>
              <c:numCache>
                <c:formatCode>#,##0</c:formatCode>
                <c:ptCount val="32"/>
                <c:pt idx="0">
                  <c:v>58364.7</c:v>
                </c:pt>
                <c:pt idx="1">
                  <c:v>63917.599999999999</c:v>
                </c:pt>
                <c:pt idx="2">
                  <c:v>75239.95</c:v>
                </c:pt>
                <c:pt idx="3">
                  <c:v>68933.55</c:v>
                </c:pt>
                <c:pt idx="4">
                  <c:v>56946.8</c:v>
                </c:pt>
                <c:pt idx="5">
                  <c:v>82476.800000000003</c:v>
                </c:pt>
                <c:pt idx="6">
                  <c:v>90074.85</c:v>
                </c:pt>
                <c:pt idx="7">
                  <c:v>87098.014302230004</c:v>
                </c:pt>
                <c:pt idx="8">
                  <c:v>72723.646281665031</c:v>
                </c:pt>
                <c:pt idx="9">
                  <c:v>87693.219200915511</c:v>
                </c:pt>
                <c:pt idx="10">
                  <c:v>100409.03239736639</c:v>
                </c:pt>
                <c:pt idx="11">
                  <c:v>90605.683479329469</c:v>
                </c:pt>
                <c:pt idx="12">
                  <c:v>81721.490345357786</c:v>
                </c:pt>
                <c:pt idx="13">
                  <c:v>120443.8281439712</c:v>
                </c:pt>
                <c:pt idx="14">
                  <c:v>123711.940061976</c:v>
                </c:pt>
                <c:pt idx="15">
                  <c:v>115171.98353013491</c:v>
                </c:pt>
                <c:pt idx="16">
                  <c:v>116443.4122098935</c:v>
                </c:pt>
                <c:pt idx="17">
                  <c:v>108456.87277887369</c:v>
                </c:pt>
                <c:pt idx="18">
                  <c:v>124826.43780035635</c:v>
                </c:pt>
                <c:pt idx="19">
                  <c:v>122814.49562892334</c:v>
                </c:pt>
                <c:pt idx="20">
                  <c:v>100737.09304071953</c:v>
                </c:pt>
                <c:pt idx="21">
                  <c:v>141225.75611236549</c:v>
                </c:pt>
                <c:pt idx="22">
                  <c:v>132899.4167849464</c:v>
                </c:pt>
                <c:pt idx="23">
                  <c:v>132060.06227509849</c:v>
                </c:pt>
                <c:pt idx="24">
                  <c:v>116845.74225544379</c:v>
                </c:pt>
                <c:pt idx="25">
                  <c:v>128935.55797229709</c:v>
                </c:pt>
                <c:pt idx="26">
                  <c:v>140802.04613323606</c:v>
                </c:pt>
                <c:pt idx="27">
                  <c:v>123671.9406889893</c:v>
                </c:pt>
                <c:pt idx="28">
                  <c:v>144445.78841776575</c:v>
                </c:pt>
                <c:pt idx="29">
                  <c:v>138735.64286630574</c:v>
                </c:pt>
                <c:pt idx="30">
                  <c:v>152125.96640149638</c:v>
                </c:pt>
                <c:pt idx="31">
                  <c:v>133900.34336857212</c:v>
                </c:pt>
              </c:numCache>
            </c:numRef>
          </c:val>
          <c:smooth val="0"/>
          <c:extLst>
            <c:ext xmlns:c16="http://schemas.microsoft.com/office/drawing/2014/chart" uri="{C3380CC4-5D6E-409C-BE32-E72D297353CC}">
              <c16:uniqueId val="{00000000-F6A9-44FE-9D3F-936C6E802DF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 Diesel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Forecast_Main!$H$120:$AM$120</c:f>
              <c:numCache>
                <c:formatCode>#,##0</c:formatCode>
                <c:ptCount val="32"/>
                <c:pt idx="0">
                  <c:v>0</c:v>
                </c:pt>
                <c:pt idx="1">
                  <c:v>0</c:v>
                </c:pt>
                <c:pt idx="2">
                  <c:v>0</c:v>
                </c:pt>
                <c:pt idx="3">
                  <c:v>0</c:v>
                </c:pt>
                <c:pt idx="4">
                  <c:v>0</c:v>
                </c:pt>
                <c:pt idx="5">
                  <c:v>0</c:v>
                </c:pt>
                <c:pt idx="6">
                  <c:v>0</c:v>
                </c:pt>
                <c:pt idx="7">
                  <c:v>2863.335697769985</c:v>
                </c:pt>
                <c:pt idx="8">
                  <c:v>1949.0037183349648</c:v>
                </c:pt>
                <c:pt idx="9">
                  <c:v>1637.830799084486</c:v>
                </c:pt>
                <c:pt idx="10">
                  <c:v>1800.9176026336174</c:v>
                </c:pt>
                <c:pt idx="11">
                  <c:v>4037.2165206705317</c:v>
                </c:pt>
                <c:pt idx="12">
                  <c:v>907.0096546422235</c:v>
                </c:pt>
                <c:pt idx="13">
                  <c:v>3104.2718560287944</c:v>
                </c:pt>
                <c:pt idx="14">
                  <c:v>98816.909938023993</c:v>
                </c:pt>
                <c:pt idx="15">
                  <c:v>38391.316469865094</c:v>
                </c:pt>
                <c:pt idx="16">
                  <c:v>64217.887790106492</c:v>
                </c:pt>
                <c:pt idx="17">
                  <c:v>53572.57722112631</c:v>
                </c:pt>
                <c:pt idx="18">
                  <c:v>854.96219964365173</c:v>
                </c:pt>
                <c:pt idx="19">
                  <c:v>29038.054371076658</c:v>
                </c:pt>
                <c:pt idx="20">
                  <c:v>28259.95695928048</c:v>
                </c:pt>
                <c:pt idx="21">
                  <c:v>12006.2938876345</c:v>
                </c:pt>
                <c:pt idx="22">
                  <c:v>19880.883215053596</c:v>
                </c:pt>
                <c:pt idx="23">
                  <c:v>14331.787724901529</c:v>
                </c:pt>
                <c:pt idx="24">
                  <c:v>90059.857744556197</c:v>
                </c:pt>
                <c:pt idx="25">
                  <c:v>28477.168330040626</c:v>
                </c:pt>
                <c:pt idx="26">
                  <c:v>31098.043332715213</c:v>
                </c:pt>
                <c:pt idx="27">
                  <c:v>27314.626997308558</c:v>
                </c:pt>
                <c:pt idx="28">
                  <c:v>51672.769956933967</c:v>
                </c:pt>
                <c:pt idx="29">
                  <c:v>49630.07254960054</c:v>
                </c:pt>
                <c:pt idx="30">
                  <c:v>54420.209494830611</c:v>
                </c:pt>
                <c:pt idx="31">
                  <c:v>47900.334899537374</c:v>
                </c:pt>
              </c:numCache>
            </c:numRef>
          </c:val>
          <c:smooth val="0"/>
          <c:extLst>
            <c:ext xmlns:c16="http://schemas.microsoft.com/office/drawing/2014/chart" uri="{C3380CC4-5D6E-409C-BE32-E72D297353CC}">
              <c16:uniqueId val="{00000000-C742-46D1-B14C-69EADA1742AA}"/>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On-road Electricity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Forecast_Main!$H$121:$AM$121</c:f>
              <c:numCache>
                <c:formatCode>#,##0</c:formatCode>
                <c:ptCount val="32"/>
                <c:pt idx="0">
                  <c:v>8894</c:v>
                </c:pt>
                <c:pt idx="1">
                  <c:v>9074</c:v>
                </c:pt>
                <c:pt idx="2">
                  <c:v>9257</c:v>
                </c:pt>
                <c:pt idx="3">
                  <c:v>9214</c:v>
                </c:pt>
                <c:pt idx="4">
                  <c:v>10950</c:v>
                </c:pt>
                <c:pt idx="5">
                  <c:v>11123</c:v>
                </c:pt>
                <c:pt idx="6">
                  <c:v>11396</c:v>
                </c:pt>
                <c:pt idx="7">
                  <c:v>11247</c:v>
                </c:pt>
                <c:pt idx="8">
                  <c:v>14761</c:v>
                </c:pt>
                <c:pt idx="9">
                  <c:v>14983</c:v>
                </c:pt>
                <c:pt idx="10">
                  <c:v>15191</c:v>
                </c:pt>
                <c:pt idx="11">
                  <c:v>15437</c:v>
                </c:pt>
                <c:pt idx="12">
                  <c:v>19504</c:v>
                </c:pt>
                <c:pt idx="13">
                  <c:v>19817</c:v>
                </c:pt>
                <c:pt idx="14">
                  <c:v>20283</c:v>
                </c:pt>
                <c:pt idx="15">
                  <c:v>20258</c:v>
                </c:pt>
                <c:pt idx="16">
                  <c:v>26401</c:v>
                </c:pt>
                <c:pt idx="17">
                  <c:v>25904</c:v>
                </c:pt>
                <c:pt idx="18">
                  <c:v>26824</c:v>
                </c:pt>
                <c:pt idx="19">
                  <c:v>26690</c:v>
                </c:pt>
                <c:pt idx="20">
                  <c:v>34896.5</c:v>
                </c:pt>
                <c:pt idx="21">
                  <c:v>35682.5</c:v>
                </c:pt>
                <c:pt idx="22">
                  <c:v>44713</c:v>
                </c:pt>
                <c:pt idx="23">
                  <c:v>44982</c:v>
                </c:pt>
                <c:pt idx="24">
                  <c:v>49317.777481910001</c:v>
                </c:pt>
                <c:pt idx="25">
                  <c:v>54355.299192471612</c:v>
                </c:pt>
                <c:pt idx="26">
                  <c:v>59061.780190653204</c:v>
                </c:pt>
                <c:pt idx="27">
                  <c:v>63443.074509120168</c:v>
                </c:pt>
                <c:pt idx="28">
                  <c:v>66967.999394902639</c:v>
                </c:pt>
                <c:pt idx="29">
                  <c:v>71868.821494752454</c:v>
                </c:pt>
                <c:pt idx="30">
                  <c:v>76292.464429885367</c:v>
                </c:pt>
                <c:pt idx="31">
                  <c:v>81107.129632908182</c:v>
                </c:pt>
              </c:numCache>
            </c:numRef>
          </c:val>
          <c:smooth val="0"/>
          <c:extLst>
            <c:ext xmlns:c16="http://schemas.microsoft.com/office/drawing/2014/chart" uri="{C3380CC4-5D6E-409C-BE32-E72D297353CC}">
              <c16:uniqueId val="{00000000-66BB-4783-8CDF-2C653C01458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Off-Road</a:t>
            </a:r>
            <a:r>
              <a:rPr lang="en-US" baseline="0"/>
              <a:t> Electricity</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Forecast_Main!$H$75:$AM$75</c:f>
              <c:numCache>
                <c:formatCode>m/d/yyyy</c:formatCode>
                <c:ptCount val="32"/>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numCache>
            </c:numRef>
          </c:cat>
          <c:val>
            <c:numRef>
              <c:f>Forecast_Main!$H$100:$AM$100</c:f>
              <c:numCache>
                <c:formatCode>#,##0</c:formatCode>
                <c:ptCount val="32"/>
                <c:pt idx="0">
                  <c:v>0</c:v>
                </c:pt>
                <c:pt idx="1">
                  <c:v>0</c:v>
                </c:pt>
                <c:pt idx="2">
                  <c:v>0</c:v>
                </c:pt>
                <c:pt idx="3">
                  <c:v>0</c:v>
                </c:pt>
                <c:pt idx="4">
                  <c:v>0</c:v>
                </c:pt>
                <c:pt idx="5">
                  <c:v>0</c:v>
                </c:pt>
                <c:pt idx="6">
                  <c:v>0</c:v>
                </c:pt>
                <c:pt idx="7">
                  <c:v>0</c:v>
                </c:pt>
                <c:pt idx="8">
                  <c:v>431079</c:v>
                </c:pt>
                <c:pt idx="9">
                  <c:v>422832</c:v>
                </c:pt>
                <c:pt idx="10">
                  <c:v>440204</c:v>
                </c:pt>
                <c:pt idx="11">
                  <c:v>433671</c:v>
                </c:pt>
                <c:pt idx="12">
                  <c:v>477625</c:v>
                </c:pt>
                <c:pt idx="13">
                  <c:v>490452</c:v>
                </c:pt>
                <c:pt idx="14">
                  <c:v>605468</c:v>
                </c:pt>
                <c:pt idx="15">
                  <c:v>647037</c:v>
                </c:pt>
                <c:pt idx="16">
                  <c:v>690933</c:v>
                </c:pt>
                <c:pt idx="17">
                  <c:v>710727</c:v>
                </c:pt>
                <c:pt idx="18">
                  <c:v>872188</c:v>
                </c:pt>
                <c:pt idx="19">
                  <c:v>962153</c:v>
                </c:pt>
                <c:pt idx="20">
                  <c:v>965691</c:v>
                </c:pt>
                <c:pt idx="21">
                  <c:v>1281340</c:v>
                </c:pt>
                <c:pt idx="22">
                  <c:v>1319091</c:v>
                </c:pt>
                <c:pt idx="23">
                  <c:v>1419333</c:v>
                </c:pt>
                <c:pt idx="24">
                  <c:v>1448536.5</c:v>
                </c:pt>
                <c:pt idx="25">
                  <c:v>1922010</c:v>
                </c:pt>
                <c:pt idx="26">
                  <c:v>1978636.5</c:v>
                </c:pt>
                <c:pt idx="27">
                  <c:v>2128999.5</c:v>
                </c:pt>
                <c:pt idx="28">
                  <c:v>2172804.75</c:v>
                </c:pt>
                <c:pt idx="29">
                  <c:v>2883015</c:v>
                </c:pt>
                <c:pt idx="30">
                  <c:v>2967954.75</c:v>
                </c:pt>
                <c:pt idx="31">
                  <c:v>3193499.25</c:v>
                </c:pt>
              </c:numCache>
            </c:numRef>
          </c:val>
          <c:smooth val="0"/>
          <c:extLst>
            <c:ext xmlns:c16="http://schemas.microsoft.com/office/drawing/2014/chart" uri="{C3380CC4-5D6E-409C-BE32-E72D297353CC}">
              <c16:uniqueId val="{00000000-3A86-48B8-B4FC-CF156E57BAC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086571233810499E-2"/>
                <c:y val="0.3336781609195402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Non-residential KWH/Vehicle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Forecast_Main!$H$74:$AM$74</c:f>
              <c:strCache>
                <c:ptCount val="32"/>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strCache>
            </c:strRef>
          </c:cat>
          <c:val>
            <c:numRef>
              <c:f>Forecast_Main!$H$96:$AM$96</c:f>
              <c:numCache>
                <c:formatCode>#,##0</c:formatCode>
                <c:ptCount val="32"/>
                <c:pt idx="0">
                  <c:v>19.578472580491066</c:v>
                </c:pt>
                <c:pt idx="1">
                  <c:v>30.442154151141683</c:v>
                </c:pt>
                <c:pt idx="2">
                  <c:v>41.677385831661411</c:v>
                </c:pt>
                <c:pt idx="3">
                  <c:v>39.051580204452087</c:v>
                </c:pt>
                <c:pt idx="4">
                  <c:v>29.149962393162394</c:v>
                </c:pt>
                <c:pt idx="5">
                  <c:v>36.928984615384614</c:v>
                </c:pt>
                <c:pt idx="6">
                  <c:v>49.085996581196589</c:v>
                </c:pt>
                <c:pt idx="7">
                  <c:v>46.745369800569804</c:v>
                </c:pt>
                <c:pt idx="8">
                  <c:v>29.393126465910743</c:v>
                </c:pt>
                <c:pt idx="9">
                  <c:v>41.660890078593866</c:v>
                </c:pt>
                <c:pt idx="10">
                  <c:v>54.948733765484157</c:v>
                </c:pt>
                <c:pt idx="11">
                  <c:v>69.16521294496799</c:v>
                </c:pt>
                <c:pt idx="12">
                  <c:v>52.258120390720386</c:v>
                </c:pt>
                <c:pt idx="13">
                  <c:v>65.108240903540903</c:v>
                </c:pt>
                <c:pt idx="14">
                  <c:v>84.550853876678872</c:v>
                </c:pt>
                <c:pt idx="15">
                  <c:v>83.35232838827838</c:v>
                </c:pt>
                <c:pt idx="16">
                  <c:v>55.764454338502553</c:v>
                </c:pt>
                <c:pt idx="17">
                  <c:v>38.647950462631066</c:v>
                </c:pt>
                <c:pt idx="18">
                  <c:v>74.034245179790986</c:v>
                </c:pt>
                <c:pt idx="19">
                  <c:v>68.93842156233886</c:v>
                </c:pt>
                <c:pt idx="20">
                  <c:v>61.187727598221855</c:v>
                </c:pt>
                <c:pt idx="21">
                  <c:v>88.778073956616936</c:v>
                </c:pt>
                <c:pt idx="22">
                  <c:v>115.97198380426303</c:v>
                </c:pt>
                <c:pt idx="23">
                  <c:v>119.47615560133714</c:v>
                </c:pt>
                <c:pt idx="24">
                  <c:v>98.207836431091451</c:v>
                </c:pt>
                <c:pt idx="25">
                  <c:v>100.67566432997934</c:v>
                </c:pt>
                <c:pt idx="26">
                  <c:v>104.68113593860177</c:v>
                </c:pt>
                <c:pt idx="27">
                  <c:v>112.59887900161858</c:v>
                </c:pt>
                <c:pt idx="28">
                  <c:v>121.9805846715558</c:v>
                </c:pt>
                <c:pt idx="29">
                  <c:v>127.13783407631901</c:v>
                </c:pt>
                <c:pt idx="30">
                  <c:v>127.48369605202517</c:v>
                </c:pt>
                <c:pt idx="31">
                  <c:v>131.48630662378082</c:v>
                </c:pt>
              </c:numCache>
            </c:numRef>
          </c:val>
          <c:extLst>
            <c:ext xmlns:c16="http://schemas.microsoft.com/office/drawing/2014/chart" uri="{C3380CC4-5D6E-409C-BE32-E72D297353CC}">
              <c16:uniqueId val="{00000000-F54B-479B-B360-7A44C10B8321}"/>
            </c:ext>
          </c:extLst>
        </c:ser>
        <c:dLbls>
          <c:showLegendKey val="0"/>
          <c:showVal val="0"/>
          <c:showCatName val="0"/>
          <c:showSerName val="0"/>
          <c:showPercent val="0"/>
          <c:showBubbleSize val="0"/>
        </c:dLbls>
        <c:gapWidth val="219"/>
        <c:overlap val="-27"/>
        <c:axId val="1631319807"/>
        <c:axId val="1631315231"/>
      </c:barChart>
      <c:catAx>
        <c:axId val="16313198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4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1315231"/>
        <c:crosses val="autoZero"/>
        <c:auto val="1"/>
        <c:lblAlgn val="ctr"/>
        <c:lblOffset val="100"/>
        <c:noMultiLvlLbl val="0"/>
      </c:catAx>
      <c:valAx>
        <c:axId val="16313152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13198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Forecast_Main!$G$158</c:f>
              <c:strCache>
                <c:ptCount val="1"/>
                <c:pt idx="0">
                  <c:v>Non-residential credits</c:v>
                </c:pt>
              </c:strCache>
            </c:strRef>
          </c:tx>
          <c:spPr>
            <a:solidFill>
              <a:schemeClr val="accent1"/>
            </a:solidFill>
            <a:ln>
              <a:noFill/>
            </a:ln>
            <a:effectLst/>
          </c:spPr>
          <c:invertIfNegative val="0"/>
          <c:cat>
            <c:strRef>
              <c:f>Forecast_Main!$H$74:$AM$74</c:f>
              <c:strCache>
                <c:ptCount val="32"/>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pt idx="29">
                  <c:v>2023 Q2</c:v>
                </c:pt>
                <c:pt idx="30">
                  <c:v>2023 Q3</c:v>
                </c:pt>
                <c:pt idx="31">
                  <c:v>2023 Q4</c:v>
                </c:pt>
              </c:strCache>
            </c:strRef>
          </c:cat>
          <c:val>
            <c:numRef>
              <c:f>Forecast_Main!$H$158:$AM$158</c:f>
              <c:numCache>
                <c:formatCode>#,##0</c:formatCode>
                <c:ptCount val="32"/>
                <c:pt idx="0">
                  <c:v>321</c:v>
                </c:pt>
                <c:pt idx="1">
                  <c:v>500</c:v>
                </c:pt>
                <c:pt idx="2">
                  <c:v>684</c:v>
                </c:pt>
                <c:pt idx="3">
                  <c:v>640</c:v>
                </c:pt>
                <c:pt idx="4">
                  <c:v>649</c:v>
                </c:pt>
                <c:pt idx="5">
                  <c:v>822</c:v>
                </c:pt>
                <c:pt idx="6">
                  <c:v>1095</c:v>
                </c:pt>
                <c:pt idx="7">
                  <c:v>946</c:v>
                </c:pt>
                <c:pt idx="8">
                  <c:v>539</c:v>
                </c:pt>
                <c:pt idx="9">
                  <c:v>761</c:v>
                </c:pt>
                <c:pt idx="10">
                  <c:v>968</c:v>
                </c:pt>
                <c:pt idx="11">
                  <c:v>1214</c:v>
                </c:pt>
                <c:pt idx="12">
                  <c:v>1187</c:v>
                </c:pt>
                <c:pt idx="13">
                  <c:v>1500</c:v>
                </c:pt>
                <c:pt idx="14">
                  <c:v>1965</c:v>
                </c:pt>
                <c:pt idx="15">
                  <c:v>1940</c:v>
                </c:pt>
                <c:pt idx="16">
                  <c:v>1529</c:v>
                </c:pt>
                <c:pt idx="17">
                  <c:v>1032</c:v>
                </c:pt>
                <c:pt idx="18">
                  <c:v>1952</c:v>
                </c:pt>
                <c:pt idx="19">
                  <c:v>1818</c:v>
                </c:pt>
                <c:pt idx="20">
                  <c:v>1901</c:v>
                </c:pt>
                <c:pt idx="21">
                  <c:v>2687</c:v>
                </c:pt>
                <c:pt idx="22">
                  <c:v>5360</c:v>
                </c:pt>
                <c:pt idx="23">
                  <c:v>5630</c:v>
                </c:pt>
                <c:pt idx="24">
                  <c:v>5423</c:v>
                </c:pt>
                <c:pt idx="25">
                  <c:v>6459.5675351850223</c:v>
                </c:pt>
                <c:pt idx="26">
                  <c:v>7293.6578179606004</c:v>
                </c:pt>
                <c:pt idx="27">
                  <c:v>8303.3495078086271</c:v>
                </c:pt>
                <c:pt idx="28">
                  <c:v>9191.9194613869768</c:v>
                </c:pt>
                <c:pt idx="29">
                  <c:v>9836.3624916571425</c:v>
                </c:pt>
                <c:pt idx="30">
                  <c:v>10320.892223680799</c:v>
                </c:pt>
                <c:pt idx="31">
                  <c:v>11246.055506150355</c:v>
                </c:pt>
              </c:numCache>
            </c:numRef>
          </c:val>
          <c:extLst>
            <c:ext xmlns:c16="http://schemas.microsoft.com/office/drawing/2014/chart" uri="{C3380CC4-5D6E-409C-BE32-E72D297353CC}">
              <c16:uniqueId val="{00000000-E237-4318-B9E7-8FA4C234D73E}"/>
            </c:ext>
          </c:extLst>
        </c:ser>
        <c:dLbls>
          <c:showLegendKey val="0"/>
          <c:showVal val="0"/>
          <c:showCatName val="0"/>
          <c:showSerName val="0"/>
          <c:showPercent val="0"/>
          <c:showBubbleSize val="0"/>
        </c:dLbls>
        <c:gapWidth val="219"/>
        <c:overlap val="-27"/>
        <c:axId val="1383501999"/>
        <c:axId val="1383495343"/>
      </c:barChart>
      <c:catAx>
        <c:axId val="13835019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2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3495343"/>
        <c:crosses val="autoZero"/>
        <c:auto val="1"/>
        <c:lblAlgn val="ctr"/>
        <c:lblOffset val="100"/>
        <c:noMultiLvlLbl val="0"/>
      </c:catAx>
      <c:valAx>
        <c:axId val="13834953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35019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Deficit and Credit Trends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303657340535882"/>
          <c:y val="0.14674584195762891"/>
          <c:w val="0.8361187051487502"/>
          <c:h val="0.73278526220558493"/>
        </c:manualLayout>
      </c:layout>
      <c:lineChart>
        <c:grouping val="standard"/>
        <c:varyColors val="0"/>
        <c:ser>
          <c:idx val="0"/>
          <c:order val="0"/>
          <c:tx>
            <c:strRef>
              <c:f>'Table 3+4 - Credit'!$G$6</c:f>
              <c:strCache>
                <c:ptCount val="1"/>
                <c:pt idx="0">
                  <c:v>Fossil Deficit Total</c:v>
                </c:pt>
              </c:strCache>
            </c:strRef>
          </c:tx>
          <c:spPr>
            <a:ln w="28575" cap="rnd">
              <a:solidFill>
                <a:schemeClr val="accent1"/>
              </a:solidFill>
              <a:round/>
            </a:ln>
            <a:effectLst/>
          </c:spPr>
          <c:marker>
            <c:symbol val="none"/>
          </c:marker>
          <c:cat>
            <c:numRef>
              <c:f>'Table 3+4 - Credit'!$H$22:$AA$22</c:f>
              <c:numCache>
                <c:formatCode>General</c:formatCode>
                <c:ptCount val="8"/>
                <c:pt idx="0">
                  <c:v>2016</c:v>
                </c:pt>
                <c:pt idx="1">
                  <c:v>2017</c:v>
                </c:pt>
                <c:pt idx="2">
                  <c:v>2018</c:v>
                </c:pt>
                <c:pt idx="3">
                  <c:v>2019</c:v>
                </c:pt>
                <c:pt idx="4">
                  <c:v>2020</c:v>
                </c:pt>
                <c:pt idx="5">
                  <c:v>2021</c:v>
                </c:pt>
                <c:pt idx="6">
                  <c:v>2022</c:v>
                </c:pt>
                <c:pt idx="7">
                  <c:v>2023</c:v>
                </c:pt>
              </c:numCache>
            </c:numRef>
          </c:cat>
          <c:val>
            <c:numRef>
              <c:f>'Table 3+4 - Credit'!$H$21:$AA$21</c:f>
              <c:numCache>
                <c:formatCode>#,##0</c:formatCode>
                <c:ptCount val="8"/>
                <c:pt idx="0">
                  <c:v>594831.5</c:v>
                </c:pt>
                <c:pt idx="1">
                  <c:v>644372.30000000005</c:v>
                </c:pt>
                <c:pt idx="2">
                  <c:v>864883.15</c:v>
                </c:pt>
                <c:pt idx="3">
                  <c:v>1002020.25</c:v>
                </c:pt>
                <c:pt idx="4">
                  <c:v>1153903.8</c:v>
                </c:pt>
                <c:pt idx="5">
                  <c:v>1501919.05</c:v>
                </c:pt>
                <c:pt idx="6">
                  <c:v>1776504.7752262219</c:v>
                </c:pt>
                <c:pt idx="7">
                  <c:v>2079293.1393526755</c:v>
                </c:pt>
              </c:numCache>
            </c:numRef>
          </c:val>
          <c:smooth val="0"/>
          <c:extLst>
            <c:ext xmlns:c16="http://schemas.microsoft.com/office/drawing/2014/chart" uri="{C3380CC4-5D6E-409C-BE32-E72D297353CC}">
              <c16:uniqueId val="{00000000-BEC5-4D3A-9422-47BDB6A80E89}"/>
            </c:ext>
          </c:extLst>
        </c:ser>
        <c:ser>
          <c:idx val="1"/>
          <c:order val="1"/>
          <c:tx>
            <c:strRef>
              <c:f>'Table 3+4 - Credit'!$G$15</c:f>
              <c:strCache>
                <c:ptCount val="1"/>
                <c:pt idx="0">
                  <c:v>Alternative Credit Total</c:v>
                </c:pt>
              </c:strCache>
            </c:strRef>
          </c:tx>
          <c:spPr>
            <a:ln w="28575" cap="rnd">
              <a:solidFill>
                <a:schemeClr val="accent2"/>
              </a:solidFill>
              <a:round/>
            </a:ln>
            <a:effectLst/>
          </c:spPr>
          <c:marker>
            <c:symbol val="none"/>
          </c:marker>
          <c:cat>
            <c:numRef>
              <c:f>'Table 3+4 - Credit'!$H$22:$AA$22</c:f>
              <c:numCache>
                <c:formatCode>General</c:formatCode>
                <c:ptCount val="8"/>
                <c:pt idx="0">
                  <c:v>2016</c:v>
                </c:pt>
                <c:pt idx="1">
                  <c:v>2017</c:v>
                </c:pt>
                <c:pt idx="2">
                  <c:v>2018</c:v>
                </c:pt>
                <c:pt idx="3">
                  <c:v>2019</c:v>
                </c:pt>
                <c:pt idx="4">
                  <c:v>2020</c:v>
                </c:pt>
                <c:pt idx="5">
                  <c:v>2021</c:v>
                </c:pt>
                <c:pt idx="6">
                  <c:v>2022</c:v>
                </c:pt>
                <c:pt idx="7">
                  <c:v>2023</c:v>
                </c:pt>
              </c:numCache>
            </c:numRef>
          </c:cat>
          <c:val>
            <c:numRef>
              <c:f>'Table 3+4 - Credit'!$H$15:$AA$15</c:f>
              <c:numCache>
                <c:formatCode>#,##0</c:formatCode>
                <c:ptCount val="8"/>
                <c:pt idx="0">
                  <c:v>809410.5</c:v>
                </c:pt>
                <c:pt idx="1">
                  <c:v>855272.3</c:v>
                </c:pt>
                <c:pt idx="2">
                  <c:v>943646.15</c:v>
                </c:pt>
                <c:pt idx="3">
                  <c:v>1220755.25</c:v>
                </c:pt>
                <c:pt idx="4">
                  <c:v>1260557.8</c:v>
                </c:pt>
                <c:pt idx="5">
                  <c:v>1424082.05</c:v>
                </c:pt>
                <c:pt idx="6">
                  <c:v>1629783.0665325073</c:v>
                </c:pt>
                <c:pt idx="7">
                  <c:v>1898422.5536828765</c:v>
                </c:pt>
              </c:numCache>
            </c:numRef>
          </c:val>
          <c:smooth val="0"/>
          <c:extLst>
            <c:ext xmlns:c16="http://schemas.microsoft.com/office/drawing/2014/chart" uri="{C3380CC4-5D6E-409C-BE32-E72D297353CC}">
              <c16:uniqueId val="{00000002-BEC5-4D3A-9422-47BDB6A80E89}"/>
            </c:ext>
          </c:extLst>
        </c:ser>
        <c:dLbls>
          <c:showLegendKey val="0"/>
          <c:showVal val="0"/>
          <c:showCatName val="0"/>
          <c:showSerName val="0"/>
          <c:showPercent val="0"/>
          <c:showBubbleSize val="0"/>
        </c:dLbls>
        <c:smooth val="0"/>
        <c:axId val="1057025695"/>
        <c:axId val="1057024447"/>
      </c:lineChart>
      <c:catAx>
        <c:axId val="1057025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3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4447"/>
        <c:crosses val="autoZero"/>
        <c:auto val="1"/>
        <c:lblAlgn val="ctr"/>
        <c:lblOffset val="100"/>
        <c:noMultiLvlLbl val="0"/>
      </c:catAx>
      <c:valAx>
        <c:axId val="10570244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5695"/>
        <c:crosses val="autoZero"/>
        <c:crossBetween val="between"/>
        <c:dispUnits>
          <c:builtInUnit val="millions"/>
          <c:dispUnitsLbl>
            <c:layout>
              <c:manualLayout>
                <c:xMode val="edge"/>
                <c:yMode val="edge"/>
                <c:x val="2.2222222222222223E-2"/>
                <c:y val="0.35185185185185186"/>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2651060753723997"/>
          <c:y val="0.17606211237400016"/>
          <c:w val="0.52265353804631265"/>
          <c:h val="0.2819001322149682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Credit Bank</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'Table 3+4 - Credit'!$H$22:$AA$22</c:f>
              <c:numCache>
                <c:formatCode>General</c:formatCode>
                <c:ptCount val="8"/>
                <c:pt idx="0">
                  <c:v>2016</c:v>
                </c:pt>
                <c:pt idx="1">
                  <c:v>2017</c:v>
                </c:pt>
                <c:pt idx="2">
                  <c:v>2018</c:v>
                </c:pt>
                <c:pt idx="3">
                  <c:v>2019</c:v>
                </c:pt>
                <c:pt idx="4">
                  <c:v>2020</c:v>
                </c:pt>
                <c:pt idx="5">
                  <c:v>2021</c:v>
                </c:pt>
                <c:pt idx="6">
                  <c:v>2022</c:v>
                </c:pt>
                <c:pt idx="7">
                  <c:v>2023</c:v>
                </c:pt>
              </c:numCache>
            </c:numRef>
          </c:cat>
          <c:val>
            <c:numRef>
              <c:f>'Table 3+4 - Credit'!$H$17:$AA$17</c:f>
              <c:numCache>
                <c:formatCode>#,##0</c:formatCode>
                <c:ptCount val="8"/>
                <c:pt idx="0">
                  <c:v>214579</c:v>
                </c:pt>
                <c:pt idx="1">
                  <c:v>210900.00000000003</c:v>
                </c:pt>
                <c:pt idx="2">
                  <c:v>78763</c:v>
                </c:pt>
                <c:pt idx="3">
                  <c:v>218735</c:v>
                </c:pt>
                <c:pt idx="4">
                  <c:v>106653.99999999994</c:v>
                </c:pt>
                <c:pt idx="5">
                  <c:v>-77837</c:v>
                </c:pt>
                <c:pt idx="6">
                  <c:v>-146721.70869371458</c:v>
                </c:pt>
                <c:pt idx="7">
                  <c:v>-180870.58566979901</c:v>
                </c:pt>
              </c:numCache>
            </c:numRef>
          </c:val>
          <c:extLst>
            <c:ext xmlns:c16="http://schemas.microsoft.com/office/drawing/2014/chart" uri="{C3380CC4-5D6E-409C-BE32-E72D297353CC}">
              <c16:uniqueId val="{00000000-E6BD-4019-802B-C4416FFAC5D2}"/>
            </c:ext>
          </c:extLst>
        </c:ser>
        <c:dLbls>
          <c:showLegendKey val="0"/>
          <c:showVal val="0"/>
          <c:showCatName val="0"/>
          <c:showSerName val="0"/>
          <c:showPercent val="0"/>
          <c:showBubbleSize val="0"/>
        </c:dLbls>
        <c:gapWidth val="219"/>
        <c:overlap val="-27"/>
        <c:axId val="538795599"/>
        <c:axId val="538796431"/>
      </c:barChart>
      <c:catAx>
        <c:axId val="53879559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3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6431"/>
        <c:crosses val="autoZero"/>
        <c:auto val="1"/>
        <c:lblAlgn val="ctr"/>
        <c:lblOffset val="100"/>
        <c:noMultiLvlLbl val="0"/>
      </c:catAx>
      <c:valAx>
        <c:axId val="538796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55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Natural Gas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'Table 3+4 - Credit'!$H$22:$O$22</c:f>
              <c:numCache>
                <c:formatCode>General</c:formatCode>
                <c:ptCount val="8"/>
                <c:pt idx="0">
                  <c:v>2016</c:v>
                </c:pt>
                <c:pt idx="1">
                  <c:v>2017</c:v>
                </c:pt>
                <c:pt idx="2">
                  <c:v>2018</c:v>
                </c:pt>
                <c:pt idx="3">
                  <c:v>2019</c:v>
                </c:pt>
                <c:pt idx="4">
                  <c:v>2020</c:v>
                </c:pt>
                <c:pt idx="5">
                  <c:v>2021</c:v>
                </c:pt>
                <c:pt idx="6">
                  <c:v>2022</c:v>
                </c:pt>
                <c:pt idx="7">
                  <c:v>2023</c:v>
                </c:pt>
              </c:numCache>
            </c:numRef>
          </c:cat>
          <c:val>
            <c:numRef>
              <c:f>'Table 3+4 - Credit'!$H$13:$O$13</c:f>
              <c:numCache>
                <c:formatCode>#,##0</c:formatCode>
                <c:ptCount val="8"/>
                <c:pt idx="0">
                  <c:v>6477</c:v>
                </c:pt>
                <c:pt idx="1">
                  <c:v>11220</c:v>
                </c:pt>
                <c:pt idx="2">
                  <c:v>8911</c:v>
                </c:pt>
                <c:pt idx="3">
                  <c:v>10294</c:v>
                </c:pt>
                <c:pt idx="4">
                  <c:v>12818</c:v>
                </c:pt>
                <c:pt idx="5">
                  <c:v>28894</c:v>
                </c:pt>
                <c:pt idx="6">
                  <c:v>38521.302975610073</c:v>
                </c:pt>
                <c:pt idx="7">
                  <c:v>46418.834190604292</c:v>
                </c:pt>
              </c:numCache>
            </c:numRef>
          </c:val>
          <c:extLst>
            <c:ext xmlns:c16="http://schemas.microsoft.com/office/drawing/2014/chart" uri="{C3380CC4-5D6E-409C-BE32-E72D297353CC}">
              <c16:uniqueId val="{00000000-CD11-4746-8EBA-6FB7B9858387}"/>
            </c:ext>
          </c:extLst>
        </c:ser>
        <c:dLbls>
          <c:showLegendKey val="0"/>
          <c:showVal val="0"/>
          <c:showCatName val="0"/>
          <c:showSerName val="0"/>
          <c:showPercent val="0"/>
          <c:showBubbleSize val="0"/>
        </c:dLbls>
        <c:gapWidth val="219"/>
        <c:overlap val="-27"/>
        <c:axId val="831977456"/>
        <c:axId val="831977872"/>
      </c:barChart>
      <c:catAx>
        <c:axId val="831977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0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1977872"/>
        <c:crosses val="autoZero"/>
        <c:auto val="1"/>
        <c:lblAlgn val="ctr"/>
        <c:lblOffset val="100"/>
        <c:noMultiLvlLbl val="0"/>
      </c:catAx>
      <c:valAx>
        <c:axId val="8319778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19774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Off-Road Electricity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'Table 3+4 - Credit'!$H$22:$O$22</c:f>
              <c:numCache>
                <c:formatCode>General</c:formatCode>
                <c:ptCount val="8"/>
                <c:pt idx="0">
                  <c:v>2016</c:v>
                </c:pt>
                <c:pt idx="1">
                  <c:v>2017</c:v>
                </c:pt>
                <c:pt idx="2">
                  <c:v>2018</c:v>
                </c:pt>
                <c:pt idx="3">
                  <c:v>2019</c:v>
                </c:pt>
                <c:pt idx="4">
                  <c:v>2020</c:v>
                </c:pt>
                <c:pt idx="5">
                  <c:v>2021</c:v>
                </c:pt>
                <c:pt idx="6">
                  <c:v>2022</c:v>
                </c:pt>
                <c:pt idx="7">
                  <c:v>2023</c:v>
                </c:pt>
              </c:numCache>
            </c:numRef>
          </c:cat>
          <c:val>
            <c:numRef>
              <c:f>'Table 3+4 - Credit'!$H$12:$O$12</c:f>
              <c:numCache>
                <c:formatCode>#,##0</c:formatCode>
                <c:ptCount val="8"/>
                <c:pt idx="0">
                  <c:v>0</c:v>
                </c:pt>
                <c:pt idx="1">
                  <c:v>0</c:v>
                </c:pt>
                <c:pt idx="2">
                  <c:v>17189</c:v>
                </c:pt>
                <c:pt idx="3">
                  <c:v>21303</c:v>
                </c:pt>
                <c:pt idx="4">
                  <c:v>29240</c:v>
                </c:pt>
                <c:pt idx="5">
                  <c:v>115307</c:v>
                </c:pt>
                <c:pt idx="6">
                  <c:v>177577.76089083141</c:v>
                </c:pt>
                <c:pt idx="7">
                  <c:v>259440.75</c:v>
                </c:pt>
              </c:numCache>
            </c:numRef>
          </c:val>
          <c:extLst>
            <c:ext xmlns:c16="http://schemas.microsoft.com/office/drawing/2014/chart" uri="{C3380CC4-5D6E-409C-BE32-E72D297353CC}">
              <c16:uniqueId val="{00000000-00DC-4116-B9C4-4FC6954384F7}"/>
            </c:ext>
          </c:extLst>
        </c:ser>
        <c:dLbls>
          <c:showLegendKey val="0"/>
          <c:showVal val="0"/>
          <c:showCatName val="0"/>
          <c:showSerName val="0"/>
          <c:showPercent val="0"/>
          <c:showBubbleSize val="0"/>
        </c:dLbls>
        <c:gapWidth val="219"/>
        <c:overlap val="-27"/>
        <c:axId val="831977456"/>
        <c:axId val="831977872"/>
      </c:barChart>
      <c:catAx>
        <c:axId val="831977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0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1977872"/>
        <c:crosses val="autoZero"/>
        <c:auto val="1"/>
        <c:lblAlgn val="ctr"/>
        <c:lblOffset val="100"/>
        <c:noMultiLvlLbl val="0"/>
      </c:catAx>
      <c:valAx>
        <c:axId val="8319778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19774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8" Type="http://schemas.openxmlformats.org/officeDocument/2006/relationships/chart" Target="../charts/chart25.xml"/><Relationship Id="rId13" Type="http://schemas.openxmlformats.org/officeDocument/2006/relationships/chart" Target="../charts/chart30.xml"/><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chart" Target="../charts/chart29.xml"/><Relationship Id="rId17" Type="http://schemas.openxmlformats.org/officeDocument/2006/relationships/chart" Target="../charts/chart34.xml"/><Relationship Id="rId2" Type="http://schemas.openxmlformats.org/officeDocument/2006/relationships/chart" Target="../charts/chart19.xml"/><Relationship Id="rId16" Type="http://schemas.openxmlformats.org/officeDocument/2006/relationships/chart" Target="../charts/chart33.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chart" Target="../charts/chart28.xml"/><Relationship Id="rId5" Type="http://schemas.openxmlformats.org/officeDocument/2006/relationships/chart" Target="../charts/chart22.xml"/><Relationship Id="rId15" Type="http://schemas.openxmlformats.org/officeDocument/2006/relationships/chart" Target="../charts/chart32.xml"/><Relationship Id="rId10" Type="http://schemas.openxmlformats.org/officeDocument/2006/relationships/chart" Target="../charts/chart27.xml"/><Relationship Id="rId4" Type="http://schemas.openxmlformats.org/officeDocument/2006/relationships/chart" Target="../charts/chart21.xml"/><Relationship Id="rId9" Type="http://schemas.openxmlformats.org/officeDocument/2006/relationships/chart" Target="../charts/chart26.xml"/><Relationship Id="rId14"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31</xdr:col>
      <xdr:colOff>554691</xdr:colOff>
      <xdr:row>53</xdr:row>
      <xdr:rowOff>186017</xdr:rowOff>
    </xdr:from>
    <xdr:to>
      <xdr:col>36</xdr:col>
      <xdr:colOff>907676</xdr:colOff>
      <xdr:row>71</xdr:row>
      <xdr:rowOff>100852</xdr:rowOff>
    </xdr:to>
    <xdr:graphicFrame macro="">
      <xdr:nvGraphicFramePr>
        <xdr:cNvPr id="2" name="Chart 1">
          <a:extLst>
            <a:ext uri="{FF2B5EF4-FFF2-40B4-BE49-F238E27FC236}">
              <a16:creationId xmlns:a16="http://schemas.microsoft.com/office/drawing/2014/main" id="{BCDF0DFF-068B-49B0-880B-509DC9FD1D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78440</xdr:colOff>
      <xdr:row>54</xdr:row>
      <xdr:rowOff>11206</xdr:rowOff>
    </xdr:from>
    <xdr:to>
      <xdr:col>41</xdr:col>
      <xdr:colOff>739588</xdr:colOff>
      <xdr:row>71</xdr:row>
      <xdr:rowOff>123266</xdr:rowOff>
    </xdr:to>
    <xdr:graphicFrame macro="">
      <xdr:nvGraphicFramePr>
        <xdr:cNvPr id="3" name="Chart 2">
          <a:extLst>
            <a:ext uri="{FF2B5EF4-FFF2-40B4-BE49-F238E27FC236}">
              <a16:creationId xmlns:a16="http://schemas.microsoft.com/office/drawing/2014/main" id="{187AB85F-308C-4D4D-BF7B-3513FDB86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42</xdr:col>
      <xdr:colOff>0</xdr:colOff>
      <xdr:row>54</xdr:row>
      <xdr:rowOff>0</xdr:rowOff>
    </xdr:from>
    <xdr:to>
      <xdr:col>46</xdr:col>
      <xdr:colOff>902073</xdr:colOff>
      <xdr:row>71</xdr:row>
      <xdr:rowOff>105335</xdr:rowOff>
    </xdr:to>
    <xdr:graphicFrame macro="">
      <xdr:nvGraphicFramePr>
        <xdr:cNvPr id="4" name="Chart 3">
          <a:extLst>
            <a:ext uri="{FF2B5EF4-FFF2-40B4-BE49-F238E27FC236}">
              <a16:creationId xmlns:a16="http://schemas.microsoft.com/office/drawing/2014/main" id="{8CA788E8-51CF-48BA-96C7-8F7EB9BAA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40</xdr:col>
      <xdr:colOff>173691</xdr:colOff>
      <xdr:row>90</xdr:row>
      <xdr:rowOff>44825</xdr:rowOff>
    </xdr:from>
    <xdr:to>
      <xdr:col>44</xdr:col>
      <xdr:colOff>874059</xdr:colOff>
      <xdr:row>108</xdr:row>
      <xdr:rowOff>156883</xdr:rowOff>
    </xdr:to>
    <xdr:graphicFrame macro="">
      <xdr:nvGraphicFramePr>
        <xdr:cNvPr id="5" name="Chart 4">
          <a:extLst>
            <a:ext uri="{FF2B5EF4-FFF2-40B4-BE49-F238E27FC236}">
              <a16:creationId xmlns:a16="http://schemas.microsoft.com/office/drawing/2014/main" id="{70576AAC-2DF8-40E5-A68A-CBC87351F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33</xdr:col>
      <xdr:colOff>386603</xdr:colOff>
      <xdr:row>13</xdr:row>
      <xdr:rowOff>67235</xdr:rowOff>
    </xdr:from>
    <xdr:to>
      <xdr:col>38</xdr:col>
      <xdr:colOff>196103</xdr:colOff>
      <xdr:row>31</xdr:row>
      <xdr:rowOff>172571</xdr:rowOff>
    </xdr:to>
    <xdr:graphicFrame macro="">
      <xdr:nvGraphicFramePr>
        <xdr:cNvPr id="7" name="Chart 6">
          <a:extLst>
            <a:ext uri="{FF2B5EF4-FFF2-40B4-BE49-F238E27FC236}">
              <a16:creationId xmlns:a16="http://schemas.microsoft.com/office/drawing/2014/main" id="{8F655A94-C99A-4848-9881-3900EC4672D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0.74686</cdr:x>
      <cdr:y>0.13793</cdr:y>
    </cdr:from>
    <cdr:to>
      <cdr:x>0.74914</cdr:x>
      <cdr:y>0.8464</cdr:y>
    </cdr:to>
    <cdr:cxnSp macro="">
      <cdr:nvCxnSpPr>
        <cdr:cNvPr id="3" name="Straight Connector 2">
          <a:extLst xmlns:a="http://schemas.openxmlformats.org/drawingml/2006/main">
            <a:ext uri="{FF2B5EF4-FFF2-40B4-BE49-F238E27FC236}">
              <a16:creationId xmlns:a16="http://schemas.microsoft.com/office/drawing/2014/main" id="{1FBB90B7-848C-469C-B9D6-BE3135BFDA5C}"/>
            </a:ext>
          </a:extLst>
        </cdr:cNvPr>
        <cdr:cNvCxnSpPr/>
      </cdr:nvCxnSpPr>
      <cdr:spPr>
        <a:xfrm xmlns:a="http://schemas.openxmlformats.org/drawingml/2006/main" flipH="1">
          <a:off x="3669927" y="493059"/>
          <a:ext cx="11206" cy="2532529"/>
        </a:xfrm>
        <a:prstGeom xmlns:a="http://schemas.openxmlformats.org/drawingml/2006/main" prst="line">
          <a:avLst/>
        </a:prstGeom>
        <a:ln xmlns:a="http://schemas.openxmlformats.org/drawingml/2006/main" w="22225">
          <a:solidFill>
            <a:srgbClr val="FF0000"/>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3.xml><?xml version="1.0" encoding="utf-8"?>
<c:userShapes xmlns:c="http://schemas.openxmlformats.org/drawingml/2006/chart">
  <cdr:relSizeAnchor xmlns:cdr="http://schemas.openxmlformats.org/drawingml/2006/chartDrawing">
    <cdr:from>
      <cdr:x>0.77574</cdr:x>
      <cdr:y>0.14902</cdr:y>
    </cdr:from>
    <cdr:to>
      <cdr:x>0.78064</cdr:x>
      <cdr:y>0.83703</cdr:y>
    </cdr:to>
    <cdr:cxnSp macro="">
      <cdr:nvCxnSpPr>
        <cdr:cNvPr id="3" name="Straight Connector 2">
          <a:extLst xmlns:a="http://schemas.openxmlformats.org/drawingml/2006/main">
            <a:ext uri="{FF2B5EF4-FFF2-40B4-BE49-F238E27FC236}">
              <a16:creationId xmlns:a16="http://schemas.microsoft.com/office/drawing/2014/main" id="{A21E203F-DCB0-4236-A7F5-E7B54460B204}"/>
            </a:ext>
          </a:extLst>
        </cdr:cNvPr>
        <cdr:cNvCxnSpPr/>
      </cdr:nvCxnSpPr>
      <cdr:spPr>
        <a:xfrm xmlns:a="http://schemas.openxmlformats.org/drawingml/2006/main" flipH="1" flipV="1">
          <a:off x="3546662" y="526677"/>
          <a:ext cx="22412" cy="2431676"/>
        </a:xfrm>
        <a:prstGeom xmlns:a="http://schemas.openxmlformats.org/drawingml/2006/main" prst="line">
          <a:avLst/>
        </a:prstGeom>
        <a:ln xmlns:a="http://schemas.openxmlformats.org/drawingml/2006/main" w="2540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xml><?xml version="1.0" encoding="utf-8"?>
<xdr:wsDr xmlns:xdr="http://schemas.openxmlformats.org/drawingml/2006/spreadsheetDrawing" xmlns:a="http://schemas.openxmlformats.org/drawingml/2006/main">
  <xdr:twoCellAnchor>
    <xdr:from>
      <xdr:col>27</xdr:col>
      <xdr:colOff>566737</xdr:colOff>
      <xdr:row>3</xdr:row>
      <xdr:rowOff>133351</xdr:rowOff>
    </xdr:from>
    <xdr:to>
      <xdr:col>35</xdr:col>
      <xdr:colOff>219075</xdr:colOff>
      <xdr:row>20</xdr:row>
      <xdr:rowOff>47625</xdr:rowOff>
    </xdr:to>
    <xdr:graphicFrame macro="">
      <xdr:nvGraphicFramePr>
        <xdr:cNvPr id="2" name="Chart 1">
          <a:extLst>
            <a:ext uri="{FF2B5EF4-FFF2-40B4-BE49-F238E27FC236}">
              <a16:creationId xmlns:a16="http://schemas.microsoft.com/office/drawing/2014/main" id="{9904571A-E353-4B98-A992-DB6479F5FB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604837</xdr:colOff>
      <xdr:row>21</xdr:row>
      <xdr:rowOff>0</xdr:rowOff>
    </xdr:from>
    <xdr:to>
      <xdr:col>35</xdr:col>
      <xdr:colOff>266700</xdr:colOff>
      <xdr:row>37</xdr:row>
      <xdr:rowOff>142875</xdr:rowOff>
    </xdr:to>
    <xdr:graphicFrame macro="">
      <xdr:nvGraphicFramePr>
        <xdr:cNvPr id="4" name="Chart 3">
          <a:extLst>
            <a:ext uri="{FF2B5EF4-FFF2-40B4-BE49-F238E27FC236}">
              <a16:creationId xmlns:a16="http://schemas.microsoft.com/office/drawing/2014/main" id="{49BE7CAD-F217-4EBB-9244-351B13AF8C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661987</xdr:colOff>
      <xdr:row>27</xdr:row>
      <xdr:rowOff>171449</xdr:rowOff>
    </xdr:from>
    <xdr:to>
      <xdr:col>17</xdr:col>
      <xdr:colOff>142875</xdr:colOff>
      <xdr:row>43</xdr:row>
      <xdr:rowOff>9524</xdr:rowOff>
    </xdr:to>
    <xdr:graphicFrame macro="">
      <xdr:nvGraphicFramePr>
        <xdr:cNvPr id="3" name="Chart 2">
          <a:extLst>
            <a:ext uri="{FF2B5EF4-FFF2-40B4-BE49-F238E27FC236}">
              <a16:creationId xmlns:a16="http://schemas.microsoft.com/office/drawing/2014/main" id="{AA980284-5D65-4B8C-AC8B-E2194223DF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447675</xdr:colOff>
      <xdr:row>28</xdr:row>
      <xdr:rowOff>0</xdr:rowOff>
    </xdr:from>
    <xdr:to>
      <xdr:col>22</xdr:col>
      <xdr:colOff>757238</xdr:colOff>
      <xdr:row>43</xdr:row>
      <xdr:rowOff>28575</xdr:rowOff>
    </xdr:to>
    <xdr:graphicFrame macro="">
      <xdr:nvGraphicFramePr>
        <xdr:cNvPr id="5" name="Chart 4">
          <a:extLst>
            <a:ext uri="{FF2B5EF4-FFF2-40B4-BE49-F238E27FC236}">
              <a16:creationId xmlns:a16="http://schemas.microsoft.com/office/drawing/2014/main" id="{D4E3E98F-7714-430E-8B61-638EE00812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25</xdr:col>
      <xdr:colOff>101601</xdr:colOff>
      <xdr:row>30</xdr:row>
      <xdr:rowOff>38101</xdr:rowOff>
    </xdr:from>
    <xdr:to>
      <xdr:col>30</xdr:col>
      <xdr:colOff>698501</xdr:colOff>
      <xdr:row>50</xdr:row>
      <xdr:rowOff>177801</xdr:rowOff>
    </xdr:to>
    <xdr:graphicFrame macro="">
      <xdr:nvGraphicFramePr>
        <xdr:cNvPr id="18" name="Chart 1">
          <a:extLst>
            <a:ext uri="{FF2B5EF4-FFF2-40B4-BE49-F238E27FC236}">
              <a16:creationId xmlns:a16="http://schemas.microsoft.com/office/drawing/2014/main" id="{00000000-0008-0000-03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177800</xdr:colOff>
      <xdr:row>30</xdr:row>
      <xdr:rowOff>50800</xdr:rowOff>
    </xdr:from>
    <xdr:to>
      <xdr:col>17</xdr:col>
      <xdr:colOff>749300</xdr:colOff>
      <xdr:row>51</xdr:row>
      <xdr:rowOff>76200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120649</xdr:colOff>
      <xdr:row>30</xdr:row>
      <xdr:rowOff>50800</xdr:rowOff>
    </xdr:from>
    <xdr:to>
      <xdr:col>24</xdr:col>
      <xdr:colOff>317500</xdr:colOff>
      <xdr:row>51</xdr:row>
      <xdr:rowOff>76199</xdr:rowOff>
    </xdr:to>
    <xdr:graphicFrame macro="">
      <xdr:nvGraphicFramePr>
        <xdr:cNvPr id="3" name="Chart 1">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549276</xdr:colOff>
      <xdr:row>33</xdr:row>
      <xdr:rowOff>38100</xdr:rowOff>
    </xdr:from>
    <xdr:to>
      <xdr:col>22</xdr:col>
      <xdr:colOff>558800</xdr:colOff>
      <xdr:row>47</xdr:row>
      <xdr:rowOff>66676</xdr:rowOff>
    </xdr:to>
    <xdr:cxnSp macro="">
      <xdr:nvCxnSpPr>
        <xdr:cNvPr id="5" name="Straight Connector 4">
          <a:extLst>
            <a:ext uri="{FF2B5EF4-FFF2-40B4-BE49-F238E27FC236}">
              <a16:creationId xmlns:a16="http://schemas.microsoft.com/office/drawing/2014/main" id="{00000000-0008-0000-0300-000005000000}"/>
            </a:ext>
          </a:extLst>
        </xdr:cNvPr>
        <xdr:cNvCxnSpPr/>
      </xdr:nvCxnSpPr>
      <xdr:spPr>
        <a:xfrm flipV="1">
          <a:off x="24768176" y="7226300"/>
          <a:ext cx="9524" cy="2695576"/>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203200</xdr:colOff>
      <xdr:row>33</xdr:row>
      <xdr:rowOff>25400</xdr:rowOff>
    </xdr:from>
    <xdr:to>
      <xdr:col>16</xdr:col>
      <xdr:colOff>203200</xdr:colOff>
      <xdr:row>47</xdr:row>
      <xdr:rowOff>139700</xdr:rowOff>
    </xdr:to>
    <xdr:cxnSp macro="">
      <xdr:nvCxnSpPr>
        <xdr:cNvPr id="6" name="Straight Connector 5">
          <a:extLst>
            <a:ext uri="{FF2B5EF4-FFF2-40B4-BE49-F238E27FC236}">
              <a16:creationId xmlns:a16="http://schemas.microsoft.com/office/drawing/2014/main" id="{00000000-0008-0000-0300-000006000000}"/>
            </a:ext>
          </a:extLst>
        </xdr:cNvPr>
        <xdr:cNvCxnSpPr/>
      </xdr:nvCxnSpPr>
      <xdr:spPr>
        <a:xfrm flipV="1">
          <a:off x="19240500" y="7213600"/>
          <a:ext cx="0" cy="2781300"/>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342902</xdr:colOff>
      <xdr:row>32</xdr:row>
      <xdr:rowOff>177800</xdr:rowOff>
    </xdr:from>
    <xdr:to>
      <xdr:col>29</xdr:col>
      <xdr:colOff>368300</xdr:colOff>
      <xdr:row>46</xdr:row>
      <xdr:rowOff>158752</xdr:rowOff>
    </xdr:to>
    <xdr:cxnSp macro="">
      <xdr:nvCxnSpPr>
        <xdr:cNvPr id="7" name="Straight Connector 6">
          <a:extLst>
            <a:ext uri="{FF2B5EF4-FFF2-40B4-BE49-F238E27FC236}">
              <a16:creationId xmlns:a16="http://schemas.microsoft.com/office/drawing/2014/main" id="{00000000-0008-0000-0300-000007000000}"/>
            </a:ext>
          </a:extLst>
        </xdr:cNvPr>
        <xdr:cNvCxnSpPr/>
      </xdr:nvCxnSpPr>
      <xdr:spPr>
        <a:xfrm flipV="1">
          <a:off x="30607002" y="7175500"/>
          <a:ext cx="25398" cy="2647952"/>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692157</xdr:colOff>
      <xdr:row>57</xdr:row>
      <xdr:rowOff>12700</xdr:rowOff>
    </xdr:from>
    <xdr:to>
      <xdr:col>22</xdr:col>
      <xdr:colOff>101600</xdr:colOff>
      <xdr:row>77</xdr:row>
      <xdr:rowOff>149224</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641351</xdr:colOff>
      <xdr:row>35</xdr:row>
      <xdr:rowOff>142875</xdr:rowOff>
    </xdr:from>
    <xdr:to>
      <xdr:col>21</xdr:col>
      <xdr:colOff>914401</xdr:colOff>
      <xdr:row>56</xdr:row>
      <xdr:rowOff>50800</xdr:rowOff>
    </xdr:to>
    <xdr:graphicFrame macro="">
      <xdr:nvGraphicFramePr>
        <xdr:cNvPr id="4" name="Chart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685801</xdr:colOff>
      <xdr:row>78</xdr:row>
      <xdr:rowOff>165100</xdr:rowOff>
    </xdr:from>
    <xdr:to>
      <xdr:col>22</xdr:col>
      <xdr:colOff>12701</xdr:colOff>
      <xdr:row>99</xdr:row>
      <xdr:rowOff>88900</xdr:rowOff>
    </xdr:to>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488948</xdr:colOff>
      <xdr:row>3</xdr:row>
      <xdr:rowOff>107948</xdr:rowOff>
    </xdr:from>
    <xdr:to>
      <xdr:col>21</xdr:col>
      <xdr:colOff>1079499</xdr:colOff>
      <xdr:row>29</xdr:row>
      <xdr:rowOff>190499</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0.59255</cdr:x>
      <cdr:y>0.12989</cdr:y>
    </cdr:from>
    <cdr:to>
      <cdr:x>0.59255</cdr:x>
      <cdr:y>0.84615</cdr:y>
    </cdr:to>
    <cdr:cxnSp macro="">
      <cdr:nvCxnSpPr>
        <cdr:cNvPr id="3" name="Straight Connector 2">
          <a:extLst xmlns:a="http://schemas.openxmlformats.org/drawingml/2006/main">
            <a:ext uri="{FF2B5EF4-FFF2-40B4-BE49-F238E27FC236}">
              <a16:creationId xmlns:a16="http://schemas.microsoft.com/office/drawing/2014/main" id="{6A33A741-4EF2-4153-8A5D-FC97647AA38A}"/>
            </a:ext>
          </a:extLst>
        </cdr:cNvPr>
        <cdr:cNvCxnSpPr/>
      </cdr:nvCxnSpPr>
      <cdr:spPr>
        <a:xfrm xmlns:a="http://schemas.openxmlformats.org/drawingml/2006/main">
          <a:off x="3435352" y="654052"/>
          <a:ext cx="0" cy="3606800"/>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twoCellAnchor>
    <xdr:from>
      <xdr:col>16</xdr:col>
      <xdr:colOff>142875</xdr:colOff>
      <xdr:row>29</xdr:row>
      <xdr:rowOff>47624</xdr:rowOff>
    </xdr:from>
    <xdr:to>
      <xdr:col>23</xdr:col>
      <xdr:colOff>461962</xdr:colOff>
      <xdr:row>45</xdr:row>
      <xdr:rowOff>190499</xdr:rowOff>
    </xdr:to>
    <xdr:graphicFrame macro="">
      <xdr:nvGraphicFramePr>
        <xdr:cNvPr id="2" name="Chart 1">
          <a:extLst>
            <a:ext uri="{FF2B5EF4-FFF2-40B4-BE49-F238E27FC236}">
              <a16:creationId xmlns:a16="http://schemas.microsoft.com/office/drawing/2014/main" id="{8F2FADC9-83C1-479A-A643-E46331D055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114299</xdr:colOff>
      <xdr:row>18</xdr:row>
      <xdr:rowOff>114300</xdr:rowOff>
    </xdr:from>
    <xdr:to>
      <xdr:col>7</xdr:col>
      <xdr:colOff>504824</xdr:colOff>
      <xdr:row>36</xdr:row>
      <xdr:rowOff>0</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95250</xdr:colOff>
      <xdr:row>0</xdr:row>
      <xdr:rowOff>142875</xdr:rowOff>
    </xdr:from>
    <xdr:to>
      <xdr:col>7</xdr:col>
      <xdr:colOff>485775</xdr:colOff>
      <xdr:row>18</xdr:row>
      <xdr:rowOff>28575</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88900</xdr:colOff>
      <xdr:row>0</xdr:row>
      <xdr:rowOff>136525</xdr:rowOff>
    </xdr:from>
    <xdr:to>
      <xdr:col>15</xdr:col>
      <xdr:colOff>479425</xdr:colOff>
      <xdr:row>18</xdr:row>
      <xdr:rowOff>22225</xdr:rowOff>
    </xdr:to>
    <xdr:graphicFrame macro="">
      <xdr:nvGraphicFramePr>
        <xdr:cNvPr id="4" name="Chart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101600</xdr:colOff>
      <xdr:row>18</xdr:row>
      <xdr:rowOff>76200</xdr:rowOff>
    </xdr:from>
    <xdr:to>
      <xdr:col>15</xdr:col>
      <xdr:colOff>492125</xdr:colOff>
      <xdr:row>35</xdr:row>
      <xdr:rowOff>152400</xdr:rowOff>
    </xdr:to>
    <xdr:graphicFrame macro="">
      <xdr:nvGraphicFramePr>
        <xdr:cNvPr id="6" name="Chart 5">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114300</xdr:colOff>
      <xdr:row>18</xdr:row>
      <xdr:rowOff>50800</xdr:rowOff>
    </xdr:from>
    <xdr:to>
      <xdr:col>23</xdr:col>
      <xdr:colOff>504825</xdr:colOff>
      <xdr:row>35</xdr:row>
      <xdr:rowOff>127000</xdr:rowOff>
    </xdr:to>
    <xdr:graphicFrame macro="">
      <xdr:nvGraphicFramePr>
        <xdr:cNvPr id="8" name="Chart 7">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127000</xdr:colOff>
      <xdr:row>36</xdr:row>
      <xdr:rowOff>76200</xdr:rowOff>
    </xdr:from>
    <xdr:to>
      <xdr:col>7</xdr:col>
      <xdr:colOff>517525</xdr:colOff>
      <xdr:row>53</xdr:row>
      <xdr:rowOff>152400</xdr:rowOff>
    </xdr:to>
    <xdr:graphicFrame macro="">
      <xdr:nvGraphicFramePr>
        <xdr:cNvPr id="10" name="Chart 9">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127000</xdr:colOff>
      <xdr:row>36</xdr:row>
      <xdr:rowOff>50800</xdr:rowOff>
    </xdr:from>
    <xdr:to>
      <xdr:col>15</xdr:col>
      <xdr:colOff>517525</xdr:colOff>
      <xdr:row>53</xdr:row>
      <xdr:rowOff>127000</xdr:rowOff>
    </xdr:to>
    <xdr:graphicFrame macro="">
      <xdr:nvGraphicFramePr>
        <xdr:cNvPr id="11" name="Chart 10">
          <a:extLst>
            <a:ext uri="{FF2B5EF4-FFF2-40B4-BE49-F238E27FC236}">
              <a16:creationId xmlns:a16="http://schemas.microsoft.com/office/drawing/2014/main" id="{00000000-0008-0000-0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24</xdr:col>
      <xdr:colOff>63500</xdr:colOff>
      <xdr:row>36</xdr:row>
      <xdr:rowOff>25400</xdr:rowOff>
    </xdr:from>
    <xdr:to>
      <xdr:col>31</xdr:col>
      <xdr:colOff>454025</xdr:colOff>
      <xdr:row>53</xdr:row>
      <xdr:rowOff>101600</xdr:rowOff>
    </xdr:to>
    <xdr:graphicFrame macro="">
      <xdr:nvGraphicFramePr>
        <xdr:cNvPr id="12" name="Chart 11">
          <a:extLst>
            <a:ext uri="{FF2B5EF4-FFF2-40B4-BE49-F238E27FC236}">
              <a16:creationId xmlns:a16="http://schemas.microsoft.com/office/drawing/2014/main" id="{00000000-0008-0000-0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127000</xdr:colOff>
      <xdr:row>54</xdr:row>
      <xdr:rowOff>50800</xdr:rowOff>
    </xdr:from>
    <xdr:to>
      <xdr:col>15</xdr:col>
      <xdr:colOff>517525</xdr:colOff>
      <xdr:row>71</xdr:row>
      <xdr:rowOff>127000</xdr:rowOff>
    </xdr:to>
    <xdr:graphicFrame macro="">
      <xdr:nvGraphicFramePr>
        <xdr:cNvPr id="19" name="Chart 18">
          <a:extLst>
            <a:ext uri="{FF2B5EF4-FFF2-40B4-BE49-F238E27FC236}">
              <a16:creationId xmlns:a16="http://schemas.microsoft.com/office/drawing/2014/main" id="{00000000-0008-0000-0B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127000</xdr:colOff>
      <xdr:row>54</xdr:row>
      <xdr:rowOff>76200</xdr:rowOff>
    </xdr:from>
    <xdr:to>
      <xdr:col>23</xdr:col>
      <xdr:colOff>517525</xdr:colOff>
      <xdr:row>71</xdr:row>
      <xdr:rowOff>152400</xdr:rowOff>
    </xdr:to>
    <xdr:graphicFrame macro="">
      <xdr:nvGraphicFramePr>
        <xdr:cNvPr id="22" name="Chart 21">
          <a:extLst>
            <a:ext uri="{FF2B5EF4-FFF2-40B4-BE49-F238E27FC236}">
              <a16:creationId xmlns:a16="http://schemas.microsoft.com/office/drawing/2014/main" id="{00000000-0008-0000-0B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101600</xdr:colOff>
      <xdr:row>36</xdr:row>
      <xdr:rowOff>50800</xdr:rowOff>
    </xdr:from>
    <xdr:to>
      <xdr:col>23</xdr:col>
      <xdr:colOff>492125</xdr:colOff>
      <xdr:row>53</xdr:row>
      <xdr:rowOff>127000</xdr:rowOff>
    </xdr:to>
    <xdr:graphicFrame macro="">
      <xdr:nvGraphicFramePr>
        <xdr:cNvPr id="23" name="Chart 22">
          <a:extLst>
            <a:ext uri="{FF2B5EF4-FFF2-40B4-BE49-F238E27FC236}">
              <a16:creationId xmlns:a16="http://schemas.microsoft.com/office/drawing/2014/main" id="{00000000-0008-0000-0B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127000</xdr:colOff>
      <xdr:row>54</xdr:row>
      <xdr:rowOff>63500</xdr:rowOff>
    </xdr:from>
    <xdr:to>
      <xdr:col>7</xdr:col>
      <xdr:colOff>517525</xdr:colOff>
      <xdr:row>71</xdr:row>
      <xdr:rowOff>139700</xdr:rowOff>
    </xdr:to>
    <xdr:graphicFrame macro="">
      <xdr:nvGraphicFramePr>
        <xdr:cNvPr id="24" name="Chart 23">
          <a:extLst>
            <a:ext uri="{FF2B5EF4-FFF2-40B4-BE49-F238E27FC236}">
              <a16:creationId xmlns:a16="http://schemas.microsoft.com/office/drawing/2014/main" id="{00000000-0008-0000-0B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177800</xdr:colOff>
      <xdr:row>73</xdr:row>
      <xdr:rowOff>76200</xdr:rowOff>
    </xdr:from>
    <xdr:to>
      <xdr:col>7</xdr:col>
      <xdr:colOff>568325</xdr:colOff>
      <xdr:row>90</xdr:row>
      <xdr:rowOff>152400</xdr:rowOff>
    </xdr:to>
    <xdr:graphicFrame macro="">
      <xdr:nvGraphicFramePr>
        <xdr:cNvPr id="14" name="Chart 13">
          <a:extLst>
            <a:ext uri="{FF2B5EF4-FFF2-40B4-BE49-F238E27FC236}">
              <a16:creationId xmlns:a16="http://schemas.microsoft.com/office/drawing/2014/main" id="{5C1B4A04-A73B-4587-9506-7D4D4B2ED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127000</xdr:colOff>
      <xdr:row>73</xdr:row>
      <xdr:rowOff>50800</xdr:rowOff>
    </xdr:from>
    <xdr:to>
      <xdr:col>15</xdr:col>
      <xdr:colOff>517525</xdr:colOff>
      <xdr:row>90</xdr:row>
      <xdr:rowOff>127000</xdr:rowOff>
    </xdr:to>
    <xdr:graphicFrame macro="">
      <xdr:nvGraphicFramePr>
        <xdr:cNvPr id="15" name="Chart 14">
          <a:extLst>
            <a:ext uri="{FF2B5EF4-FFF2-40B4-BE49-F238E27FC236}">
              <a16:creationId xmlns:a16="http://schemas.microsoft.com/office/drawing/2014/main" id="{95A45919-0E78-4C55-9F15-CCEFA4FF5F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152400</xdr:colOff>
      <xdr:row>73</xdr:row>
      <xdr:rowOff>63500</xdr:rowOff>
    </xdr:from>
    <xdr:to>
      <xdr:col>23</xdr:col>
      <xdr:colOff>542925</xdr:colOff>
      <xdr:row>90</xdr:row>
      <xdr:rowOff>139700</xdr:rowOff>
    </xdr:to>
    <xdr:graphicFrame macro="">
      <xdr:nvGraphicFramePr>
        <xdr:cNvPr id="16" name="Chart 15">
          <a:extLst>
            <a:ext uri="{FF2B5EF4-FFF2-40B4-BE49-F238E27FC236}">
              <a16:creationId xmlns:a16="http://schemas.microsoft.com/office/drawing/2014/main" id="{CFC71D02-791C-4E4F-A20F-F981E2BCE5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152400</xdr:colOff>
      <xdr:row>91</xdr:row>
      <xdr:rowOff>63500</xdr:rowOff>
    </xdr:from>
    <xdr:to>
      <xdr:col>7</xdr:col>
      <xdr:colOff>542925</xdr:colOff>
      <xdr:row>108</xdr:row>
      <xdr:rowOff>139700</xdr:rowOff>
    </xdr:to>
    <xdr:graphicFrame macro="">
      <xdr:nvGraphicFramePr>
        <xdr:cNvPr id="17" name="Chart 16">
          <a:extLst>
            <a:ext uri="{FF2B5EF4-FFF2-40B4-BE49-F238E27FC236}">
              <a16:creationId xmlns:a16="http://schemas.microsoft.com/office/drawing/2014/main" id="{9E6EB5B2-3AB5-4DD5-B620-18312DB61B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24</xdr:col>
      <xdr:colOff>114300</xdr:colOff>
      <xdr:row>54</xdr:row>
      <xdr:rowOff>76200</xdr:rowOff>
    </xdr:from>
    <xdr:to>
      <xdr:col>31</xdr:col>
      <xdr:colOff>504825</xdr:colOff>
      <xdr:row>71</xdr:row>
      <xdr:rowOff>152400</xdr:rowOff>
    </xdr:to>
    <xdr:graphicFrame macro="">
      <xdr:nvGraphicFramePr>
        <xdr:cNvPr id="18" name="Chart 17">
          <a:extLst>
            <a:ext uri="{FF2B5EF4-FFF2-40B4-BE49-F238E27FC236}">
              <a16:creationId xmlns:a16="http://schemas.microsoft.com/office/drawing/2014/main" id="{D1EC7446-13C0-4EEC-8F89-EA602DFE7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upporting%20Documents/ODOT%20inputs%20for%202023%20Clean%20Fuels%20Forec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rterly Work"/>
      <sheetName val="Chart1"/>
      <sheetName val="History and April 2021 forecast"/>
      <sheetName val="VMT forecast to HCAS April 2021"/>
      <sheetName val="HUS Annual Weight Mile Data"/>
    </sheetNames>
    <sheetDataSet>
      <sheetData sheetId="0">
        <row r="19">
          <cell r="C19">
            <v>355.92802041666664</v>
          </cell>
        </row>
        <row r="27">
          <cell r="J27">
            <v>-1.0271369189528423E-3</v>
          </cell>
          <cell r="Q27">
            <v>-3.2608370131808395E-2</v>
          </cell>
        </row>
        <row r="28">
          <cell r="J28">
            <v>-5.8527552467047106E-2</v>
          </cell>
          <cell r="Q28">
            <v>-5.7618083320067792E-2</v>
          </cell>
        </row>
        <row r="29">
          <cell r="J29">
            <v>-4.602565740965936E-2</v>
          </cell>
          <cell r="Q29">
            <v>-5.3218760251719344E-2</v>
          </cell>
        </row>
        <row r="30">
          <cell r="J30">
            <v>-2.3568499741369098E-2</v>
          </cell>
          <cell r="Q30">
            <v>-6.9271187843075177E-3</v>
          </cell>
        </row>
        <row r="31">
          <cell r="J31">
            <v>-1.6990604613215554E-2</v>
          </cell>
          <cell r="Q31">
            <v>-2.9264951122561778E-3</v>
          </cell>
        </row>
        <row r="32">
          <cell r="J32">
            <v>-8.8283066972825175E-3</v>
          </cell>
          <cell r="Q32">
            <v>-1.2821898113441699E-2</v>
          </cell>
        </row>
        <row r="33">
          <cell r="J33">
            <v>-3.5273555297706816E-3</v>
          </cell>
          <cell r="Q33">
            <v>-8.7697429531005122E-3</v>
          </cell>
        </row>
        <row r="34">
          <cell r="J34">
            <v>-1.2458047104075831E-3</v>
          </cell>
          <cell r="Q34">
            <v>-6.6765666877792729E-3</v>
          </cell>
        </row>
        <row r="45">
          <cell r="C45">
            <v>1.8666000423515072E-3</v>
          </cell>
          <cell r="P45">
            <v>2.3188081308633812E-3</v>
          </cell>
        </row>
        <row r="46">
          <cell r="C46">
            <v>-1.1531428822663781E-2</v>
          </cell>
          <cell r="P46">
            <v>-8.3545452485587202E-3</v>
          </cell>
        </row>
        <row r="47">
          <cell r="C47">
            <v>-0.12787605793120127</v>
          </cell>
          <cell r="P47">
            <v>6.641609318322006E-2</v>
          </cell>
        </row>
        <row r="48">
          <cell r="C48">
            <v>8.4952476556695133E-2</v>
          </cell>
          <cell r="P48">
            <v>6.4512480139974127E-2</v>
          </cell>
        </row>
        <row r="49">
          <cell r="C49">
            <v>-3.3920281888935033E-2</v>
          </cell>
          <cell r="P49">
            <v>-3.8219924946049866E-2</v>
          </cell>
        </row>
        <row r="50">
          <cell r="C50">
            <v>-7.3798809916246766E-3</v>
          </cell>
          <cell r="P50">
            <v>-7.9281650999853959E-3</v>
          </cell>
        </row>
      </sheetData>
      <sheetData sheetId="1" refreshError="1"/>
      <sheetData sheetId="2" refreshError="1"/>
      <sheetData sheetId="3" refreshError="1"/>
      <sheetData sheetId="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4705.400740625002" createdVersion="5" refreshedVersion="7" minRefreshableVersion="3" recordCount="1704" xr:uid="{00000000-000A-0000-FFFF-FFFF7E000000}">
  <cacheSource type="external" connectionId="4"/>
  <cacheFields count="6">
    <cacheField name="data_type" numFmtId="0">
      <sharedItems count="6">
        <s v="credit"/>
        <s v="deficit"/>
        <s v="volume"/>
        <s v="CI"/>
        <s v="volume_OR" u="1"/>
        <s v="volume_EX" u="1"/>
      </sharedItems>
    </cacheField>
    <cacheField name="fuel_name" numFmtId="0">
      <sharedItems count="29">
        <s v="Biodiesel"/>
        <s v="Bio_LNG"/>
        <s v="Diesel"/>
        <s v="Diesel_B20"/>
        <s v="Diesel_B5"/>
        <s v="Electricity_Off_Fork"/>
        <s v="Electricity_Off_Fixed"/>
        <s v="Electricity_Off_Other"/>
        <s v="Electricity_On"/>
        <s v="Ethanol&lt;55"/>
        <s v="Ethanol&gt;75"/>
        <s v="Ethanol55-65"/>
        <s v="Ethanol65-75"/>
        <s v="Fossil_CNG"/>
        <s v="Fossil_LNG"/>
        <s v="Gasoline"/>
        <s v="Gasoline_E10"/>
        <s v="Liq_Petroleum"/>
        <s v="Diesel_Renew"/>
        <s v="Liq_Pet_Renew"/>
        <s v="electricity_res_base"/>
        <s v="electricity_res_inc"/>
        <s v="hydrogen"/>
        <s v="Bio_CNG"/>
        <s v="Ethanol"/>
        <s v="Electricity" u="1"/>
        <s v="electricity_res" u="1"/>
        <s v="Electricity_Off" u="1"/>
        <s v="Diesel_B5_InState" u="1"/>
      </sharedItems>
    </cacheField>
    <cacheField name="period" numFmtId="0">
      <sharedItems containsSemiMixedTypes="0" containsNonDate="0" containsDate="1" containsString="0" minDate="2016-01-01T00:00:00" maxDate="2021-10-02T00:00:00" count="24">
        <d v="2016-01-01T00:00:00"/>
        <d v="2016-04-01T00:00:00"/>
        <d v="2016-07-01T00:00:00"/>
        <d v="2016-10-01T00:00:00"/>
        <d v="2017-01-01T00:00:00"/>
        <d v="2017-04-01T00:00:00"/>
        <d v="2017-07-01T00:00:00"/>
        <d v="2017-10-01T00:00:00"/>
        <d v="2018-01-01T00:00:00"/>
        <d v="2018-04-01T00:00:00"/>
        <d v="2018-07-01T00:00:00"/>
        <d v="2018-10-01T00:00:00"/>
        <d v="2019-01-01T00:00:00"/>
        <d v="2019-04-01T00:00:00"/>
        <d v="2019-07-01T00:00:00"/>
        <d v="2019-10-01T00:00:00"/>
        <d v="2020-01-01T00:00:00"/>
        <d v="2020-04-01T00:00:00"/>
        <d v="2020-07-01T00:00:00"/>
        <d v="2020-10-01T00:00:00"/>
        <d v="2021-01-01T00:00:00"/>
        <d v="2021-04-01T00:00:00"/>
        <d v="2021-07-01T00:00:00"/>
        <d v="2021-10-01T00:00:00"/>
      </sharedItems>
    </cacheField>
    <cacheField name="quantity" numFmtId="0">
      <sharedItems containsString="0" containsBlank="1" containsNumber="1" minValue="-20717409" maxValue="398951677"/>
    </cacheField>
    <cacheField name="fuel_category" numFmtId="0">
      <sharedItems count="9">
        <s v="Diesel"/>
        <s v="Natural Gas"/>
        <s v="Electricity"/>
        <s v="Ethanol"/>
        <s v="Gasoline"/>
        <s v="Liq_Petroleum_Gas"/>
        <s v="Hydrogen"/>
        <s v="Biodiesel"/>
        <s v="Diesel_Renew"/>
      </sharedItems>
    </cacheField>
    <cacheField name="fuel_type" numFmtId="0">
      <sharedItems count="5">
        <s v="Alternative"/>
        <s v="Fossil"/>
        <s v="Ethanol"/>
        <s v="Biodiesel"/>
        <s v="Diesel_Renew"/>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4778.360553240738" createdVersion="5" refreshedVersion="7" minRefreshableVersion="3" recordCount="313" xr:uid="{00000000-000A-0000-FFFF-FFFF7F000000}">
  <cacheSource type="external" connectionId="3"/>
  <cacheFields count="8">
    <cacheField name="Period" numFmtId="0">
      <sharedItems containsSemiMixedTypes="0" containsNonDate="0" containsDate="1" containsString="0" minDate="2018-01-01T00:00:00" maxDate="2022-01-02T00:00:00" count="5">
        <d v="2022-01-01T00:00:00"/>
        <d v="2021-01-01T00:00:00"/>
        <d v="2020-01-01T00:00:00"/>
        <d v="2019-01-01T00:00:00"/>
        <d v="2018-01-01T00:00:00"/>
      </sharedItems>
    </cacheField>
    <cacheField name="CFP_ID" numFmtId="0">
      <sharedItems containsString="0" containsBlank="1" containsNumber="1" containsInteger="1" minValue="1000" maxValue="7765" count="88">
        <m/>
        <n v="1166"/>
        <n v="1773"/>
        <n v="3514"/>
        <n v="3652"/>
        <n v="3683"/>
        <n v="3697"/>
        <n v="3723"/>
        <n v="3862"/>
        <n v="3919"/>
        <n v="3994"/>
        <n v="4060"/>
        <n v="4061"/>
        <n v="4063"/>
        <n v="4137"/>
        <n v="4305"/>
        <n v="4320"/>
        <n v="4528"/>
        <n v="4552"/>
        <n v="4664"/>
        <n v="4727"/>
        <n v="4735"/>
        <n v="4736"/>
        <n v="4754"/>
        <n v="4764"/>
        <n v="4766"/>
        <n v="4783"/>
        <n v="4786"/>
        <n v="4789"/>
        <n v="4791"/>
        <n v="4793"/>
        <n v="4803"/>
        <n v="4804"/>
        <n v="4805"/>
        <n v="4810"/>
        <n v="4831"/>
        <n v="4888"/>
        <n v="5026"/>
        <n v="5046"/>
        <n v="5078"/>
        <n v="5095"/>
        <n v="5504"/>
        <n v="5934"/>
        <n v="5953"/>
        <n v="5998"/>
        <n v="6129"/>
        <n v="6130"/>
        <n v="6137"/>
        <n v="6169"/>
        <n v="6222"/>
        <n v="6268"/>
        <n v="6274"/>
        <n v="6320"/>
        <n v="6326"/>
        <n v="6459"/>
        <n v="6497"/>
        <n v="6523"/>
        <n v="1000"/>
        <n v="1001"/>
        <n v="3360"/>
        <n v="3367"/>
        <n v="3368"/>
        <n v="3383"/>
        <n v="3702"/>
        <n v="3758"/>
        <n v="3805"/>
        <n v="4015"/>
        <n v="4054"/>
        <n v="4094"/>
        <n v="4285"/>
        <n v="4728"/>
        <n v="4740"/>
        <n v="4769"/>
        <n v="4792"/>
        <n v="4827"/>
        <n v="4846"/>
        <n v="4887"/>
        <n v="5049"/>
        <n v="5073"/>
        <n v="5214"/>
        <n v="5715"/>
        <n v="5769"/>
        <n v="5981"/>
        <n v="6094"/>
        <n v="6322"/>
        <n v="6412"/>
        <n v="7765"/>
        <n v="4755"/>
      </sharedItems>
    </cacheField>
    <cacheField name="Company_name" numFmtId="0">
      <sharedItems/>
    </cacheField>
    <cacheField name="City" numFmtId="0">
      <sharedItems containsBlank="1" count="113">
        <s v="Sacramento"/>
        <s v="Aumsville"/>
        <s v="Lynden"/>
        <s v="Point Reyes"/>
        <s v="Filer"/>
        <s v="Milford"/>
        <s v="Avondale"/>
        <s v="Dickinson"/>
        <s v="Lethbridge"/>
        <s v="Newton"/>
        <s v="Seneca"/>
        <s v="Iowa Falls"/>
        <s v="Boardman"/>
        <s v="DANVILLE"/>
        <s v="Sandusky"/>
        <s v="Delta"/>
        <s v="Sinclair"/>
        <s v="Sioux City"/>
        <s v="Redfield"/>
        <s v="ATWATER"/>
        <s v="Singapore"/>
        <s v="Albert Lea"/>
        <s v="Blaine"/>
        <m/>
        <s v="Sgt. Bluff"/>
        <s v="St. Joseph"/>
        <s v="Batesville"/>
        <s v="Chancellor"/>
        <s v="Yuma"/>
        <s v="Big Stone City"/>
        <s v="Trenton"/>
        <s v="Mina"/>
        <s v="Watertown"/>
        <s v="Sterling"/>
        <s v="Coon Rapids"/>
        <s v="Jewell"/>
        <s v="Mitchell"/>
        <s v="Hudson"/>
        <s v="Groton_x000a_"/>
        <s v="Richardton"/>
        <s v="Benson"/>
        <s v="Ravenna"/>
        <s v="Wentworth"/>
        <s v="Adams"/>
        <s v="Velva"/>
        <s v="Jackson"/>
        <s v="Corning"/>
        <s v="Plainview"/>
        <s v="Madrid"/>
        <s v="HILBERT"/>
        <s v="Bridgeport"/>
        <s v="PYEONGTAEK-SI"/>
        <s v="CLEBURNE"/>
        <s v="CROSSETT"/>
        <s v="NEW ALBANY"/>
        <s v="Salem"/>
        <s v="Mason City"/>
        <s v="Lloydminster"/>
        <s v="Hankinson"/>
        <s v="SENECA FALLS"/>
        <s v="Geismar"/>
        <s v="Onida"/>
        <s v="Louisville"/>
        <s v="Hoquiam"/>
        <s v="SAINT-THOMAS"/>
        <s v="Athens"/>
        <s v="IMPERIAL"/>
        <s v="Kersey"/>
        <s v="Sacremento"/>
        <s v="Rodeo"/>
        <s v="Aberdeen"/>
        <s v="Huron"/>
        <s v="CAMPBELLSPORT"/>
        <s v="Euless"/>
        <s v="OUTLOOK"/>
        <s v="Springfield"/>
        <s v="Ord"/>
        <s v="Seattle"/>
        <s v="Central City"/>
        <s v="Janesville"/>
        <s v="Burley"/>
        <s v="Stockton"/>
        <s v="Quatá"/>
        <s v="Hamilton"/>
        <s v="Piracicaba"/>
        <s v="Heron Lake"/>
        <s v="Garden City"/>
        <s v="Deerfield"/>
        <s v="Marcus"/>
        <s v="Oakley"/>
        <s v="Granite Falls"/>
        <s v="Emmetsburg"/>
        <s v="Winthrop"/>
        <s v="Guymon"/>
        <s v="MEXICO"/>
        <s v="Columbus"/>
        <s v="St. Ansgar"/>
        <s v="Shenandoah"/>
        <s v="Sutherland"/>
        <s v="Liberal"/>
        <s v="Kansas City"/>
        <s v="Shiheung-City"/>
        <s v="Foam Lake"/>
        <s v="Ulsan"/>
        <s v="Waynesburg"/>
        <s v="Beatrice"/>
        <s v="St Joseph"/>
        <s v="El Paso"/>
        <s v="Quata"/>
        <s v="Costa Pinto"/>
        <s v="Lakota"/>
        <s v="Groton"/>
        <s v="Ulju-gun"/>
      </sharedItems>
    </cacheField>
    <cacheField name="State" numFmtId="0">
      <sharedItems count="47">
        <s v="CA"/>
        <s v="OR"/>
        <s v="WA"/>
        <s v="ID"/>
        <s v="UT"/>
        <s v="LA"/>
        <s v="ND"/>
        <s v="Alberta"/>
        <s v="IA"/>
        <s v="IL"/>
        <s v="MI"/>
        <s v="British Columbia"/>
        <s v="WY"/>
        <s v="SD"/>
        <s v="MN"/>
        <s v="Singapore"/>
        <s v="MO"/>
        <s v="AR"/>
        <s v="CO"/>
        <s v="NE"/>
        <s v="TX"/>
        <s v="WI"/>
        <s v="GYEONGGI-DO"/>
        <s v="MS"/>
        <s v="NY"/>
        <s v="KY"/>
        <s v="Quebec"/>
        <s v="TN"/>
        <s v="PA"/>
        <s v="QC"/>
        <s v="SP"/>
        <s v="Ontario"/>
        <s v="KS"/>
        <s v=""/>
        <s v="OK"/>
        <s v="Kyonggi-do"/>
        <s v="Saskatchewan"/>
        <s v="Ulju-gun"/>
        <s v="OH"/>
        <s v="BRAZIL"/>
        <s v="CANADA"/>
        <s v="KOREA"/>
        <s v="South Dakota" u="1"/>
        <s v="Iowa" u="1"/>
        <s v="Colorado" u="1"/>
        <s v="Asia" u="1"/>
        <s v="Nebraska" u="1"/>
      </sharedItems>
    </cacheField>
    <cacheField name="fuel_name" numFmtId="0">
      <sharedItems count="15">
        <s v="Hydrogen_x000a_ "/>
        <s v="Electricity_x000a_ "/>
        <s v="Compressed Natural Gas_x000a_ "/>
        <s v="Renewable Diesel_x000a_ "/>
        <s v="Biodiesel_x000a_ "/>
        <s v="Ethanol_x000a_ "/>
        <s v="Renewable Propane_x000a_ "/>
        <s v="Compressed Natural Gas_x000a_ Compressed Natural Gas_x000a_ "/>
        <s v="Renewable Diesel"/>
        <s v="Liquefied Petroleum Gas_x000a_ "/>
        <s v="Ethanol"/>
        <s v="Biodiesel"/>
        <s v="diesel_renew"/>
        <s v="Natural Gas"/>
        <s v="Compressed Natural Gas" u="1"/>
      </sharedItems>
    </cacheField>
    <cacheField name="Total Cap" numFmtId="0">
      <sharedItems containsString="0" containsBlank="1" containsNumber="1" minValue="1385" maxValue="2147483647"/>
    </cacheField>
    <cacheField name="CI" numFmtId="0">
      <sharedItems containsSemiMixedTypes="0" containsString="0" containsNumber="1" minValue="-698.21" maxValue="156.13" count="193">
        <n v="156.13"/>
        <n v="-218.32666666666668"/>
        <n v="-40.406666666666659"/>
        <n v="-637.45000000000005"/>
        <n v="-698.21"/>
        <n v="-563.76499999999999"/>
        <n v="45.3"/>
        <n v="43.815714285714286"/>
        <n v="55"/>
        <n v="65"/>
        <n v="35.166666666666664"/>
        <n v="32.571428571428569"/>
        <n v="53.643333333333338"/>
        <n v="54.25"/>
        <n v="36.383333333333333"/>
        <n v="16.13"/>
        <n v="20.99"/>
        <n v="58.38"/>
        <n v="42.885000000000005"/>
        <n v="56.6"/>
        <n v="54.88"/>
        <n v="34.76"/>
        <n v="31.013333333333335"/>
        <n v="54.82"/>
        <n v="55.25333333333333"/>
        <n v="52.81"/>
        <n v="53.57"/>
        <n v="29.704999999999998"/>
        <n v="35.185000000000002"/>
        <n v="52.64"/>
        <n v="49.46"/>
        <n v="53.18"/>
        <n v="58.866666666666667"/>
        <n v="58.41"/>
        <n v="59.95"/>
        <n v="52.24"/>
        <n v="49.543333333333329"/>
        <n v="46.4"/>
        <n v="48.166666666666664"/>
        <n v="48.45333333333334"/>
        <n v="49.236666666666657"/>
        <n v="55.8"/>
        <n v="60.709999999999994"/>
        <n v="45.97"/>
        <n v="49.457499999999996"/>
        <n v="53.97"/>
        <n v="46.41"/>
        <n v="43.293333333333329"/>
        <n v="47.083333333333336"/>
        <n v="39.520000000000003"/>
        <n v="47.199999999999996"/>
        <n v="45.48"/>
        <n v="-150"/>
        <n v="50.2"/>
        <n v="27.48"/>
        <n v="30.58"/>
        <n v="28.97"/>
        <n v="30.77"/>
        <n v="24.936666666666664"/>
        <n v="34.43333333333333"/>
        <n v="46.51"/>
        <n v="44.656666666666666"/>
        <n v="45.35"/>
        <n v="31.964285714285715"/>
        <n v="33.950000000000003"/>
        <n v="61.605000000000004"/>
        <n v="57.84"/>
        <n v="37.366666666666667"/>
        <n v="36.549999999999997"/>
        <n v="47.88"/>
        <n v="54.93"/>
        <n v="68.300000000000011"/>
        <n v="154.63999999999999"/>
        <n v="70.55"/>
        <n v="45"/>
        <n v="52.995000000000005"/>
        <n v="43.775000000000006"/>
        <n v="36.04"/>
        <n v="30.88666666666667"/>
        <n v="49.38"/>
        <n v="52.18"/>
        <n v="59.75"/>
        <n v="58.424999999999997"/>
        <n v="61.174999999999997"/>
        <n v="58.994999999999997"/>
        <n v="56.594999999999999"/>
        <n v="54.53"/>
        <n v="54.13"/>
        <n v="44.043333333333329"/>
        <n v="43.3"/>
        <n v="52.73"/>
        <n v="34.952500000000001"/>
        <n v="58.164999999999999"/>
        <n v="32.214285714285715"/>
        <n v="70"/>
        <n v="51.33"/>
        <n v="62.64"/>
        <n v="28.59"/>
        <n v="58.51"/>
        <n v="62.4"/>
        <n v="34.1"/>
        <n v="51.48"/>
        <n v="54"/>
        <n v="55.3"/>
        <n v="49.27"/>
        <n v="30.083333333333332"/>
        <n v="41.24"/>
        <n v="20.38"/>
        <n v="65.13"/>
        <n v="65.180000000000007"/>
        <n v="54.629999999999995"/>
        <n v="59.489999999999995"/>
        <n v="59.99666666666667"/>
        <n v="56.760000000000005"/>
        <n v="64.7"/>
        <n v="31.509999999999998"/>
        <n v="49.16"/>
        <n v="30.140000000000004"/>
        <n v="26.92"/>
        <n v="50"/>
        <n v="50.46"/>
        <n v="32.524999999999999"/>
        <n v="45.263333333333328"/>
        <n v="63.405000000000001"/>
        <n v="55.48"/>
        <n v="67.819999999999993"/>
        <n v="60.663333333333334"/>
        <n v="57.55"/>
        <n v="67.989999999999995"/>
        <n v="67.010000000000005"/>
        <n v="57.6"/>
        <n v="62.1"/>
        <n v="66.599999999999994"/>
        <n v="54.596000000000004"/>
        <n v="67.52"/>
        <n v="65.78"/>
        <n v="53"/>
        <n v="50.25"/>
        <n v="68.040000000000006"/>
        <n v="58.475000000000001"/>
        <n v="36.167500000000004"/>
        <n v="50.85"/>
        <n v="52.25"/>
        <n v="69.27"/>
        <n v="54.861666666666672"/>
        <n v="66.16"/>
        <n v="64.489999999999995"/>
        <n v="62.67"/>
        <n v="57.68"/>
        <n v="59.58"/>
        <n v="57.63"/>
        <n v="69.435000000000002"/>
        <n v="54.94"/>
        <n v="55.23"/>
        <n v="26.84"/>
        <n v="59.24"/>
        <n v="20"/>
        <n v="15.43"/>
        <n v="36.969000000000001"/>
        <n v="60.11"/>
        <n v="33.988"/>
        <n v="56.77"/>
        <n v="43.97"/>
        <n v="42.959999999999994"/>
        <n v="30.862499999999997"/>
        <n v="51.98"/>
        <n v="25.7"/>
        <n v="52.644999999999996"/>
        <n v="56.55"/>
        <n v="61.8"/>
        <n v="62.555000000000007"/>
        <n v="32.478750000000005"/>
        <n v="27.900000000000002"/>
        <n v="53.284999999999997"/>
        <n v="69.22"/>
        <n v="58.388333333333343"/>
        <n v="67.3"/>
        <n v="67.180000000000007"/>
        <n v="60.349999999999994"/>
        <n v="63.414999999999992"/>
        <n v="35.880000000000003"/>
        <n v="40.772500000000001"/>
        <n v="34.866666666666667"/>
        <n v="63.96"/>
        <n v="43.025999999999996"/>
        <n v="37.28"/>
        <n v="57.680000000000007" u="1"/>
        <n v="58.388333333333328" u="1"/>
        <n v="55.29999999999999" u="1"/>
        <n v="30.886666666666667" u="1"/>
        <n v="32.478749999999998" u="1"/>
        <n v="49.457500000000003" u="1"/>
        <n v="52.645000000000003"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4806.580099537037" createdVersion="6" refreshedVersion="7" minRefreshableVersion="3" recordCount="255" xr:uid="{00000000-000A-0000-FFFF-FFFF83000000}">
  <cacheSource type="external" connectionId="5"/>
  <cacheFields count="5">
    <cacheField name="forecast_date" numFmtId="0">
      <sharedItems containsSemiMixedTypes="0" containsNonDate="0" containsDate="1" containsString="0" minDate="2018-01-01T00:00:00" maxDate="2023-01-02T00:00:00" count="6">
        <d v="2018-01-01T00:00:00"/>
        <d v="2019-01-01T00:00:00"/>
        <d v="2020-01-01T00:00:00"/>
        <d v="2021-01-01T00:00:00"/>
        <d v="2022-01-01T00:00:00"/>
        <d v="2023-01-01T00:00:00"/>
      </sharedItems>
    </cacheField>
    <cacheField name="period" numFmtId="0">
      <sharedItems containsSemiMixedTypes="0" containsNonDate="0" containsDate="1" containsString="0" minDate="2018-01-01T00:00:00" maxDate="2023-01-02T00:00:00" count="6">
        <d v="2018-01-01T00:00:00"/>
        <d v="2019-01-01T00:00:00"/>
        <d v="2020-01-01T00:00:00"/>
        <d v="2021-01-01T00:00:00"/>
        <d v="2022-01-01T00:00:00"/>
        <d v="2023-01-01T00:00:00"/>
      </sharedItems>
    </cacheField>
    <cacheField name="fuel_name" numFmtId="0">
      <sharedItems count="21">
        <s v="Biodiesel"/>
        <s v="Biogas"/>
        <s v="CBOB"/>
        <s v="diesel"/>
        <s v="Diesel_Renew"/>
        <s v="EEReon"/>
        <s v="EERng"/>
        <s v="Electricity_On"/>
        <s v="Ethanol"/>
        <s v="Fossil_CNG"/>
        <s v="Fossil_LNG"/>
        <s v="gasoline"/>
        <s v="gasoline_E10"/>
        <s v="Hydrogen"/>
        <s v="Jet_Fuel"/>
        <s v="KWh_vehicle"/>
        <s v="Liq_Petroleum"/>
        <s v="Electricity_Off"/>
        <s v="Natural_Gas"/>
        <s v="Renewable Diesel"/>
        <s v="EER" u="1"/>
      </sharedItems>
    </cacheField>
    <cacheField name="parameter_name" numFmtId="0">
      <sharedItems count="6">
        <s v="CI_Actual"/>
        <s v="EnDen"/>
        <s v="CI_Target"/>
        <s v="Parameter"/>
        <s v="Growth Rate"/>
        <s v="Blend Rate"/>
      </sharedItems>
    </cacheField>
    <cacheField name="value" numFmtId="0">
      <sharedItems containsString="0" containsBlank="1" containsNumber="1" minValue="-0.106" maxValue="4474.2066983916566"/>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4817.49074976852" createdVersion="5" refreshedVersion="7" minRefreshableVersion="3" recordCount="1775" xr:uid="{00000000-000A-0000-FFFF-FFFF80000000}">
  <cacheSource type="external" connectionId="1"/>
  <cacheFields count="7">
    <cacheField name="data_type" numFmtId="0">
      <sharedItems count="6">
        <s v="credit"/>
        <s v="deficit"/>
        <s v="volume"/>
        <s v="CI"/>
        <s v="volume_OR" u="1"/>
        <s v="volume_EX" u="1"/>
      </sharedItems>
    </cacheField>
    <cacheField name="fuel_name" numFmtId="0">
      <sharedItems count="29">
        <s v="Bio_CNG"/>
        <s v="Biodiesel"/>
        <s v="Bio_LNG"/>
        <s v="Diesel"/>
        <s v="Diesel_B20"/>
        <s v="Diesel_B5"/>
        <s v="Electricity_Off_Fork"/>
        <s v="Electricity_Off_Fixed"/>
        <s v="Electricity_Off_Other"/>
        <s v="Electricity_On"/>
        <s v="Ethanol&lt;55"/>
        <s v="Ethanol&gt;75"/>
        <s v="Ethanol55-65"/>
        <s v="Ethanol65-75"/>
        <s v="Fossil_CNG"/>
        <s v="Fossil_LNG"/>
        <s v="Gasoline"/>
        <s v="Gasoline_E10"/>
        <s v="Liq_Petroleum"/>
        <s v="Diesel_Renew"/>
        <s v="Liq_Pet_Renew"/>
        <s v="electricity_res_base"/>
        <s v="electricity_res_inc"/>
        <s v="hydrogen"/>
        <s v="Ethanol"/>
        <s v="Electricity" u="1"/>
        <s v="electricity_res" u="1"/>
        <s v="Electricity_Off" u="1"/>
        <s v="Diesel_B5_InState" u="1"/>
      </sharedItems>
      <fieldGroup par="6"/>
    </cacheField>
    <cacheField name="period" numFmtId="0">
      <sharedItems containsSemiMixedTypes="0" containsNonDate="0" containsDate="1" containsString="0" minDate="2016-01-01T00:00:00" maxDate="2022-01-02T00:00:00" count="25">
        <d v="2016-01-01T00:00:00"/>
        <d v="2016-04-01T00:00:00"/>
        <d v="2016-07-01T00:00:00"/>
        <d v="2016-10-01T00:00:00"/>
        <d v="2017-01-01T00:00:00"/>
        <d v="2017-04-01T00:00:00"/>
        <d v="2017-07-01T00:00:00"/>
        <d v="2017-10-01T00:00:00"/>
        <d v="2018-01-01T00:00:00"/>
        <d v="2018-04-01T00:00:00"/>
        <d v="2018-07-01T00:00:00"/>
        <d v="2021-10-01T00:00:00"/>
        <d v="2022-01-01T00:00:00"/>
        <d v="2018-10-01T00:00:00"/>
        <d v="2019-01-01T00:00:00"/>
        <d v="2019-04-01T00:00:00"/>
        <d v="2019-07-01T00:00:00"/>
        <d v="2019-10-01T00:00:00"/>
        <d v="2020-01-01T00:00:00"/>
        <d v="2020-04-01T00:00:00"/>
        <d v="2020-07-01T00:00:00"/>
        <d v="2020-10-01T00:00:00"/>
        <d v="2021-01-01T00:00:00"/>
        <d v="2021-04-01T00:00:00"/>
        <d v="2021-07-01T00:00:00"/>
      </sharedItems>
    </cacheField>
    <cacheField name="quantity" numFmtId="0">
      <sharedItems containsString="0" containsBlank="1" containsNumber="1" minValue="-20256771" maxValue="398951677"/>
    </cacheField>
    <cacheField name="fuel_category" numFmtId="0">
      <sharedItems count="9">
        <s v="Natural Gas"/>
        <s v="Diesel"/>
        <s v="Electricity"/>
        <s v="Ethanol"/>
        <s v="Gasoline"/>
        <s v="Liq_Petroleum_Gas"/>
        <s v="Hydrogen"/>
        <s v="Biodiesel"/>
        <s v="Diesel_Renew"/>
      </sharedItems>
    </cacheField>
    <cacheField name="fuel_type" numFmtId="0">
      <sharedItems count="5">
        <s v="Alternative"/>
        <s v="Fossil"/>
        <s v="Ethanol"/>
        <s v="Biodiesel"/>
        <s v="Diesel_Renew"/>
      </sharedItems>
    </cacheField>
    <cacheField name="fuel_name2" numFmtId="0" databaseField="0">
      <fieldGroup base="1">
        <discretePr count="29">
          <x v="0"/>
          <x v="1"/>
          <x v="2"/>
          <x v="3"/>
          <x v="4"/>
          <x v="5"/>
          <x v="24"/>
          <x v="24"/>
          <x v="24"/>
          <x v="7"/>
          <x v="8"/>
          <x v="9"/>
          <x v="10"/>
          <x v="11"/>
          <x v="12"/>
          <x v="13"/>
          <x v="14"/>
          <x v="15"/>
          <x v="16"/>
          <x v="17"/>
          <x v="18"/>
          <x v="25"/>
          <x v="25"/>
          <x v="20"/>
          <x v="21"/>
          <x v="6"/>
          <x v="19"/>
          <x v="22"/>
          <x v="23"/>
        </discretePr>
        <groupItems count="26">
          <s v="Bio_CNG"/>
          <s v="Biodiesel"/>
          <s v="Bio_LNG"/>
          <s v="Diesel"/>
          <s v="Diesel_B20"/>
          <s v="Diesel_B5"/>
          <s v="Electricity"/>
          <s v="Electricity_On"/>
          <s v="Ethanol&lt;55"/>
          <s v="Ethanol&gt;75"/>
          <s v="Ethanol55-65"/>
          <s v="Ethanol65-75"/>
          <s v="Fossil_CNG"/>
          <s v="Fossil_LNG"/>
          <s v="Gasoline"/>
          <s v="Gasoline_E10"/>
          <s v="Liq_Petroleum"/>
          <s v="Diesel_Renew"/>
          <s v="Liq_Pet_Renew"/>
          <s v="electricity_res"/>
          <s v="hydrogen"/>
          <s v="Ethanol"/>
          <s v="Electricity_Off"/>
          <s v="Diesel_B5_InState"/>
          <s v="Group1"/>
          <s v="Group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04">
  <r>
    <x v="0"/>
    <x v="0"/>
    <x v="0"/>
    <n v="58529"/>
    <x v="0"/>
    <x v="0"/>
  </r>
  <r>
    <x v="0"/>
    <x v="1"/>
    <x v="0"/>
    <n v="474"/>
    <x v="1"/>
    <x v="0"/>
  </r>
  <r>
    <x v="0"/>
    <x v="2"/>
    <x v="0"/>
    <n v="230"/>
    <x v="0"/>
    <x v="1"/>
  </r>
  <r>
    <x v="0"/>
    <x v="3"/>
    <x v="0"/>
    <n v="0"/>
    <x v="0"/>
    <x v="1"/>
  </r>
  <r>
    <x v="0"/>
    <x v="4"/>
    <x v="0"/>
    <n v="129"/>
    <x v="0"/>
    <x v="1"/>
  </r>
  <r>
    <x v="0"/>
    <x v="5"/>
    <x v="0"/>
    <n v="0"/>
    <x v="2"/>
    <x v="0"/>
  </r>
  <r>
    <x v="0"/>
    <x v="6"/>
    <x v="0"/>
    <n v="0"/>
    <x v="2"/>
    <x v="0"/>
  </r>
  <r>
    <x v="0"/>
    <x v="7"/>
    <x v="0"/>
    <n v="0"/>
    <x v="2"/>
    <x v="0"/>
  </r>
  <r>
    <x v="0"/>
    <x v="8"/>
    <x v="0"/>
    <n v="321"/>
    <x v="2"/>
    <x v="0"/>
  </r>
  <r>
    <x v="0"/>
    <x v="9"/>
    <x v="0"/>
    <n v="35773"/>
    <x v="3"/>
    <x v="0"/>
  </r>
  <r>
    <x v="0"/>
    <x v="10"/>
    <x v="0"/>
    <n v="2223"/>
    <x v="3"/>
    <x v="0"/>
  </r>
  <r>
    <x v="0"/>
    <x v="11"/>
    <x v="0"/>
    <n v="40263"/>
    <x v="3"/>
    <x v="0"/>
  </r>
  <r>
    <x v="0"/>
    <x v="12"/>
    <x v="0"/>
    <n v="60400"/>
    <x v="3"/>
    <x v="0"/>
  </r>
  <r>
    <x v="0"/>
    <x v="13"/>
    <x v="0"/>
    <n v="61"/>
    <x v="1"/>
    <x v="0"/>
  </r>
  <r>
    <x v="0"/>
    <x v="14"/>
    <x v="0"/>
    <n v="0"/>
    <x v="1"/>
    <x v="0"/>
  </r>
  <r>
    <x v="0"/>
    <x v="15"/>
    <x v="0"/>
    <n v="0"/>
    <x v="4"/>
    <x v="1"/>
  </r>
  <r>
    <x v="0"/>
    <x v="16"/>
    <x v="0"/>
    <n v="351"/>
    <x v="4"/>
    <x v="1"/>
  </r>
  <r>
    <x v="0"/>
    <x v="17"/>
    <x v="0"/>
    <n v="28"/>
    <x v="5"/>
    <x v="0"/>
  </r>
  <r>
    <x v="0"/>
    <x v="18"/>
    <x v="0"/>
    <n v="0"/>
    <x v="0"/>
    <x v="0"/>
  </r>
  <r>
    <x v="0"/>
    <x v="19"/>
    <x v="0"/>
    <n v="0"/>
    <x v="5"/>
    <x v="0"/>
  </r>
  <r>
    <x v="0"/>
    <x v="20"/>
    <x v="0"/>
    <n v="8573"/>
    <x v="2"/>
    <x v="0"/>
  </r>
  <r>
    <x v="0"/>
    <x v="21"/>
    <x v="0"/>
    <n v="0"/>
    <x v="2"/>
    <x v="0"/>
  </r>
  <r>
    <x v="0"/>
    <x v="22"/>
    <x v="0"/>
    <n v="0"/>
    <x v="6"/>
    <x v="0"/>
  </r>
  <r>
    <x v="1"/>
    <x v="23"/>
    <x v="0"/>
    <n v="0"/>
    <x v="1"/>
    <x v="0"/>
  </r>
  <r>
    <x v="1"/>
    <x v="0"/>
    <x v="0"/>
    <n v="148"/>
    <x v="0"/>
    <x v="0"/>
  </r>
  <r>
    <x v="1"/>
    <x v="1"/>
    <x v="0"/>
    <n v="0"/>
    <x v="1"/>
    <x v="0"/>
  </r>
  <r>
    <x v="1"/>
    <x v="2"/>
    <x v="0"/>
    <n v="56065"/>
    <x v="0"/>
    <x v="1"/>
  </r>
  <r>
    <x v="1"/>
    <x v="3"/>
    <x v="0"/>
    <n v="0"/>
    <x v="0"/>
    <x v="1"/>
  </r>
  <r>
    <x v="1"/>
    <x v="4"/>
    <x v="0"/>
    <n v="455"/>
    <x v="0"/>
    <x v="1"/>
  </r>
  <r>
    <x v="1"/>
    <x v="5"/>
    <x v="0"/>
    <n v="0"/>
    <x v="2"/>
    <x v="0"/>
  </r>
  <r>
    <x v="1"/>
    <x v="6"/>
    <x v="0"/>
    <n v="0"/>
    <x v="2"/>
    <x v="0"/>
  </r>
  <r>
    <x v="1"/>
    <x v="7"/>
    <x v="0"/>
    <n v="0"/>
    <x v="2"/>
    <x v="0"/>
  </r>
  <r>
    <x v="1"/>
    <x v="8"/>
    <x v="0"/>
    <n v="0"/>
    <x v="2"/>
    <x v="0"/>
  </r>
  <r>
    <x v="1"/>
    <x v="9"/>
    <x v="0"/>
    <n v="0"/>
    <x v="3"/>
    <x v="0"/>
  </r>
  <r>
    <x v="1"/>
    <x v="10"/>
    <x v="0"/>
    <n v="0"/>
    <x v="3"/>
    <x v="0"/>
  </r>
  <r>
    <x v="1"/>
    <x v="11"/>
    <x v="0"/>
    <n v="0"/>
    <x v="3"/>
    <x v="0"/>
  </r>
  <r>
    <x v="1"/>
    <x v="12"/>
    <x v="0"/>
    <n v="0"/>
    <x v="3"/>
    <x v="0"/>
  </r>
  <r>
    <x v="1"/>
    <x v="13"/>
    <x v="0"/>
    <n v="0"/>
    <x v="1"/>
    <x v="0"/>
  </r>
  <r>
    <x v="1"/>
    <x v="14"/>
    <x v="0"/>
    <n v="0"/>
    <x v="1"/>
    <x v="0"/>
  </r>
  <r>
    <x v="1"/>
    <x v="15"/>
    <x v="0"/>
    <n v="104547"/>
    <x v="4"/>
    <x v="1"/>
  </r>
  <r>
    <x v="1"/>
    <x v="16"/>
    <x v="0"/>
    <n v="484"/>
    <x v="4"/>
    <x v="1"/>
  </r>
  <r>
    <x v="1"/>
    <x v="17"/>
    <x v="0"/>
    <n v="0"/>
    <x v="5"/>
    <x v="0"/>
  </r>
  <r>
    <x v="1"/>
    <x v="18"/>
    <x v="0"/>
    <n v="0"/>
    <x v="0"/>
    <x v="0"/>
  </r>
  <r>
    <x v="1"/>
    <x v="19"/>
    <x v="0"/>
    <n v="0"/>
    <x v="5"/>
    <x v="0"/>
  </r>
  <r>
    <x v="1"/>
    <x v="22"/>
    <x v="0"/>
    <n v="0"/>
    <x v="6"/>
    <x v="0"/>
  </r>
  <r>
    <x v="2"/>
    <x v="23"/>
    <x v="0"/>
    <n v="0"/>
    <x v="1"/>
    <x v="0"/>
  </r>
  <r>
    <x v="2"/>
    <x v="0"/>
    <x v="0"/>
    <n v="11353817"/>
    <x v="0"/>
    <x v="0"/>
  </r>
  <r>
    <x v="2"/>
    <x v="1"/>
    <x v="0"/>
    <n v="88727"/>
    <x v="1"/>
    <x v="0"/>
  </r>
  <r>
    <x v="2"/>
    <x v="2"/>
    <x v="0"/>
    <n v="190787754"/>
    <x v="0"/>
    <x v="1"/>
  </r>
  <r>
    <x v="2"/>
    <x v="3"/>
    <x v="0"/>
    <n v="0"/>
    <x v="0"/>
    <x v="1"/>
  </r>
  <r>
    <x v="2"/>
    <x v="4"/>
    <x v="0"/>
    <n v="10272272"/>
    <x v="0"/>
    <x v="1"/>
  </r>
  <r>
    <x v="2"/>
    <x v="5"/>
    <x v="0"/>
    <n v="0"/>
    <x v="2"/>
    <x v="0"/>
  </r>
  <r>
    <x v="2"/>
    <x v="6"/>
    <x v="0"/>
    <n v="0"/>
    <x v="2"/>
    <x v="0"/>
  </r>
  <r>
    <x v="2"/>
    <x v="7"/>
    <x v="0"/>
    <n v="0"/>
    <x v="2"/>
    <x v="0"/>
  </r>
  <r>
    <x v="2"/>
    <x v="8"/>
    <x v="0"/>
    <n v="7061"/>
    <x v="2"/>
    <x v="0"/>
  </r>
  <r>
    <x v="2"/>
    <x v="9"/>
    <x v="0"/>
    <n v="10084584"/>
    <x v="3"/>
    <x v="0"/>
  </r>
  <r>
    <x v="2"/>
    <x v="10"/>
    <x v="0"/>
    <n v="1219304"/>
    <x v="3"/>
    <x v="0"/>
  </r>
  <r>
    <x v="2"/>
    <x v="11"/>
    <x v="0"/>
    <n v="14139186"/>
    <x v="3"/>
    <x v="0"/>
  </r>
  <r>
    <x v="2"/>
    <x v="12"/>
    <x v="0"/>
    <n v="24779263"/>
    <x v="3"/>
    <x v="0"/>
  </r>
  <r>
    <x v="2"/>
    <x v="13"/>
    <x v="0"/>
    <n v="47944"/>
    <x v="1"/>
    <x v="0"/>
  </r>
  <r>
    <x v="2"/>
    <x v="14"/>
    <x v="0"/>
    <n v="0"/>
    <x v="1"/>
    <x v="0"/>
  </r>
  <r>
    <x v="2"/>
    <x v="15"/>
    <x v="0"/>
    <n v="375239852"/>
    <x v="4"/>
    <x v="1"/>
  </r>
  <r>
    <x v="2"/>
    <x v="16"/>
    <x v="0"/>
    <n v="6826453"/>
    <x v="4"/>
    <x v="1"/>
  </r>
  <r>
    <x v="2"/>
    <x v="17"/>
    <x v="0"/>
    <n v="18821"/>
    <x v="5"/>
    <x v="0"/>
  </r>
  <r>
    <x v="2"/>
    <x v="18"/>
    <x v="0"/>
    <n v="0"/>
    <x v="0"/>
    <x v="0"/>
  </r>
  <r>
    <x v="2"/>
    <x v="19"/>
    <x v="0"/>
    <n v="0"/>
    <x v="5"/>
    <x v="0"/>
  </r>
  <r>
    <x v="2"/>
    <x v="22"/>
    <x v="0"/>
    <n v="0"/>
    <x v="6"/>
    <x v="0"/>
  </r>
  <r>
    <x v="3"/>
    <x v="24"/>
    <x v="0"/>
    <n v="64.5"/>
    <x v="3"/>
    <x v="2"/>
  </r>
  <r>
    <x v="3"/>
    <x v="0"/>
    <x v="0"/>
    <n v="56.38"/>
    <x v="7"/>
    <x v="3"/>
  </r>
  <r>
    <x v="3"/>
    <x v="18"/>
    <x v="0"/>
    <m/>
    <x v="8"/>
    <x v="4"/>
  </r>
  <r>
    <x v="0"/>
    <x v="23"/>
    <x v="1"/>
    <n v="0"/>
    <x v="1"/>
    <x v="0"/>
  </r>
  <r>
    <x v="0"/>
    <x v="0"/>
    <x v="1"/>
    <n v="65175"/>
    <x v="0"/>
    <x v="0"/>
  </r>
  <r>
    <x v="0"/>
    <x v="1"/>
    <x v="1"/>
    <n v="315"/>
    <x v="1"/>
    <x v="0"/>
  </r>
  <r>
    <x v="0"/>
    <x v="2"/>
    <x v="1"/>
    <n v="998"/>
    <x v="0"/>
    <x v="1"/>
  </r>
  <r>
    <x v="0"/>
    <x v="3"/>
    <x v="1"/>
    <n v="0"/>
    <x v="0"/>
    <x v="1"/>
  </r>
  <r>
    <x v="0"/>
    <x v="4"/>
    <x v="1"/>
    <n v="185"/>
    <x v="0"/>
    <x v="1"/>
  </r>
  <r>
    <x v="0"/>
    <x v="5"/>
    <x v="1"/>
    <n v="0"/>
    <x v="2"/>
    <x v="0"/>
  </r>
  <r>
    <x v="0"/>
    <x v="6"/>
    <x v="1"/>
    <n v="0"/>
    <x v="2"/>
    <x v="0"/>
  </r>
  <r>
    <x v="0"/>
    <x v="7"/>
    <x v="1"/>
    <n v="0"/>
    <x v="2"/>
    <x v="0"/>
  </r>
  <r>
    <x v="0"/>
    <x v="8"/>
    <x v="1"/>
    <n v="500"/>
    <x v="2"/>
    <x v="0"/>
  </r>
  <r>
    <x v="0"/>
    <x v="9"/>
    <x v="1"/>
    <n v="40149"/>
    <x v="3"/>
    <x v="0"/>
  </r>
  <r>
    <x v="0"/>
    <x v="10"/>
    <x v="1"/>
    <n v="0"/>
    <x v="3"/>
    <x v="0"/>
  </r>
  <r>
    <x v="0"/>
    <x v="11"/>
    <x v="1"/>
    <n v="40120"/>
    <x v="3"/>
    <x v="0"/>
  </r>
  <r>
    <x v="0"/>
    <x v="12"/>
    <x v="1"/>
    <n v="42330"/>
    <x v="3"/>
    <x v="0"/>
  </r>
  <r>
    <x v="0"/>
    <x v="13"/>
    <x v="1"/>
    <n v="112"/>
    <x v="1"/>
    <x v="0"/>
  </r>
  <r>
    <x v="0"/>
    <x v="14"/>
    <x v="1"/>
    <n v="0"/>
    <x v="1"/>
    <x v="0"/>
  </r>
  <r>
    <x v="0"/>
    <x v="15"/>
    <x v="1"/>
    <n v="703"/>
    <x v="4"/>
    <x v="1"/>
  </r>
  <r>
    <x v="0"/>
    <x v="16"/>
    <x v="1"/>
    <n v="388"/>
    <x v="4"/>
    <x v="1"/>
  </r>
  <r>
    <x v="0"/>
    <x v="17"/>
    <x v="1"/>
    <n v="28"/>
    <x v="5"/>
    <x v="0"/>
  </r>
  <r>
    <x v="0"/>
    <x v="18"/>
    <x v="1"/>
    <n v="0"/>
    <x v="0"/>
    <x v="0"/>
  </r>
  <r>
    <x v="0"/>
    <x v="19"/>
    <x v="1"/>
    <n v="0"/>
    <x v="5"/>
    <x v="0"/>
  </r>
  <r>
    <x v="0"/>
    <x v="20"/>
    <x v="1"/>
    <n v="8574"/>
    <x v="2"/>
    <x v="0"/>
  </r>
  <r>
    <x v="0"/>
    <x v="21"/>
    <x v="1"/>
    <n v="0"/>
    <x v="2"/>
    <x v="0"/>
  </r>
  <r>
    <x v="0"/>
    <x v="22"/>
    <x v="1"/>
    <n v="0"/>
    <x v="6"/>
    <x v="0"/>
  </r>
  <r>
    <x v="1"/>
    <x v="23"/>
    <x v="1"/>
    <n v="0"/>
    <x v="1"/>
    <x v="0"/>
  </r>
  <r>
    <x v="1"/>
    <x v="0"/>
    <x v="1"/>
    <n v="1256"/>
    <x v="0"/>
    <x v="0"/>
  </r>
  <r>
    <x v="1"/>
    <x v="1"/>
    <x v="1"/>
    <n v="0"/>
    <x v="1"/>
    <x v="0"/>
  </r>
  <r>
    <x v="1"/>
    <x v="2"/>
    <x v="1"/>
    <n v="47111"/>
    <x v="0"/>
    <x v="1"/>
  </r>
  <r>
    <x v="1"/>
    <x v="3"/>
    <x v="1"/>
    <n v="0"/>
    <x v="0"/>
    <x v="1"/>
  </r>
  <r>
    <x v="1"/>
    <x v="4"/>
    <x v="1"/>
    <n v="213"/>
    <x v="0"/>
    <x v="1"/>
  </r>
  <r>
    <x v="1"/>
    <x v="5"/>
    <x v="1"/>
    <n v="0"/>
    <x v="2"/>
    <x v="0"/>
  </r>
  <r>
    <x v="1"/>
    <x v="6"/>
    <x v="1"/>
    <n v="0"/>
    <x v="2"/>
    <x v="0"/>
  </r>
  <r>
    <x v="1"/>
    <x v="7"/>
    <x v="1"/>
    <n v="0"/>
    <x v="2"/>
    <x v="0"/>
  </r>
  <r>
    <x v="1"/>
    <x v="8"/>
    <x v="1"/>
    <n v="0"/>
    <x v="2"/>
    <x v="0"/>
  </r>
  <r>
    <x v="1"/>
    <x v="9"/>
    <x v="1"/>
    <n v="1516"/>
    <x v="3"/>
    <x v="0"/>
  </r>
  <r>
    <x v="1"/>
    <x v="10"/>
    <x v="1"/>
    <n v="0"/>
    <x v="3"/>
    <x v="0"/>
  </r>
  <r>
    <x v="1"/>
    <x v="11"/>
    <x v="1"/>
    <n v="1817"/>
    <x v="3"/>
    <x v="0"/>
  </r>
  <r>
    <x v="1"/>
    <x v="12"/>
    <x v="1"/>
    <n v="480"/>
    <x v="3"/>
    <x v="0"/>
  </r>
  <r>
    <x v="1"/>
    <x v="13"/>
    <x v="1"/>
    <n v="0"/>
    <x v="1"/>
    <x v="0"/>
  </r>
  <r>
    <x v="1"/>
    <x v="14"/>
    <x v="1"/>
    <n v="0"/>
    <x v="1"/>
    <x v="0"/>
  </r>
  <r>
    <x v="1"/>
    <x v="15"/>
    <x v="1"/>
    <n v="91755"/>
    <x v="4"/>
    <x v="1"/>
  </r>
  <r>
    <x v="1"/>
    <x v="16"/>
    <x v="1"/>
    <n v="414"/>
    <x v="4"/>
    <x v="1"/>
  </r>
  <r>
    <x v="1"/>
    <x v="17"/>
    <x v="1"/>
    <n v="0"/>
    <x v="5"/>
    <x v="0"/>
  </r>
  <r>
    <x v="1"/>
    <x v="18"/>
    <x v="1"/>
    <n v="0"/>
    <x v="0"/>
    <x v="0"/>
  </r>
  <r>
    <x v="1"/>
    <x v="19"/>
    <x v="1"/>
    <n v="0"/>
    <x v="5"/>
    <x v="0"/>
  </r>
  <r>
    <x v="1"/>
    <x v="22"/>
    <x v="1"/>
    <n v="0"/>
    <x v="6"/>
    <x v="0"/>
  </r>
  <r>
    <x v="2"/>
    <x v="23"/>
    <x v="1"/>
    <n v="0"/>
    <x v="1"/>
    <x v="0"/>
  </r>
  <r>
    <x v="2"/>
    <x v="0"/>
    <x v="1"/>
    <n v="11119753"/>
    <x v="0"/>
    <x v="0"/>
  </r>
  <r>
    <x v="2"/>
    <x v="1"/>
    <x v="1"/>
    <n v="81346"/>
    <x v="1"/>
    <x v="0"/>
  </r>
  <r>
    <x v="2"/>
    <x v="2"/>
    <x v="1"/>
    <n v="157566921"/>
    <x v="0"/>
    <x v="1"/>
  </r>
  <r>
    <x v="2"/>
    <x v="3"/>
    <x v="1"/>
    <n v="0"/>
    <x v="0"/>
    <x v="1"/>
  </r>
  <r>
    <x v="2"/>
    <x v="4"/>
    <x v="1"/>
    <n v="921340"/>
    <x v="0"/>
    <x v="1"/>
  </r>
  <r>
    <x v="2"/>
    <x v="5"/>
    <x v="1"/>
    <n v="0"/>
    <x v="2"/>
    <x v="0"/>
  </r>
  <r>
    <x v="2"/>
    <x v="6"/>
    <x v="1"/>
    <n v="0"/>
    <x v="2"/>
    <x v="0"/>
  </r>
  <r>
    <x v="2"/>
    <x v="7"/>
    <x v="1"/>
    <n v="0"/>
    <x v="2"/>
    <x v="0"/>
  </r>
  <r>
    <x v="2"/>
    <x v="8"/>
    <x v="1"/>
    <n v="10979"/>
    <x v="2"/>
    <x v="0"/>
  </r>
  <r>
    <x v="2"/>
    <x v="9"/>
    <x v="1"/>
    <n v="10636624"/>
    <x v="3"/>
    <x v="0"/>
  </r>
  <r>
    <x v="2"/>
    <x v="10"/>
    <x v="1"/>
    <n v="0"/>
    <x v="3"/>
    <x v="0"/>
  </r>
  <r>
    <x v="2"/>
    <x v="11"/>
    <x v="1"/>
    <n v="13543571"/>
    <x v="3"/>
    <x v="0"/>
  </r>
  <r>
    <x v="2"/>
    <x v="12"/>
    <x v="1"/>
    <n v="16846719"/>
    <x v="3"/>
    <x v="0"/>
  </r>
  <r>
    <x v="2"/>
    <x v="13"/>
    <x v="1"/>
    <n v="83529"/>
    <x v="1"/>
    <x v="0"/>
  </r>
  <r>
    <x v="2"/>
    <x v="14"/>
    <x v="1"/>
    <n v="0"/>
    <x v="1"/>
    <x v="0"/>
  </r>
  <r>
    <x v="2"/>
    <x v="15"/>
    <x v="1"/>
    <n v="326790235"/>
    <x v="4"/>
    <x v="1"/>
  </r>
  <r>
    <x v="2"/>
    <x v="16"/>
    <x v="1"/>
    <n v="1428586"/>
    <x v="4"/>
    <x v="1"/>
  </r>
  <r>
    <x v="2"/>
    <x v="17"/>
    <x v="1"/>
    <n v="18876"/>
    <x v="5"/>
    <x v="0"/>
  </r>
  <r>
    <x v="2"/>
    <x v="18"/>
    <x v="1"/>
    <n v="0"/>
    <x v="0"/>
    <x v="0"/>
  </r>
  <r>
    <x v="2"/>
    <x v="19"/>
    <x v="1"/>
    <n v="0"/>
    <x v="5"/>
    <x v="0"/>
  </r>
  <r>
    <x v="2"/>
    <x v="22"/>
    <x v="1"/>
    <n v="0"/>
    <x v="6"/>
    <x v="0"/>
  </r>
  <r>
    <x v="3"/>
    <x v="24"/>
    <x v="1"/>
    <n v="62.85"/>
    <x v="3"/>
    <x v="2"/>
  </r>
  <r>
    <x v="3"/>
    <x v="0"/>
    <x v="1"/>
    <n v="51.31"/>
    <x v="7"/>
    <x v="3"/>
  </r>
  <r>
    <x v="3"/>
    <x v="18"/>
    <x v="1"/>
    <m/>
    <x v="8"/>
    <x v="4"/>
  </r>
  <r>
    <x v="0"/>
    <x v="23"/>
    <x v="2"/>
    <n v="1655"/>
    <x v="1"/>
    <x v="0"/>
  </r>
  <r>
    <x v="0"/>
    <x v="0"/>
    <x v="2"/>
    <n v="76526"/>
    <x v="0"/>
    <x v="0"/>
  </r>
  <r>
    <x v="0"/>
    <x v="1"/>
    <x v="2"/>
    <n v="379"/>
    <x v="1"/>
    <x v="0"/>
  </r>
  <r>
    <x v="0"/>
    <x v="2"/>
    <x v="2"/>
    <n v="102"/>
    <x v="0"/>
    <x v="1"/>
  </r>
  <r>
    <x v="0"/>
    <x v="3"/>
    <x v="2"/>
    <n v="0"/>
    <x v="0"/>
    <x v="1"/>
  </r>
  <r>
    <x v="0"/>
    <x v="4"/>
    <x v="2"/>
    <n v="213"/>
    <x v="0"/>
    <x v="1"/>
  </r>
  <r>
    <x v="0"/>
    <x v="5"/>
    <x v="2"/>
    <n v="0"/>
    <x v="2"/>
    <x v="0"/>
  </r>
  <r>
    <x v="0"/>
    <x v="6"/>
    <x v="2"/>
    <n v="0"/>
    <x v="2"/>
    <x v="0"/>
  </r>
  <r>
    <x v="0"/>
    <x v="7"/>
    <x v="2"/>
    <n v="0"/>
    <x v="2"/>
    <x v="0"/>
  </r>
  <r>
    <x v="0"/>
    <x v="8"/>
    <x v="2"/>
    <n v="684"/>
    <x v="2"/>
    <x v="0"/>
  </r>
  <r>
    <x v="0"/>
    <x v="9"/>
    <x v="2"/>
    <n v="37633"/>
    <x v="3"/>
    <x v="0"/>
  </r>
  <r>
    <x v="0"/>
    <x v="10"/>
    <x v="2"/>
    <n v="622"/>
    <x v="3"/>
    <x v="0"/>
  </r>
  <r>
    <x v="0"/>
    <x v="11"/>
    <x v="2"/>
    <n v="51501"/>
    <x v="3"/>
    <x v="0"/>
  </r>
  <r>
    <x v="0"/>
    <x v="12"/>
    <x v="2"/>
    <n v="51234"/>
    <x v="3"/>
    <x v="0"/>
  </r>
  <r>
    <x v="0"/>
    <x v="13"/>
    <x v="2"/>
    <n v="346"/>
    <x v="1"/>
    <x v="0"/>
  </r>
  <r>
    <x v="0"/>
    <x v="14"/>
    <x v="2"/>
    <n v="0"/>
    <x v="1"/>
    <x v="0"/>
  </r>
  <r>
    <x v="0"/>
    <x v="15"/>
    <x v="2"/>
    <n v="123"/>
    <x v="4"/>
    <x v="1"/>
  </r>
  <r>
    <x v="0"/>
    <x v="16"/>
    <x v="2"/>
    <n v="415"/>
    <x v="4"/>
    <x v="1"/>
  </r>
  <r>
    <x v="0"/>
    <x v="17"/>
    <x v="2"/>
    <n v="13"/>
    <x v="5"/>
    <x v="0"/>
  </r>
  <r>
    <x v="0"/>
    <x v="18"/>
    <x v="2"/>
    <n v="0"/>
    <x v="0"/>
    <x v="0"/>
  </r>
  <r>
    <x v="0"/>
    <x v="19"/>
    <x v="2"/>
    <n v="0"/>
    <x v="5"/>
    <x v="0"/>
  </r>
  <r>
    <x v="0"/>
    <x v="20"/>
    <x v="2"/>
    <n v="8573"/>
    <x v="2"/>
    <x v="0"/>
  </r>
  <r>
    <x v="0"/>
    <x v="21"/>
    <x v="2"/>
    <n v="0"/>
    <x v="2"/>
    <x v="0"/>
  </r>
  <r>
    <x v="0"/>
    <x v="22"/>
    <x v="2"/>
    <n v="0"/>
    <x v="6"/>
    <x v="0"/>
  </r>
  <r>
    <x v="1"/>
    <x v="23"/>
    <x v="2"/>
    <n v="0"/>
    <x v="1"/>
    <x v="0"/>
  </r>
  <r>
    <x v="1"/>
    <x v="0"/>
    <x v="2"/>
    <n v="1287"/>
    <x v="0"/>
    <x v="0"/>
  </r>
  <r>
    <x v="1"/>
    <x v="1"/>
    <x v="2"/>
    <n v="0"/>
    <x v="1"/>
    <x v="0"/>
  </r>
  <r>
    <x v="1"/>
    <x v="2"/>
    <x v="2"/>
    <n v="54209"/>
    <x v="0"/>
    <x v="1"/>
  </r>
  <r>
    <x v="1"/>
    <x v="3"/>
    <x v="2"/>
    <n v="0"/>
    <x v="0"/>
    <x v="1"/>
  </r>
  <r>
    <x v="1"/>
    <x v="4"/>
    <x v="2"/>
    <n v="194"/>
    <x v="0"/>
    <x v="1"/>
  </r>
  <r>
    <x v="1"/>
    <x v="5"/>
    <x v="2"/>
    <n v="0"/>
    <x v="2"/>
    <x v="0"/>
  </r>
  <r>
    <x v="1"/>
    <x v="6"/>
    <x v="2"/>
    <n v="0"/>
    <x v="2"/>
    <x v="0"/>
  </r>
  <r>
    <x v="1"/>
    <x v="7"/>
    <x v="2"/>
    <n v="0"/>
    <x v="2"/>
    <x v="0"/>
  </r>
  <r>
    <x v="1"/>
    <x v="8"/>
    <x v="2"/>
    <n v="0"/>
    <x v="2"/>
    <x v="0"/>
  </r>
  <r>
    <x v="1"/>
    <x v="9"/>
    <x v="2"/>
    <n v="2383"/>
    <x v="3"/>
    <x v="0"/>
  </r>
  <r>
    <x v="1"/>
    <x v="10"/>
    <x v="2"/>
    <n v="0"/>
    <x v="3"/>
    <x v="0"/>
  </r>
  <r>
    <x v="1"/>
    <x v="11"/>
    <x v="2"/>
    <n v="1447"/>
    <x v="3"/>
    <x v="0"/>
  </r>
  <r>
    <x v="1"/>
    <x v="12"/>
    <x v="2"/>
    <n v="2618"/>
    <x v="3"/>
    <x v="0"/>
  </r>
  <r>
    <x v="1"/>
    <x v="13"/>
    <x v="2"/>
    <n v="0"/>
    <x v="1"/>
    <x v="0"/>
  </r>
  <r>
    <x v="1"/>
    <x v="14"/>
    <x v="2"/>
    <n v="0"/>
    <x v="1"/>
    <x v="0"/>
  </r>
  <r>
    <x v="1"/>
    <x v="15"/>
    <x v="2"/>
    <n v="105333"/>
    <x v="4"/>
    <x v="1"/>
  </r>
  <r>
    <x v="1"/>
    <x v="16"/>
    <x v="2"/>
    <n v="451"/>
    <x v="4"/>
    <x v="1"/>
  </r>
  <r>
    <x v="1"/>
    <x v="17"/>
    <x v="2"/>
    <n v="0"/>
    <x v="5"/>
    <x v="0"/>
  </r>
  <r>
    <x v="1"/>
    <x v="18"/>
    <x v="2"/>
    <n v="0"/>
    <x v="0"/>
    <x v="0"/>
  </r>
  <r>
    <x v="1"/>
    <x v="19"/>
    <x v="2"/>
    <n v="0"/>
    <x v="5"/>
    <x v="0"/>
  </r>
  <r>
    <x v="1"/>
    <x v="22"/>
    <x v="2"/>
    <n v="0"/>
    <x v="6"/>
    <x v="0"/>
  </r>
  <r>
    <x v="2"/>
    <x v="23"/>
    <x v="2"/>
    <n v="218045"/>
    <x v="1"/>
    <x v="0"/>
  </r>
  <r>
    <x v="2"/>
    <x v="0"/>
    <x v="2"/>
    <n v="13040561"/>
    <x v="0"/>
    <x v="0"/>
  </r>
  <r>
    <x v="2"/>
    <x v="1"/>
    <x v="2"/>
    <n v="98006"/>
    <x v="1"/>
    <x v="0"/>
  </r>
  <r>
    <x v="2"/>
    <x v="2"/>
    <x v="2"/>
    <n v="184886343"/>
    <x v="0"/>
    <x v="1"/>
  </r>
  <r>
    <x v="2"/>
    <x v="3"/>
    <x v="2"/>
    <n v="0"/>
    <x v="0"/>
    <x v="1"/>
  </r>
  <r>
    <x v="2"/>
    <x v="4"/>
    <x v="2"/>
    <n v="-556919"/>
    <x v="0"/>
    <x v="1"/>
  </r>
  <r>
    <x v="2"/>
    <x v="5"/>
    <x v="2"/>
    <n v="0"/>
    <x v="2"/>
    <x v="0"/>
  </r>
  <r>
    <x v="2"/>
    <x v="6"/>
    <x v="2"/>
    <n v="0"/>
    <x v="2"/>
    <x v="0"/>
  </r>
  <r>
    <x v="2"/>
    <x v="7"/>
    <x v="2"/>
    <n v="0"/>
    <x v="2"/>
    <x v="0"/>
  </r>
  <r>
    <x v="2"/>
    <x v="8"/>
    <x v="2"/>
    <n v="15031"/>
    <x v="2"/>
    <x v="0"/>
  </r>
  <r>
    <x v="2"/>
    <x v="9"/>
    <x v="2"/>
    <n v="9704693"/>
    <x v="3"/>
    <x v="0"/>
  </r>
  <r>
    <x v="2"/>
    <x v="10"/>
    <x v="2"/>
    <n v="341382"/>
    <x v="3"/>
    <x v="0"/>
  </r>
  <r>
    <x v="2"/>
    <x v="11"/>
    <x v="2"/>
    <n v="16763834"/>
    <x v="3"/>
    <x v="0"/>
  </r>
  <r>
    <x v="2"/>
    <x v="12"/>
    <x v="2"/>
    <n v="19851146"/>
    <x v="3"/>
    <x v="0"/>
  </r>
  <r>
    <x v="2"/>
    <x v="13"/>
    <x v="2"/>
    <n v="253637"/>
    <x v="1"/>
    <x v="0"/>
  </r>
  <r>
    <x v="2"/>
    <x v="14"/>
    <x v="2"/>
    <n v="0"/>
    <x v="1"/>
    <x v="0"/>
  </r>
  <r>
    <x v="2"/>
    <x v="15"/>
    <x v="2"/>
    <n v="377613067"/>
    <x v="4"/>
    <x v="1"/>
  </r>
  <r>
    <x v="2"/>
    <x v="16"/>
    <x v="2"/>
    <n v="1836989"/>
    <x v="4"/>
    <x v="1"/>
  </r>
  <r>
    <x v="2"/>
    <x v="17"/>
    <x v="2"/>
    <n v="7995"/>
    <x v="5"/>
    <x v="0"/>
  </r>
  <r>
    <x v="2"/>
    <x v="18"/>
    <x v="2"/>
    <n v="0"/>
    <x v="0"/>
    <x v="0"/>
  </r>
  <r>
    <x v="2"/>
    <x v="19"/>
    <x v="2"/>
    <n v="0"/>
    <x v="5"/>
    <x v="0"/>
  </r>
  <r>
    <x v="2"/>
    <x v="22"/>
    <x v="2"/>
    <n v="0"/>
    <x v="6"/>
    <x v="0"/>
  </r>
  <r>
    <x v="3"/>
    <x v="24"/>
    <x v="2"/>
    <n v="63"/>
    <x v="3"/>
    <x v="2"/>
  </r>
  <r>
    <x v="3"/>
    <x v="0"/>
    <x v="2"/>
    <n v="51.13"/>
    <x v="7"/>
    <x v="3"/>
  </r>
  <r>
    <x v="3"/>
    <x v="18"/>
    <x v="2"/>
    <m/>
    <x v="8"/>
    <x v="4"/>
  </r>
  <r>
    <x v="0"/>
    <x v="23"/>
    <x v="3"/>
    <n v="2486"/>
    <x v="1"/>
    <x v="0"/>
  </r>
  <r>
    <x v="0"/>
    <x v="0"/>
    <x v="3"/>
    <n v="69420"/>
    <x v="0"/>
    <x v="0"/>
  </r>
  <r>
    <x v="0"/>
    <x v="1"/>
    <x v="3"/>
    <n v="357"/>
    <x v="1"/>
    <x v="0"/>
  </r>
  <r>
    <x v="0"/>
    <x v="2"/>
    <x v="3"/>
    <n v="495"/>
    <x v="0"/>
    <x v="1"/>
  </r>
  <r>
    <x v="0"/>
    <x v="3"/>
    <x v="3"/>
    <n v="0"/>
    <x v="0"/>
    <x v="1"/>
  </r>
  <r>
    <x v="0"/>
    <x v="4"/>
    <x v="3"/>
    <n v="100"/>
    <x v="0"/>
    <x v="1"/>
  </r>
  <r>
    <x v="0"/>
    <x v="5"/>
    <x v="3"/>
    <n v="0"/>
    <x v="2"/>
    <x v="0"/>
  </r>
  <r>
    <x v="0"/>
    <x v="6"/>
    <x v="3"/>
    <n v="0"/>
    <x v="2"/>
    <x v="0"/>
  </r>
  <r>
    <x v="0"/>
    <x v="7"/>
    <x v="3"/>
    <n v="0"/>
    <x v="2"/>
    <x v="0"/>
  </r>
  <r>
    <x v="0"/>
    <x v="8"/>
    <x v="3"/>
    <n v="640"/>
    <x v="2"/>
    <x v="0"/>
  </r>
  <r>
    <x v="0"/>
    <x v="9"/>
    <x v="3"/>
    <n v="37148"/>
    <x v="3"/>
    <x v="0"/>
  </r>
  <r>
    <x v="0"/>
    <x v="10"/>
    <x v="3"/>
    <n v="0"/>
    <x v="3"/>
    <x v="0"/>
  </r>
  <r>
    <x v="0"/>
    <x v="11"/>
    <x v="3"/>
    <n v="36170"/>
    <x v="3"/>
    <x v="0"/>
  </r>
  <r>
    <x v="0"/>
    <x v="12"/>
    <x v="3"/>
    <n v="38364"/>
    <x v="3"/>
    <x v="0"/>
  </r>
  <r>
    <x v="0"/>
    <x v="13"/>
    <x v="3"/>
    <n v="292"/>
    <x v="1"/>
    <x v="0"/>
  </r>
  <r>
    <x v="0"/>
    <x v="14"/>
    <x v="3"/>
    <n v="0"/>
    <x v="1"/>
    <x v="0"/>
  </r>
  <r>
    <x v="0"/>
    <x v="15"/>
    <x v="3"/>
    <n v="122"/>
    <x v="4"/>
    <x v="1"/>
  </r>
  <r>
    <x v="0"/>
    <x v="16"/>
    <x v="3"/>
    <n v="39"/>
    <x v="4"/>
    <x v="1"/>
  </r>
  <r>
    <x v="0"/>
    <x v="17"/>
    <x v="3"/>
    <n v="31"/>
    <x v="5"/>
    <x v="0"/>
  </r>
  <r>
    <x v="0"/>
    <x v="18"/>
    <x v="3"/>
    <n v="0"/>
    <x v="0"/>
    <x v="0"/>
  </r>
  <r>
    <x v="0"/>
    <x v="19"/>
    <x v="3"/>
    <n v="0"/>
    <x v="5"/>
    <x v="0"/>
  </r>
  <r>
    <x v="0"/>
    <x v="20"/>
    <x v="3"/>
    <n v="8574"/>
    <x v="2"/>
    <x v="0"/>
  </r>
  <r>
    <x v="0"/>
    <x v="21"/>
    <x v="3"/>
    <n v="0"/>
    <x v="2"/>
    <x v="0"/>
  </r>
  <r>
    <x v="0"/>
    <x v="22"/>
    <x v="3"/>
    <n v="0"/>
    <x v="6"/>
    <x v="0"/>
  </r>
  <r>
    <x v="1"/>
    <x v="23"/>
    <x v="3"/>
    <n v="0"/>
    <x v="1"/>
    <x v="0"/>
  </r>
  <r>
    <x v="1"/>
    <x v="0"/>
    <x v="3"/>
    <n v="483"/>
    <x v="0"/>
    <x v="0"/>
  </r>
  <r>
    <x v="1"/>
    <x v="1"/>
    <x v="3"/>
    <n v="0"/>
    <x v="1"/>
    <x v="0"/>
  </r>
  <r>
    <x v="1"/>
    <x v="2"/>
    <x v="3"/>
    <n v="48337"/>
    <x v="0"/>
    <x v="1"/>
  </r>
  <r>
    <x v="1"/>
    <x v="3"/>
    <x v="3"/>
    <n v="0"/>
    <x v="0"/>
    <x v="1"/>
  </r>
  <r>
    <x v="1"/>
    <x v="4"/>
    <x v="3"/>
    <n v="169"/>
    <x v="0"/>
    <x v="1"/>
  </r>
  <r>
    <x v="1"/>
    <x v="5"/>
    <x v="3"/>
    <n v="0"/>
    <x v="2"/>
    <x v="0"/>
  </r>
  <r>
    <x v="1"/>
    <x v="6"/>
    <x v="3"/>
    <n v="0"/>
    <x v="2"/>
    <x v="0"/>
  </r>
  <r>
    <x v="1"/>
    <x v="7"/>
    <x v="3"/>
    <n v="0"/>
    <x v="2"/>
    <x v="0"/>
  </r>
  <r>
    <x v="1"/>
    <x v="8"/>
    <x v="3"/>
    <n v="0"/>
    <x v="2"/>
    <x v="0"/>
  </r>
  <r>
    <x v="1"/>
    <x v="9"/>
    <x v="3"/>
    <n v="0"/>
    <x v="3"/>
    <x v="0"/>
  </r>
  <r>
    <x v="1"/>
    <x v="10"/>
    <x v="3"/>
    <n v="0"/>
    <x v="3"/>
    <x v="0"/>
  </r>
  <r>
    <x v="1"/>
    <x v="11"/>
    <x v="3"/>
    <n v="2771"/>
    <x v="3"/>
    <x v="0"/>
  </r>
  <r>
    <x v="1"/>
    <x v="12"/>
    <x v="3"/>
    <n v="905"/>
    <x v="3"/>
    <x v="0"/>
  </r>
  <r>
    <x v="1"/>
    <x v="13"/>
    <x v="3"/>
    <n v="0"/>
    <x v="1"/>
    <x v="0"/>
  </r>
  <r>
    <x v="1"/>
    <x v="14"/>
    <x v="3"/>
    <n v="0"/>
    <x v="1"/>
    <x v="0"/>
  </r>
  <r>
    <x v="1"/>
    <x v="15"/>
    <x v="3"/>
    <n v="89375"/>
    <x v="4"/>
    <x v="1"/>
  </r>
  <r>
    <x v="1"/>
    <x v="16"/>
    <x v="3"/>
    <n v="387"/>
    <x v="4"/>
    <x v="1"/>
  </r>
  <r>
    <x v="1"/>
    <x v="17"/>
    <x v="3"/>
    <n v="0"/>
    <x v="5"/>
    <x v="0"/>
  </r>
  <r>
    <x v="1"/>
    <x v="18"/>
    <x v="3"/>
    <n v="0"/>
    <x v="0"/>
    <x v="0"/>
  </r>
  <r>
    <x v="1"/>
    <x v="19"/>
    <x v="3"/>
    <n v="0"/>
    <x v="5"/>
    <x v="0"/>
  </r>
  <r>
    <x v="1"/>
    <x v="22"/>
    <x v="3"/>
    <n v="0"/>
    <x v="6"/>
    <x v="0"/>
  </r>
  <r>
    <x v="2"/>
    <x v="23"/>
    <x v="3"/>
    <n v="336127"/>
    <x v="1"/>
    <x v="0"/>
  </r>
  <r>
    <x v="2"/>
    <x v="0"/>
    <x v="3"/>
    <n v="11380628"/>
    <x v="0"/>
    <x v="0"/>
  </r>
  <r>
    <x v="2"/>
    <x v="1"/>
    <x v="3"/>
    <n v="92354"/>
    <x v="1"/>
    <x v="0"/>
  </r>
  <r>
    <x v="2"/>
    <x v="2"/>
    <x v="3"/>
    <n v="163486021"/>
    <x v="0"/>
    <x v="1"/>
  </r>
  <r>
    <x v="2"/>
    <x v="3"/>
    <x v="3"/>
    <n v="0"/>
    <x v="0"/>
    <x v="1"/>
  </r>
  <r>
    <x v="2"/>
    <x v="4"/>
    <x v="3"/>
    <n v="2169583"/>
    <x v="0"/>
    <x v="1"/>
  </r>
  <r>
    <x v="2"/>
    <x v="5"/>
    <x v="3"/>
    <n v="0"/>
    <x v="2"/>
    <x v="0"/>
  </r>
  <r>
    <x v="2"/>
    <x v="6"/>
    <x v="3"/>
    <n v="0"/>
    <x v="2"/>
    <x v="0"/>
  </r>
  <r>
    <x v="2"/>
    <x v="7"/>
    <x v="3"/>
    <n v="0"/>
    <x v="2"/>
    <x v="0"/>
  </r>
  <r>
    <x v="2"/>
    <x v="8"/>
    <x v="3"/>
    <n v="14084"/>
    <x v="2"/>
    <x v="0"/>
  </r>
  <r>
    <x v="2"/>
    <x v="9"/>
    <x v="3"/>
    <n v="10227805"/>
    <x v="3"/>
    <x v="0"/>
  </r>
  <r>
    <x v="2"/>
    <x v="10"/>
    <x v="3"/>
    <n v="0"/>
    <x v="3"/>
    <x v="0"/>
  </r>
  <r>
    <x v="2"/>
    <x v="11"/>
    <x v="3"/>
    <n v="11612820"/>
    <x v="3"/>
    <x v="0"/>
  </r>
  <r>
    <x v="2"/>
    <x v="12"/>
    <x v="3"/>
    <n v="15078450"/>
    <x v="3"/>
    <x v="0"/>
  </r>
  <r>
    <x v="2"/>
    <x v="13"/>
    <x v="3"/>
    <n v="212524"/>
    <x v="1"/>
    <x v="0"/>
  </r>
  <r>
    <x v="2"/>
    <x v="14"/>
    <x v="3"/>
    <n v="0"/>
    <x v="1"/>
    <x v="0"/>
  </r>
  <r>
    <x v="2"/>
    <x v="15"/>
    <x v="3"/>
    <n v="320334675"/>
    <x v="4"/>
    <x v="1"/>
  </r>
  <r>
    <x v="2"/>
    <x v="16"/>
    <x v="3"/>
    <n v="17687671"/>
    <x v="4"/>
    <x v="1"/>
  </r>
  <r>
    <x v="2"/>
    <x v="17"/>
    <x v="3"/>
    <n v="19358"/>
    <x v="5"/>
    <x v="0"/>
  </r>
  <r>
    <x v="2"/>
    <x v="18"/>
    <x v="3"/>
    <n v="0"/>
    <x v="0"/>
    <x v="0"/>
  </r>
  <r>
    <x v="2"/>
    <x v="19"/>
    <x v="3"/>
    <n v="0"/>
    <x v="5"/>
    <x v="0"/>
  </r>
  <r>
    <x v="2"/>
    <x v="22"/>
    <x v="3"/>
    <n v="0"/>
    <x v="6"/>
    <x v="0"/>
  </r>
  <r>
    <x v="3"/>
    <x v="24"/>
    <x v="3"/>
    <n v="62.48"/>
    <x v="3"/>
    <x v="2"/>
  </r>
  <r>
    <x v="3"/>
    <x v="0"/>
    <x v="3"/>
    <n v="48.72"/>
    <x v="7"/>
    <x v="3"/>
  </r>
  <r>
    <x v="3"/>
    <x v="18"/>
    <x v="3"/>
    <m/>
    <x v="8"/>
    <x v="4"/>
  </r>
  <r>
    <x v="0"/>
    <x v="23"/>
    <x v="4"/>
    <n v="1673"/>
    <x v="1"/>
    <x v="0"/>
  </r>
  <r>
    <x v="0"/>
    <x v="0"/>
    <x v="4"/>
    <n v="57466"/>
    <x v="0"/>
    <x v="0"/>
  </r>
  <r>
    <x v="0"/>
    <x v="1"/>
    <x v="4"/>
    <n v="383"/>
    <x v="1"/>
    <x v="0"/>
  </r>
  <r>
    <x v="0"/>
    <x v="2"/>
    <x v="4"/>
    <n v="322"/>
    <x v="0"/>
    <x v="1"/>
  </r>
  <r>
    <x v="0"/>
    <x v="3"/>
    <x v="4"/>
    <n v="0"/>
    <x v="0"/>
    <x v="1"/>
  </r>
  <r>
    <x v="0"/>
    <x v="4"/>
    <x v="4"/>
    <n v="158"/>
    <x v="0"/>
    <x v="1"/>
  </r>
  <r>
    <x v="0"/>
    <x v="5"/>
    <x v="4"/>
    <n v="0"/>
    <x v="2"/>
    <x v="0"/>
  </r>
  <r>
    <x v="0"/>
    <x v="6"/>
    <x v="4"/>
    <n v="0"/>
    <x v="2"/>
    <x v="0"/>
  </r>
  <r>
    <x v="0"/>
    <x v="7"/>
    <x v="4"/>
    <n v="0"/>
    <x v="2"/>
    <x v="0"/>
  </r>
  <r>
    <x v="0"/>
    <x v="8"/>
    <x v="4"/>
    <n v="649"/>
    <x v="2"/>
    <x v="0"/>
  </r>
  <r>
    <x v="0"/>
    <x v="9"/>
    <x v="4"/>
    <n v="35320"/>
    <x v="3"/>
    <x v="0"/>
  </r>
  <r>
    <x v="0"/>
    <x v="10"/>
    <x v="4"/>
    <n v="0"/>
    <x v="3"/>
    <x v="0"/>
  </r>
  <r>
    <x v="0"/>
    <x v="11"/>
    <x v="4"/>
    <n v="44266"/>
    <x v="3"/>
    <x v="0"/>
  </r>
  <r>
    <x v="0"/>
    <x v="12"/>
    <x v="4"/>
    <n v="41545"/>
    <x v="3"/>
    <x v="0"/>
  </r>
  <r>
    <x v="0"/>
    <x v="13"/>
    <x v="4"/>
    <n v="308"/>
    <x v="1"/>
    <x v="0"/>
  </r>
  <r>
    <x v="0"/>
    <x v="14"/>
    <x v="4"/>
    <n v="0"/>
    <x v="1"/>
    <x v="0"/>
  </r>
  <r>
    <x v="0"/>
    <x v="15"/>
    <x v="4"/>
    <n v="194"/>
    <x v="4"/>
    <x v="1"/>
  </r>
  <r>
    <x v="0"/>
    <x v="16"/>
    <x v="4"/>
    <n v="86"/>
    <x v="4"/>
    <x v="1"/>
  </r>
  <r>
    <x v="0"/>
    <x v="17"/>
    <x v="4"/>
    <n v="32"/>
    <x v="5"/>
    <x v="0"/>
  </r>
  <r>
    <x v="0"/>
    <x v="18"/>
    <x v="4"/>
    <n v="0"/>
    <x v="0"/>
    <x v="0"/>
  </r>
  <r>
    <x v="0"/>
    <x v="19"/>
    <x v="4"/>
    <n v="0"/>
    <x v="5"/>
    <x v="0"/>
  </r>
  <r>
    <x v="0"/>
    <x v="20"/>
    <x v="4"/>
    <n v="10301"/>
    <x v="2"/>
    <x v="0"/>
  </r>
  <r>
    <x v="0"/>
    <x v="21"/>
    <x v="4"/>
    <n v="0"/>
    <x v="2"/>
    <x v="0"/>
  </r>
  <r>
    <x v="0"/>
    <x v="22"/>
    <x v="4"/>
    <n v="0"/>
    <x v="6"/>
    <x v="0"/>
  </r>
  <r>
    <x v="1"/>
    <x v="23"/>
    <x v="4"/>
    <n v="0"/>
    <x v="1"/>
    <x v="0"/>
  </r>
  <r>
    <x v="1"/>
    <x v="0"/>
    <x v="4"/>
    <n v="514"/>
    <x v="0"/>
    <x v="0"/>
  </r>
  <r>
    <x v="1"/>
    <x v="1"/>
    <x v="4"/>
    <n v="0"/>
    <x v="1"/>
    <x v="0"/>
  </r>
  <r>
    <x v="1"/>
    <x v="2"/>
    <x v="4"/>
    <n v="45529"/>
    <x v="0"/>
    <x v="1"/>
  </r>
  <r>
    <x v="1"/>
    <x v="3"/>
    <x v="4"/>
    <n v="0"/>
    <x v="0"/>
    <x v="1"/>
  </r>
  <r>
    <x v="1"/>
    <x v="4"/>
    <x v="4"/>
    <n v="262"/>
    <x v="0"/>
    <x v="1"/>
  </r>
  <r>
    <x v="1"/>
    <x v="5"/>
    <x v="4"/>
    <n v="0"/>
    <x v="2"/>
    <x v="0"/>
  </r>
  <r>
    <x v="1"/>
    <x v="6"/>
    <x v="4"/>
    <n v="0"/>
    <x v="2"/>
    <x v="0"/>
  </r>
  <r>
    <x v="1"/>
    <x v="7"/>
    <x v="4"/>
    <n v="0"/>
    <x v="2"/>
    <x v="0"/>
  </r>
  <r>
    <x v="1"/>
    <x v="8"/>
    <x v="4"/>
    <n v="0"/>
    <x v="2"/>
    <x v="0"/>
  </r>
  <r>
    <x v="1"/>
    <x v="9"/>
    <x v="4"/>
    <n v="0"/>
    <x v="3"/>
    <x v="0"/>
  </r>
  <r>
    <x v="1"/>
    <x v="10"/>
    <x v="4"/>
    <n v="0"/>
    <x v="3"/>
    <x v="0"/>
  </r>
  <r>
    <x v="1"/>
    <x v="11"/>
    <x v="4"/>
    <n v="7370"/>
    <x v="3"/>
    <x v="0"/>
  </r>
  <r>
    <x v="1"/>
    <x v="12"/>
    <x v="4"/>
    <n v="3234"/>
    <x v="3"/>
    <x v="0"/>
  </r>
  <r>
    <x v="1"/>
    <x v="13"/>
    <x v="4"/>
    <n v="0"/>
    <x v="1"/>
    <x v="0"/>
  </r>
  <r>
    <x v="1"/>
    <x v="14"/>
    <x v="4"/>
    <n v="0"/>
    <x v="1"/>
    <x v="0"/>
  </r>
  <r>
    <x v="1"/>
    <x v="15"/>
    <x v="4"/>
    <n v="81068"/>
    <x v="4"/>
    <x v="1"/>
  </r>
  <r>
    <x v="1"/>
    <x v="16"/>
    <x v="4"/>
    <n v="823"/>
    <x v="4"/>
    <x v="1"/>
  </r>
  <r>
    <x v="1"/>
    <x v="17"/>
    <x v="4"/>
    <n v="0"/>
    <x v="5"/>
    <x v="0"/>
  </r>
  <r>
    <x v="1"/>
    <x v="18"/>
    <x v="4"/>
    <n v="0"/>
    <x v="0"/>
    <x v="0"/>
  </r>
  <r>
    <x v="1"/>
    <x v="19"/>
    <x v="4"/>
    <n v="0"/>
    <x v="5"/>
    <x v="0"/>
  </r>
  <r>
    <x v="1"/>
    <x v="22"/>
    <x v="4"/>
    <n v="0"/>
    <x v="6"/>
    <x v="0"/>
  </r>
  <r>
    <x v="2"/>
    <x v="23"/>
    <x v="4"/>
    <n v="319232"/>
    <x v="1"/>
    <x v="0"/>
  </r>
  <r>
    <x v="2"/>
    <x v="0"/>
    <x v="4"/>
    <n v="9024384"/>
    <x v="0"/>
    <x v="0"/>
  </r>
  <r>
    <x v="2"/>
    <x v="1"/>
    <x v="4"/>
    <n v="99904"/>
    <x v="1"/>
    <x v="0"/>
  </r>
  <r>
    <x v="2"/>
    <x v="2"/>
    <x v="4"/>
    <n v="139086543"/>
    <x v="0"/>
    <x v="1"/>
  </r>
  <r>
    <x v="2"/>
    <x v="3"/>
    <x v="4"/>
    <n v="0"/>
    <x v="0"/>
    <x v="1"/>
  </r>
  <r>
    <x v="2"/>
    <x v="4"/>
    <x v="4"/>
    <n v="1604260"/>
    <x v="0"/>
    <x v="1"/>
  </r>
  <r>
    <x v="2"/>
    <x v="5"/>
    <x v="4"/>
    <n v="0"/>
    <x v="2"/>
    <x v="0"/>
  </r>
  <r>
    <x v="2"/>
    <x v="6"/>
    <x v="4"/>
    <n v="0"/>
    <x v="2"/>
    <x v="0"/>
  </r>
  <r>
    <x v="2"/>
    <x v="7"/>
    <x v="4"/>
    <n v="0"/>
    <x v="2"/>
    <x v="0"/>
  </r>
  <r>
    <x v="2"/>
    <x v="8"/>
    <x v="4"/>
    <n v="14322"/>
    <x v="2"/>
    <x v="0"/>
  </r>
  <r>
    <x v="2"/>
    <x v="9"/>
    <x v="4"/>
    <n v="9776863"/>
    <x v="3"/>
    <x v="0"/>
  </r>
  <r>
    <x v="2"/>
    <x v="10"/>
    <x v="4"/>
    <n v="0"/>
    <x v="3"/>
    <x v="0"/>
  </r>
  <r>
    <x v="2"/>
    <x v="11"/>
    <x v="4"/>
    <n v="12743468"/>
    <x v="3"/>
    <x v="0"/>
  </r>
  <r>
    <x v="2"/>
    <x v="12"/>
    <x v="4"/>
    <n v="15727391"/>
    <x v="3"/>
    <x v="0"/>
  </r>
  <r>
    <x v="2"/>
    <x v="13"/>
    <x v="4"/>
    <n v="234492"/>
    <x v="1"/>
    <x v="0"/>
  </r>
  <r>
    <x v="2"/>
    <x v="14"/>
    <x v="4"/>
    <n v="0"/>
    <x v="1"/>
    <x v="0"/>
  </r>
  <r>
    <x v="2"/>
    <x v="15"/>
    <x v="4"/>
    <n v="263889421"/>
    <x v="4"/>
    <x v="1"/>
  </r>
  <r>
    <x v="2"/>
    <x v="16"/>
    <x v="4"/>
    <n v="15472789"/>
    <x v="4"/>
    <x v="1"/>
  </r>
  <r>
    <x v="2"/>
    <x v="17"/>
    <x v="4"/>
    <n v="20826"/>
    <x v="5"/>
    <x v="0"/>
  </r>
  <r>
    <x v="2"/>
    <x v="18"/>
    <x v="4"/>
    <n v="0"/>
    <x v="0"/>
    <x v="0"/>
  </r>
  <r>
    <x v="2"/>
    <x v="19"/>
    <x v="4"/>
    <n v="0"/>
    <x v="5"/>
    <x v="0"/>
  </r>
  <r>
    <x v="2"/>
    <x v="22"/>
    <x v="4"/>
    <n v="0"/>
    <x v="6"/>
    <x v="0"/>
  </r>
  <r>
    <x v="3"/>
    <x v="24"/>
    <x v="4"/>
    <n v="62.68"/>
    <x v="3"/>
    <x v="2"/>
  </r>
  <r>
    <x v="3"/>
    <x v="0"/>
    <x v="4"/>
    <n v="46.35"/>
    <x v="7"/>
    <x v="3"/>
  </r>
  <r>
    <x v="3"/>
    <x v="18"/>
    <x v="4"/>
    <m/>
    <x v="8"/>
    <x v="4"/>
  </r>
  <r>
    <x v="0"/>
    <x v="23"/>
    <x v="5"/>
    <n v="2277"/>
    <x v="1"/>
    <x v="0"/>
  </r>
  <r>
    <x v="0"/>
    <x v="0"/>
    <x v="5"/>
    <n v="83384"/>
    <x v="0"/>
    <x v="0"/>
  </r>
  <r>
    <x v="0"/>
    <x v="1"/>
    <x v="5"/>
    <n v="442"/>
    <x v="1"/>
    <x v="0"/>
  </r>
  <r>
    <x v="0"/>
    <x v="2"/>
    <x v="5"/>
    <n v="690"/>
    <x v="0"/>
    <x v="1"/>
  </r>
  <r>
    <x v="0"/>
    <x v="3"/>
    <x v="5"/>
    <n v="0"/>
    <x v="0"/>
    <x v="1"/>
  </r>
  <r>
    <x v="0"/>
    <x v="4"/>
    <x v="5"/>
    <n v="311"/>
    <x v="0"/>
    <x v="1"/>
  </r>
  <r>
    <x v="0"/>
    <x v="5"/>
    <x v="5"/>
    <n v="0"/>
    <x v="2"/>
    <x v="0"/>
  </r>
  <r>
    <x v="0"/>
    <x v="6"/>
    <x v="5"/>
    <n v="0"/>
    <x v="2"/>
    <x v="0"/>
  </r>
  <r>
    <x v="0"/>
    <x v="7"/>
    <x v="5"/>
    <n v="0"/>
    <x v="2"/>
    <x v="0"/>
  </r>
  <r>
    <x v="0"/>
    <x v="8"/>
    <x v="5"/>
    <n v="822"/>
    <x v="2"/>
    <x v="0"/>
  </r>
  <r>
    <x v="0"/>
    <x v="9"/>
    <x v="5"/>
    <n v="41860"/>
    <x v="3"/>
    <x v="0"/>
  </r>
  <r>
    <x v="0"/>
    <x v="10"/>
    <x v="5"/>
    <n v="0"/>
    <x v="3"/>
    <x v="0"/>
  </r>
  <r>
    <x v="0"/>
    <x v="11"/>
    <x v="5"/>
    <n v="52398"/>
    <x v="3"/>
    <x v="0"/>
  </r>
  <r>
    <x v="0"/>
    <x v="12"/>
    <x v="5"/>
    <n v="36241"/>
    <x v="3"/>
    <x v="0"/>
  </r>
  <r>
    <x v="0"/>
    <x v="13"/>
    <x v="5"/>
    <n v="297"/>
    <x v="1"/>
    <x v="0"/>
  </r>
  <r>
    <x v="0"/>
    <x v="14"/>
    <x v="5"/>
    <n v="0"/>
    <x v="1"/>
    <x v="0"/>
  </r>
  <r>
    <x v="0"/>
    <x v="15"/>
    <x v="5"/>
    <n v="841"/>
    <x v="4"/>
    <x v="1"/>
  </r>
  <r>
    <x v="0"/>
    <x v="16"/>
    <x v="5"/>
    <n v="113"/>
    <x v="4"/>
    <x v="1"/>
  </r>
  <r>
    <x v="0"/>
    <x v="17"/>
    <x v="5"/>
    <n v="68"/>
    <x v="5"/>
    <x v="0"/>
  </r>
  <r>
    <x v="0"/>
    <x v="18"/>
    <x v="5"/>
    <n v="0"/>
    <x v="0"/>
    <x v="0"/>
  </r>
  <r>
    <x v="0"/>
    <x v="19"/>
    <x v="5"/>
    <n v="0"/>
    <x v="5"/>
    <x v="0"/>
  </r>
  <r>
    <x v="0"/>
    <x v="20"/>
    <x v="5"/>
    <n v="10301"/>
    <x v="2"/>
    <x v="0"/>
  </r>
  <r>
    <x v="0"/>
    <x v="21"/>
    <x v="5"/>
    <n v="0"/>
    <x v="2"/>
    <x v="0"/>
  </r>
  <r>
    <x v="0"/>
    <x v="22"/>
    <x v="5"/>
    <n v="0"/>
    <x v="6"/>
    <x v="0"/>
  </r>
  <r>
    <x v="1"/>
    <x v="23"/>
    <x v="5"/>
    <n v="0"/>
    <x v="1"/>
    <x v="0"/>
  </r>
  <r>
    <x v="1"/>
    <x v="0"/>
    <x v="5"/>
    <n v="906"/>
    <x v="0"/>
    <x v="0"/>
  </r>
  <r>
    <x v="1"/>
    <x v="1"/>
    <x v="5"/>
    <n v="0"/>
    <x v="1"/>
    <x v="0"/>
  </r>
  <r>
    <x v="1"/>
    <x v="2"/>
    <x v="5"/>
    <n v="60739"/>
    <x v="0"/>
    <x v="1"/>
  </r>
  <r>
    <x v="1"/>
    <x v="3"/>
    <x v="5"/>
    <n v="0"/>
    <x v="0"/>
    <x v="1"/>
  </r>
  <r>
    <x v="1"/>
    <x v="4"/>
    <x v="5"/>
    <n v="335"/>
    <x v="0"/>
    <x v="1"/>
  </r>
  <r>
    <x v="1"/>
    <x v="5"/>
    <x v="5"/>
    <n v="0"/>
    <x v="2"/>
    <x v="0"/>
  </r>
  <r>
    <x v="1"/>
    <x v="6"/>
    <x v="5"/>
    <n v="0"/>
    <x v="2"/>
    <x v="0"/>
  </r>
  <r>
    <x v="1"/>
    <x v="7"/>
    <x v="5"/>
    <n v="0"/>
    <x v="2"/>
    <x v="0"/>
  </r>
  <r>
    <x v="1"/>
    <x v="8"/>
    <x v="5"/>
    <n v="0"/>
    <x v="2"/>
    <x v="0"/>
  </r>
  <r>
    <x v="1"/>
    <x v="9"/>
    <x v="5"/>
    <n v="8226"/>
    <x v="3"/>
    <x v="0"/>
  </r>
  <r>
    <x v="1"/>
    <x v="10"/>
    <x v="5"/>
    <n v="0"/>
    <x v="3"/>
    <x v="0"/>
  </r>
  <r>
    <x v="1"/>
    <x v="11"/>
    <x v="5"/>
    <n v="2800"/>
    <x v="3"/>
    <x v="0"/>
  </r>
  <r>
    <x v="1"/>
    <x v="12"/>
    <x v="5"/>
    <n v="2470"/>
    <x v="3"/>
    <x v="0"/>
  </r>
  <r>
    <x v="1"/>
    <x v="13"/>
    <x v="5"/>
    <n v="0"/>
    <x v="1"/>
    <x v="0"/>
  </r>
  <r>
    <x v="1"/>
    <x v="14"/>
    <x v="5"/>
    <n v="0"/>
    <x v="1"/>
    <x v="0"/>
  </r>
  <r>
    <x v="1"/>
    <x v="15"/>
    <x v="5"/>
    <n v="108298"/>
    <x v="4"/>
    <x v="1"/>
  </r>
  <r>
    <x v="1"/>
    <x v="16"/>
    <x v="5"/>
    <n v="1039"/>
    <x v="4"/>
    <x v="1"/>
  </r>
  <r>
    <x v="1"/>
    <x v="17"/>
    <x v="5"/>
    <n v="0"/>
    <x v="5"/>
    <x v="0"/>
  </r>
  <r>
    <x v="1"/>
    <x v="18"/>
    <x v="5"/>
    <n v="0"/>
    <x v="0"/>
    <x v="0"/>
  </r>
  <r>
    <x v="1"/>
    <x v="19"/>
    <x v="5"/>
    <n v="0"/>
    <x v="5"/>
    <x v="0"/>
  </r>
  <r>
    <x v="1"/>
    <x v="22"/>
    <x v="5"/>
    <n v="0"/>
    <x v="6"/>
    <x v="0"/>
  </r>
  <r>
    <x v="2"/>
    <x v="23"/>
    <x v="5"/>
    <n v="423939"/>
    <x v="1"/>
    <x v="0"/>
  </r>
  <r>
    <x v="2"/>
    <x v="0"/>
    <x v="5"/>
    <n v="13381643"/>
    <x v="0"/>
    <x v="0"/>
  </r>
  <r>
    <x v="2"/>
    <x v="1"/>
    <x v="5"/>
    <n v="115353"/>
    <x v="1"/>
    <x v="0"/>
  </r>
  <r>
    <x v="2"/>
    <x v="2"/>
    <x v="5"/>
    <n v="184749867"/>
    <x v="0"/>
    <x v="1"/>
  </r>
  <r>
    <x v="2"/>
    <x v="3"/>
    <x v="5"/>
    <n v="0"/>
    <x v="0"/>
    <x v="1"/>
  </r>
  <r>
    <x v="2"/>
    <x v="4"/>
    <x v="5"/>
    <n v="369644"/>
    <x v="0"/>
    <x v="1"/>
  </r>
  <r>
    <x v="2"/>
    <x v="5"/>
    <x v="5"/>
    <n v="0"/>
    <x v="2"/>
    <x v="0"/>
  </r>
  <r>
    <x v="2"/>
    <x v="6"/>
    <x v="5"/>
    <n v="0"/>
    <x v="2"/>
    <x v="0"/>
  </r>
  <r>
    <x v="2"/>
    <x v="7"/>
    <x v="5"/>
    <n v="0"/>
    <x v="2"/>
    <x v="0"/>
  </r>
  <r>
    <x v="2"/>
    <x v="8"/>
    <x v="5"/>
    <n v="18144"/>
    <x v="2"/>
    <x v="0"/>
  </r>
  <r>
    <x v="2"/>
    <x v="9"/>
    <x v="5"/>
    <n v="9310276"/>
    <x v="3"/>
    <x v="0"/>
  </r>
  <r>
    <x v="2"/>
    <x v="10"/>
    <x v="5"/>
    <n v="0"/>
    <x v="3"/>
    <x v="0"/>
  </r>
  <r>
    <x v="2"/>
    <x v="11"/>
    <x v="5"/>
    <n v="17354390"/>
    <x v="3"/>
    <x v="0"/>
  </r>
  <r>
    <x v="2"/>
    <x v="12"/>
    <x v="5"/>
    <n v="14239785"/>
    <x v="3"/>
    <x v="0"/>
  </r>
  <r>
    <x v="2"/>
    <x v="13"/>
    <x v="5"/>
    <n v="224761"/>
    <x v="1"/>
    <x v="0"/>
  </r>
  <r>
    <x v="2"/>
    <x v="14"/>
    <x v="5"/>
    <n v="0"/>
    <x v="1"/>
    <x v="0"/>
  </r>
  <r>
    <x v="2"/>
    <x v="15"/>
    <x v="5"/>
    <n v="350623417"/>
    <x v="4"/>
    <x v="1"/>
  </r>
  <r>
    <x v="2"/>
    <x v="16"/>
    <x v="5"/>
    <n v="19442225"/>
    <x v="4"/>
    <x v="1"/>
  </r>
  <r>
    <x v="2"/>
    <x v="17"/>
    <x v="5"/>
    <n v="43505"/>
    <x v="5"/>
    <x v="0"/>
  </r>
  <r>
    <x v="2"/>
    <x v="18"/>
    <x v="5"/>
    <n v="0"/>
    <x v="0"/>
    <x v="0"/>
  </r>
  <r>
    <x v="2"/>
    <x v="19"/>
    <x v="5"/>
    <n v="0"/>
    <x v="5"/>
    <x v="0"/>
  </r>
  <r>
    <x v="2"/>
    <x v="22"/>
    <x v="5"/>
    <n v="0"/>
    <x v="6"/>
    <x v="0"/>
  </r>
  <r>
    <x v="3"/>
    <x v="24"/>
    <x v="5"/>
    <n v="63.04"/>
    <x v="3"/>
    <x v="2"/>
  </r>
  <r>
    <x v="3"/>
    <x v="0"/>
    <x v="5"/>
    <n v="47.58"/>
    <x v="7"/>
    <x v="3"/>
  </r>
  <r>
    <x v="3"/>
    <x v="18"/>
    <x v="5"/>
    <m/>
    <x v="8"/>
    <x v="4"/>
  </r>
  <r>
    <x v="0"/>
    <x v="23"/>
    <x v="6"/>
    <n v="2237"/>
    <x v="1"/>
    <x v="0"/>
  </r>
  <r>
    <x v="0"/>
    <x v="0"/>
    <x v="6"/>
    <n v="92219"/>
    <x v="0"/>
    <x v="0"/>
  </r>
  <r>
    <x v="0"/>
    <x v="1"/>
    <x v="6"/>
    <n v="397"/>
    <x v="1"/>
    <x v="0"/>
  </r>
  <r>
    <x v="0"/>
    <x v="2"/>
    <x v="6"/>
    <n v="489"/>
    <x v="0"/>
    <x v="1"/>
  </r>
  <r>
    <x v="0"/>
    <x v="3"/>
    <x v="6"/>
    <n v="0"/>
    <x v="0"/>
    <x v="1"/>
  </r>
  <r>
    <x v="0"/>
    <x v="4"/>
    <x v="6"/>
    <n v="306"/>
    <x v="0"/>
    <x v="1"/>
  </r>
  <r>
    <x v="0"/>
    <x v="5"/>
    <x v="6"/>
    <n v="0"/>
    <x v="2"/>
    <x v="0"/>
  </r>
  <r>
    <x v="0"/>
    <x v="6"/>
    <x v="6"/>
    <n v="0"/>
    <x v="2"/>
    <x v="0"/>
  </r>
  <r>
    <x v="0"/>
    <x v="7"/>
    <x v="6"/>
    <n v="0"/>
    <x v="2"/>
    <x v="0"/>
  </r>
  <r>
    <x v="0"/>
    <x v="8"/>
    <x v="6"/>
    <n v="1095"/>
    <x v="2"/>
    <x v="0"/>
  </r>
  <r>
    <x v="0"/>
    <x v="9"/>
    <x v="6"/>
    <n v="33280"/>
    <x v="3"/>
    <x v="0"/>
  </r>
  <r>
    <x v="0"/>
    <x v="10"/>
    <x v="6"/>
    <n v="0"/>
    <x v="3"/>
    <x v="0"/>
  </r>
  <r>
    <x v="0"/>
    <x v="11"/>
    <x v="6"/>
    <n v="47958"/>
    <x v="3"/>
    <x v="0"/>
  </r>
  <r>
    <x v="0"/>
    <x v="12"/>
    <x v="6"/>
    <n v="65353"/>
    <x v="3"/>
    <x v="0"/>
  </r>
  <r>
    <x v="0"/>
    <x v="13"/>
    <x v="6"/>
    <n v="327"/>
    <x v="1"/>
    <x v="0"/>
  </r>
  <r>
    <x v="0"/>
    <x v="14"/>
    <x v="6"/>
    <n v="0"/>
    <x v="1"/>
    <x v="0"/>
  </r>
  <r>
    <x v="0"/>
    <x v="15"/>
    <x v="6"/>
    <n v="677"/>
    <x v="4"/>
    <x v="1"/>
  </r>
  <r>
    <x v="0"/>
    <x v="16"/>
    <x v="6"/>
    <n v="80"/>
    <x v="4"/>
    <x v="1"/>
  </r>
  <r>
    <x v="0"/>
    <x v="17"/>
    <x v="6"/>
    <n v="38"/>
    <x v="5"/>
    <x v="0"/>
  </r>
  <r>
    <x v="0"/>
    <x v="18"/>
    <x v="6"/>
    <n v="0"/>
    <x v="0"/>
    <x v="0"/>
  </r>
  <r>
    <x v="0"/>
    <x v="19"/>
    <x v="6"/>
    <n v="0"/>
    <x v="5"/>
    <x v="0"/>
  </r>
  <r>
    <x v="0"/>
    <x v="20"/>
    <x v="6"/>
    <n v="10301"/>
    <x v="2"/>
    <x v="0"/>
  </r>
  <r>
    <x v="0"/>
    <x v="21"/>
    <x v="6"/>
    <n v="0"/>
    <x v="2"/>
    <x v="0"/>
  </r>
  <r>
    <x v="0"/>
    <x v="22"/>
    <x v="6"/>
    <n v="0"/>
    <x v="6"/>
    <x v="0"/>
  </r>
  <r>
    <x v="1"/>
    <x v="23"/>
    <x v="6"/>
    <n v="0"/>
    <x v="1"/>
    <x v="0"/>
  </r>
  <r>
    <x v="1"/>
    <x v="0"/>
    <x v="6"/>
    <n v="2144"/>
    <x v="0"/>
    <x v="0"/>
  </r>
  <r>
    <x v="1"/>
    <x v="1"/>
    <x v="6"/>
    <n v="0"/>
    <x v="1"/>
    <x v="0"/>
  </r>
  <r>
    <x v="1"/>
    <x v="2"/>
    <x v="6"/>
    <n v="63246"/>
    <x v="0"/>
    <x v="1"/>
  </r>
  <r>
    <x v="1"/>
    <x v="3"/>
    <x v="6"/>
    <n v="0"/>
    <x v="0"/>
    <x v="1"/>
  </r>
  <r>
    <x v="1"/>
    <x v="4"/>
    <x v="6"/>
    <n v="309"/>
    <x v="0"/>
    <x v="1"/>
  </r>
  <r>
    <x v="1"/>
    <x v="5"/>
    <x v="6"/>
    <n v="0"/>
    <x v="2"/>
    <x v="0"/>
  </r>
  <r>
    <x v="1"/>
    <x v="6"/>
    <x v="6"/>
    <n v="0"/>
    <x v="2"/>
    <x v="0"/>
  </r>
  <r>
    <x v="1"/>
    <x v="7"/>
    <x v="6"/>
    <n v="0"/>
    <x v="2"/>
    <x v="0"/>
  </r>
  <r>
    <x v="1"/>
    <x v="8"/>
    <x v="6"/>
    <n v="0"/>
    <x v="2"/>
    <x v="0"/>
  </r>
  <r>
    <x v="1"/>
    <x v="9"/>
    <x v="6"/>
    <n v="0"/>
    <x v="3"/>
    <x v="0"/>
  </r>
  <r>
    <x v="1"/>
    <x v="10"/>
    <x v="6"/>
    <n v="0"/>
    <x v="3"/>
    <x v="0"/>
  </r>
  <r>
    <x v="1"/>
    <x v="11"/>
    <x v="6"/>
    <n v="3123"/>
    <x v="3"/>
    <x v="0"/>
  </r>
  <r>
    <x v="1"/>
    <x v="12"/>
    <x v="6"/>
    <n v="12273"/>
    <x v="3"/>
    <x v="0"/>
  </r>
  <r>
    <x v="1"/>
    <x v="13"/>
    <x v="6"/>
    <n v="0"/>
    <x v="1"/>
    <x v="0"/>
  </r>
  <r>
    <x v="1"/>
    <x v="14"/>
    <x v="6"/>
    <n v="0"/>
    <x v="1"/>
    <x v="0"/>
  </r>
  <r>
    <x v="1"/>
    <x v="15"/>
    <x v="6"/>
    <n v="122947"/>
    <x v="4"/>
    <x v="1"/>
  </r>
  <r>
    <x v="1"/>
    <x v="16"/>
    <x v="6"/>
    <n v="1360"/>
    <x v="4"/>
    <x v="1"/>
  </r>
  <r>
    <x v="1"/>
    <x v="17"/>
    <x v="6"/>
    <n v="0"/>
    <x v="5"/>
    <x v="0"/>
  </r>
  <r>
    <x v="1"/>
    <x v="18"/>
    <x v="6"/>
    <n v="0"/>
    <x v="0"/>
    <x v="0"/>
  </r>
  <r>
    <x v="1"/>
    <x v="19"/>
    <x v="6"/>
    <n v="0"/>
    <x v="5"/>
    <x v="0"/>
  </r>
  <r>
    <x v="1"/>
    <x v="22"/>
    <x v="6"/>
    <n v="0"/>
    <x v="6"/>
    <x v="0"/>
  </r>
  <r>
    <x v="2"/>
    <x v="23"/>
    <x v="6"/>
    <n v="362447"/>
    <x v="1"/>
    <x v="0"/>
  </r>
  <r>
    <x v="2"/>
    <x v="0"/>
    <x v="6"/>
    <n v="14467683"/>
    <x v="0"/>
    <x v="0"/>
  </r>
  <r>
    <x v="2"/>
    <x v="1"/>
    <x v="6"/>
    <n v="104296"/>
    <x v="1"/>
    <x v="0"/>
  </r>
  <r>
    <x v="2"/>
    <x v="2"/>
    <x v="6"/>
    <n v="193087164"/>
    <x v="0"/>
    <x v="1"/>
  </r>
  <r>
    <x v="2"/>
    <x v="3"/>
    <x v="6"/>
    <n v="0"/>
    <x v="0"/>
    <x v="1"/>
  </r>
  <r>
    <x v="2"/>
    <x v="4"/>
    <x v="6"/>
    <n v="71965"/>
    <x v="0"/>
    <x v="1"/>
  </r>
  <r>
    <x v="2"/>
    <x v="5"/>
    <x v="6"/>
    <n v="0"/>
    <x v="2"/>
    <x v="0"/>
  </r>
  <r>
    <x v="2"/>
    <x v="6"/>
    <x v="6"/>
    <n v="0"/>
    <x v="2"/>
    <x v="0"/>
  </r>
  <r>
    <x v="2"/>
    <x v="7"/>
    <x v="6"/>
    <n v="0"/>
    <x v="2"/>
    <x v="0"/>
  </r>
  <r>
    <x v="2"/>
    <x v="8"/>
    <x v="6"/>
    <n v="24117"/>
    <x v="2"/>
    <x v="0"/>
  </r>
  <r>
    <x v="2"/>
    <x v="9"/>
    <x v="6"/>
    <n v="9212448"/>
    <x v="3"/>
    <x v="0"/>
  </r>
  <r>
    <x v="2"/>
    <x v="10"/>
    <x v="6"/>
    <n v="0"/>
    <x v="3"/>
    <x v="0"/>
  </r>
  <r>
    <x v="2"/>
    <x v="11"/>
    <x v="6"/>
    <n v="15301245"/>
    <x v="3"/>
    <x v="0"/>
  </r>
  <r>
    <x v="2"/>
    <x v="12"/>
    <x v="6"/>
    <n v="21952322"/>
    <x v="3"/>
    <x v="0"/>
  </r>
  <r>
    <x v="2"/>
    <x v="13"/>
    <x v="6"/>
    <n v="249111"/>
    <x v="1"/>
    <x v="0"/>
  </r>
  <r>
    <x v="2"/>
    <x v="14"/>
    <x v="6"/>
    <n v="0"/>
    <x v="1"/>
    <x v="0"/>
  </r>
  <r>
    <x v="2"/>
    <x v="15"/>
    <x v="6"/>
    <n v="398951677"/>
    <x v="4"/>
    <x v="1"/>
  </r>
  <r>
    <x v="2"/>
    <x v="16"/>
    <x v="6"/>
    <n v="26862864"/>
    <x v="4"/>
    <x v="1"/>
  </r>
  <r>
    <x v="2"/>
    <x v="17"/>
    <x v="6"/>
    <n v="24333"/>
    <x v="5"/>
    <x v="0"/>
  </r>
  <r>
    <x v="2"/>
    <x v="18"/>
    <x v="6"/>
    <n v="0"/>
    <x v="0"/>
    <x v="0"/>
  </r>
  <r>
    <x v="2"/>
    <x v="19"/>
    <x v="6"/>
    <n v="0"/>
    <x v="5"/>
    <x v="0"/>
  </r>
  <r>
    <x v="2"/>
    <x v="22"/>
    <x v="6"/>
    <n v="0"/>
    <x v="6"/>
    <x v="0"/>
  </r>
  <r>
    <x v="3"/>
    <x v="24"/>
    <x v="6"/>
    <n v="63.49"/>
    <x v="3"/>
    <x v="2"/>
  </r>
  <r>
    <x v="3"/>
    <x v="0"/>
    <x v="6"/>
    <n v="47.06"/>
    <x v="7"/>
    <x v="3"/>
  </r>
  <r>
    <x v="3"/>
    <x v="18"/>
    <x v="6"/>
    <m/>
    <x v="8"/>
    <x v="4"/>
  </r>
  <r>
    <x v="0"/>
    <x v="23"/>
    <x v="7"/>
    <n v="2478"/>
    <x v="1"/>
    <x v="0"/>
  </r>
  <r>
    <x v="0"/>
    <x v="0"/>
    <x v="7"/>
    <n v="88392"/>
    <x v="0"/>
    <x v="0"/>
  </r>
  <r>
    <x v="0"/>
    <x v="1"/>
    <x v="7"/>
    <n v="129"/>
    <x v="1"/>
    <x v="0"/>
  </r>
  <r>
    <x v="0"/>
    <x v="2"/>
    <x v="7"/>
    <n v="418"/>
    <x v="0"/>
    <x v="1"/>
  </r>
  <r>
    <x v="0"/>
    <x v="3"/>
    <x v="7"/>
    <n v="0"/>
    <x v="0"/>
    <x v="1"/>
  </r>
  <r>
    <x v="0"/>
    <x v="4"/>
    <x v="7"/>
    <n v="214"/>
    <x v="0"/>
    <x v="1"/>
  </r>
  <r>
    <x v="0"/>
    <x v="5"/>
    <x v="7"/>
    <n v="0"/>
    <x v="2"/>
    <x v="0"/>
  </r>
  <r>
    <x v="0"/>
    <x v="6"/>
    <x v="7"/>
    <n v="0"/>
    <x v="2"/>
    <x v="0"/>
  </r>
  <r>
    <x v="0"/>
    <x v="7"/>
    <x v="7"/>
    <n v="0"/>
    <x v="2"/>
    <x v="0"/>
  </r>
  <r>
    <x v="0"/>
    <x v="8"/>
    <x v="7"/>
    <n v="946"/>
    <x v="2"/>
    <x v="0"/>
  </r>
  <r>
    <x v="0"/>
    <x v="9"/>
    <x v="7"/>
    <n v="32285"/>
    <x v="3"/>
    <x v="0"/>
  </r>
  <r>
    <x v="0"/>
    <x v="10"/>
    <x v="7"/>
    <n v="0"/>
    <x v="3"/>
    <x v="0"/>
  </r>
  <r>
    <x v="0"/>
    <x v="11"/>
    <x v="7"/>
    <n v="70276"/>
    <x v="3"/>
    <x v="0"/>
  </r>
  <r>
    <x v="0"/>
    <x v="12"/>
    <x v="7"/>
    <n v="39825"/>
    <x v="3"/>
    <x v="0"/>
  </r>
  <r>
    <x v="0"/>
    <x v="13"/>
    <x v="7"/>
    <n v="272"/>
    <x v="1"/>
    <x v="0"/>
  </r>
  <r>
    <x v="0"/>
    <x v="14"/>
    <x v="7"/>
    <n v="0"/>
    <x v="1"/>
    <x v="0"/>
  </r>
  <r>
    <x v="0"/>
    <x v="15"/>
    <x v="7"/>
    <n v="331"/>
    <x v="4"/>
    <x v="1"/>
  </r>
  <r>
    <x v="0"/>
    <x v="16"/>
    <x v="7"/>
    <n v="75"/>
    <x v="4"/>
    <x v="1"/>
  </r>
  <r>
    <x v="0"/>
    <x v="17"/>
    <x v="7"/>
    <n v="61"/>
    <x v="5"/>
    <x v="0"/>
  </r>
  <r>
    <x v="0"/>
    <x v="18"/>
    <x v="7"/>
    <n v="2863"/>
    <x v="0"/>
    <x v="0"/>
  </r>
  <r>
    <x v="0"/>
    <x v="19"/>
    <x v="7"/>
    <n v="0"/>
    <x v="5"/>
    <x v="0"/>
  </r>
  <r>
    <x v="0"/>
    <x v="20"/>
    <x v="7"/>
    <n v="10301"/>
    <x v="2"/>
    <x v="0"/>
  </r>
  <r>
    <x v="0"/>
    <x v="21"/>
    <x v="7"/>
    <n v="0"/>
    <x v="2"/>
    <x v="0"/>
  </r>
  <r>
    <x v="0"/>
    <x v="22"/>
    <x v="7"/>
    <n v="0"/>
    <x v="6"/>
    <x v="0"/>
  </r>
  <r>
    <x v="1"/>
    <x v="23"/>
    <x v="7"/>
    <n v="0"/>
    <x v="1"/>
    <x v="0"/>
  </r>
  <r>
    <x v="1"/>
    <x v="0"/>
    <x v="7"/>
    <n v="1286"/>
    <x v="0"/>
    <x v="0"/>
  </r>
  <r>
    <x v="1"/>
    <x v="1"/>
    <x v="7"/>
    <n v="0"/>
    <x v="1"/>
    <x v="0"/>
  </r>
  <r>
    <x v="1"/>
    <x v="2"/>
    <x v="7"/>
    <n v="52953"/>
    <x v="0"/>
    <x v="1"/>
  </r>
  <r>
    <x v="1"/>
    <x v="3"/>
    <x v="7"/>
    <n v="0"/>
    <x v="0"/>
    <x v="1"/>
  </r>
  <r>
    <x v="1"/>
    <x v="4"/>
    <x v="7"/>
    <n v="367"/>
    <x v="0"/>
    <x v="1"/>
  </r>
  <r>
    <x v="1"/>
    <x v="5"/>
    <x v="7"/>
    <n v="0"/>
    <x v="2"/>
    <x v="0"/>
  </r>
  <r>
    <x v="1"/>
    <x v="6"/>
    <x v="7"/>
    <n v="0"/>
    <x v="2"/>
    <x v="0"/>
  </r>
  <r>
    <x v="1"/>
    <x v="7"/>
    <x v="7"/>
    <n v="0"/>
    <x v="2"/>
    <x v="0"/>
  </r>
  <r>
    <x v="1"/>
    <x v="8"/>
    <x v="7"/>
    <n v="0"/>
    <x v="2"/>
    <x v="0"/>
  </r>
  <r>
    <x v="1"/>
    <x v="9"/>
    <x v="7"/>
    <n v="0"/>
    <x v="3"/>
    <x v="0"/>
  </r>
  <r>
    <x v="1"/>
    <x v="10"/>
    <x v="7"/>
    <n v="0"/>
    <x v="3"/>
    <x v="0"/>
  </r>
  <r>
    <x v="1"/>
    <x v="11"/>
    <x v="7"/>
    <n v="3653"/>
    <x v="3"/>
    <x v="0"/>
  </r>
  <r>
    <x v="1"/>
    <x v="12"/>
    <x v="7"/>
    <n v="17390"/>
    <x v="3"/>
    <x v="0"/>
  </r>
  <r>
    <x v="1"/>
    <x v="13"/>
    <x v="7"/>
    <n v="0"/>
    <x v="1"/>
    <x v="0"/>
  </r>
  <r>
    <x v="1"/>
    <x v="14"/>
    <x v="7"/>
    <n v="0"/>
    <x v="1"/>
    <x v="0"/>
  </r>
  <r>
    <x v="1"/>
    <x v="15"/>
    <x v="7"/>
    <n v="109770"/>
    <x v="4"/>
    <x v="1"/>
  </r>
  <r>
    <x v="1"/>
    <x v="16"/>
    <x v="7"/>
    <n v="1037"/>
    <x v="4"/>
    <x v="1"/>
  </r>
  <r>
    <x v="1"/>
    <x v="17"/>
    <x v="7"/>
    <n v="0"/>
    <x v="5"/>
    <x v="0"/>
  </r>
  <r>
    <x v="1"/>
    <x v="18"/>
    <x v="7"/>
    <n v="0"/>
    <x v="0"/>
    <x v="0"/>
  </r>
  <r>
    <x v="1"/>
    <x v="19"/>
    <x v="7"/>
    <n v="0"/>
    <x v="5"/>
    <x v="0"/>
  </r>
  <r>
    <x v="1"/>
    <x v="22"/>
    <x v="7"/>
    <n v="0"/>
    <x v="6"/>
    <x v="0"/>
  </r>
  <r>
    <x v="2"/>
    <x v="23"/>
    <x v="7"/>
    <n v="402283"/>
    <x v="1"/>
    <x v="0"/>
  </r>
  <r>
    <x v="2"/>
    <x v="0"/>
    <x v="7"/>
    <n v="14095269"/>
    <x v="0"/>
    <x v="0"/>
  </r>
  <r>
    <x v="2"/>
    <x v="1"/>
    <x v="7"/>
    <n v="33816"/>
    <x v="1"/>
    <x v="0"/>
  </r>
  <r>
    <x v="2"/>
    <x v="2"/>
    <x v="7"/>
    <n v="161636376"/>
    <x v="0"/>
    <x v="1"/>
  </r>
  <r>
    <x v="2"/>
    <x v="3"/>
    <x v="7"/>
    <n v="0"/>
    <x v="0"/>
    <x v="1"/>
  </r>
  <r>
    <x v="2"/>
    <x v="4"/>
    <x v="7"/>
    <n v="2358476"/>
    <x v="0"/>
    <x v="1"/>
  </r>
  <r>
    <x v="2"/>
    <x v="5"/>
    <x v="7"/>
    <n v="0"/>
    <x v="2"/>
    <x v="0"/>
  </r>
  <r>
    <x v="2"/>
    <x v="6"/>
    <x v="7"/>
    <n v="0"/>
    <x v="2"/>
    <x v="0"/>
  </r>
  <r>
    <x v="2"/>
    <x v="7"/>
    <x v="7"/>
    <n v="0"/>
    <x v="2"/>
    <x v="0"/>
  </r>
  <r>
    <x v="2"/>
    <x v="8"/>
    <x v="7"/>
    <n v="22967"/>
    <x v="2"/>
    <x v="0"/>
  </r>
  <r>
    <x v="2"/>
    <x v="9"/>
    <x v="7"/>
    <n v="8937202"/>
    <x v="3"/>
    <x v="0"/>
  </r>
  <r>
    <x v="2"/>
    <x v="10"/>
    <x v="7"/>
    <n v="0"/>
    <x v="3"/>
    <x v="0"/>
  </r>
  <r>
    <x v="2"/>
    <x v="11"/>
    <x v="7"/>
    <n v="22286606"/>
    <x v="3"/>
    <x v="0"/>
  </r>
  <r>
    <x v="2"/>
    <x v="12"/>
    <x v="7"/>
    <n v="9236517"/>
    <x v="3"/>
    <x v="0"/>
  </r>
  <r>
    <x v="2"/>
    <x v="13"/>
    <x v="7"/>
    <n v="205210"/>
    <x v="1"/>
    <x v="0"/>
  </r>
  <r>
    <x v="2"/>
    <x v="14"/>
    <x v="7"/>
    <n v="0"/>
    <x v="1"/>
    <x v="0"/>
  </r>
  <r>
    <x v="2"/>
    <x v="15"/>
    <x v="7"/>
    <n v="357091065"/>
    <x v="4"/>
    <x v="1"/>
  </r>
  <r>
    <x v="2"/>
    <x v="16"/>
    <x v="7"/>
    <n v="20220327"/>
    <x v="4"/>
    <x v="1"/>
  </r>
  <r>
    <x v="2"/>
    <x v="17"/>
    <x v="7"/>
    <n v="39627"/>
    <x v="5"/>
    <x v="0"/>
  </r>
  <r>
    <x v="2"/>
    <x v="18"/>
    <x v="7"/>
    <n v="337496"/>
    <x v="0"/>
    <x v="0"/>
  </r>
  <r>
    <x v="2"/>
    <x v="19"/>
    <x v="7"/>
    <n v="0"/>
    <x v="5"/>
    <x v="0"/>
  </r>
  <r>
    <x v="2"/>
    <x v="22"/>
    <x v="7"/>
    <n v="0"/>
    <x v="6"/>
    <x v="0"/>
  </r>
  <r>
    <x v="3"/>
    <x v="24"/>
    <x v="7"/>
    <n v="61.33"/>
    <x v="3"/>
    <x v="2"/>
  </r>
  <r>
    <x v="3"/>
    <x v="0"/>
    <x v="7"/>
    <n v="47.45"/>
    <x v="7"/>
    <x v="3"/>
  </r>
  <r>
    <x v="3"/>
    <x v="18"/>
    <x v="7"/>
    <n v="33.64"/>
    <x v="8"/>
    <x v="4"/>
  </r>
  <r>
    <x v="0"/>
    <x v="23"/>
    <x v="8"/>
    <n v="876"/>
    <x v="1"/>
    <x v="0"/>
  </r>
  <r>
    <x v="0"/>
    <x v="0"/>
    <x v="8"/>
    <n v="73382"/>
    <x v="0"/>
    <x v="0"/>
  </r>
  <r>
    <x v="0"/>
    <x v="1"/>
    <x v="8"/>
    <n v="327"/>
    <x v="1"/>
    <x v="0"/>
  </r>
  <r>
    <x v="0"/>
    <x v="2"/>
    <x v="8"/>
    <n v="625"/>
    <x v="0"/>
    <x v="1"/>
  </r>
  <r>
    <x v="0"/>
    <x v="3"/>
    <x v="8"/>
    <n v="0"/>
    <x v="0"/>
    <x v="1"/>
  </r>
  <r>
    <x v="0"/>
    <x v="4"/>
    <x v="8"/>
    <n v="562"/>
    <x v="0"/>
    <x v="1"/>
  </r>
  <r>
    <x v="0"/>
    <x v="5"/>
    <x v="8"/>
    <n v="0"/>
    <x v="2"/>
    <x v="0"/>
  </r>
  <r>
    <x v="0"/>
    <x v="6"/>
    <x v="8"/>
    <n v="4288"/>
    <x v="2"/>
    <x v="0"/>
  </r>
  <r>
    <x v="0"/>
    <x v="7"/>
    <x v="8"/>
    <n v="0"/>
    <x v="2"/>
    <x v="0"/>
  </r>
  <r>
    <x v="0"/>
    <x v="8"/>
    <x v="8"/>
    <n v="539"/>
    <x v="2"/>
    <x v="0"/>
  </r>
  <r>
    <x v="0"/>
    <x v="9"/>
    <x v="8"/>
    <n v="30356"/>
    <x v="3"/>
    <x v="0"/>
  </r>
  <r>
    <x v="0"/>
    <x v="10"/>
    <x v="8"/>
    <n v="0"/>
    <x v="3"/>
    <x v="0"/>
  </r>
  <r>
    <x v="0"/>
    <x v="11"/>
    <x v="8"/>
    <n v="68913"/>
    <x v="3"/>
    <x v="0"/>
  </r>
  <r>
    <x v="0"/>
    <x v="12"/>
    <x v="8"/>
    <n v="21805"/>
    <x v="3"/>
    <x v="0"/>
  </r>
  <r>
    <x v="0"/>
    <x v="13"/>
    <x v="8"/>
    <n v="472"/>
    <x v="1"/>
    <x v="0"/>
  </r>
  <r>
    <x v="0"/>
    <x v="14"/>
    <x v="8"/>
    <n v="0"/>
    <x v="1"/>
    <x v="0"/>
  </r>
  <r>
    <x v="0"/>
    <x v="15"/>
    <x v="8"/>
    <n v="128"/>
    <x v="4"/>
    <x v="1"/>
  </r>
  <r>
    <x v="0"/>
    <x v="16"/>
    <x v="8"/>
    <n v="133"/>
    <x v="4"/>
    <x v="1"/>
  </r>
  <r>
    <x v="0"/>
    <x v="17"/>
    <x v="8"/>
    <n v="199"/>
    <x v="5"/>
    <x v="0"/>
  </r>
  <r>
    <x v="0"/>
    <x v="18"/>
    <x v="8"/>
    <n v="1967"/>
    <x v="0"/>
    <x v="0"/>
  </r>
  <r>
    <x v="0"/>
    <x v="19"/>
    <x v="8"/>
    <n v="0"/>
    <x v="5"/>
    <x v="0"/>
  </r>
  <r>
    <x v="0"/>
    <x v="20"/>
    <x v="8"/>
    <n v="14222"/>
    <x v="2"/>
    <x v="0"/>
  </r>
  <r>
    <x v="0"/>
    <x v="21"/>
    <x v="8"/>
    <n v="0"/>
    <x v="2"/>
    <x v="0"/>
  </r>
  <r>
    <x v="0"/>
    <x v="22"/>
    <x v="8"/>
    <n v="0"/>
    <x v="6"/>
    <x v="0"/>
  </r>
  <r>
    <x v="1"/>
    <x v="23"/>
    <x v="8"/>
    <n v="0"/>
    <x v="1"/>
    <x v="0"/>
  </r>
  <r>
    <x v="1"/>
    <x v="0"/>
    <x v="8"/>
    <n v="659"/>
    <x v="0"/>
    <x v="0"/>
  </r>
  <r>
    <x v="1"/>
    <x v="1"/>
    <x v="8"/>
    <n v="0"/>
    <x v="1"/>
    <x v="0"/>
  </r>
  <r>
    <x v="1"/>
    <x v="2"/>
    <x v="8"/>
    <n v="66852"/>
    <x v="0"/>
    <x v="1"/>
  </r>
  <r>
    <x v="1"/>
    <x v="3"/>
    <x v="8"/>
    <n v="0"/>
    <x v="0"/>
    <x v="1"/>
  </r>
  <r>
    <x v="1"/>
    <x v="4"/>
    <x v="8"/>
    <n v="549"/>
    <x v="0"/>
    <x v="1"/>
  </r>
  <r>
    <x v="1"/>
    <x v="5"/>
    <x v="8"/>
    <n v="0"/>
    <x v="2"/>
    <x v="0"/>
  </r>
  <r>
    <x v="1"/>
    <x v="6"/>
    <x v="8"/>
    <n v="0"/>
    <x v="2"/>
    <x v="0"/>
  </r>
  <r>
    <x v="1"/>
    <x v="7"/>
    <x v="8"/>
    <n v="0"/>
    <x v="2"/>
    <x v="0"/>
  </r>
  <r>
    <x v="1"/>
    <x v="8"/>
    <x v="8"/>
    <n v="0"/>
    <x v="2"/>
    <x v="0"/>
  </r>
  <r>
    <x v="1"/>
    <x v="9"/>
    <x v="8"/>
    <n v="292"/>
    <x v="3"/>
    <x v="0"/>
  </r>
  <r>
    <x v="1"/>
    <x v="10"/>
    <x v="8"/>
    <n v="0"/>
    <x v="3"/>
    <x v="0"/>
  </r>
  <r>
    <x v="1"/>
    <x v="11"/>
    <x v="8"/>
    <n v="3494"/>
    <x v="3"/>
    <x v="0"/>
  </r>
  <r>
    <x v="1"/>
    <x v="12"/>
    <x v="8"/>
    <n v="203"/>
    <x v="3"/>
    <x v="0"/>
  </r>
  <r>
    <x v="1"/>
    <x v="13"/>
    <x v="8"/>
    <n v="0"/>
    <x v="1"/>
    <x v="0"/>
  </r>
  <r>
    <x v="1"/>
    <x v="14"/>
    <x v="8"/>
    <n v="0"/>
    <x v="1"/>
    <x v="0"/>
  </r>
  <r>
    <x v="1"/>
    <x v="15"/>
    <x v="8"/>
    <n v="122722"/>
    <x v="4"/>
    <x v="1"/>
  </r>
  <r>
    <x v="1"/>
    <x v="16"/>
    <x v="8"/>
    <n v="2325"/>
    <x v="4"/>
    <x v="1"/>
  </r>
  <r>
    <x v="1"/>
    <x v="17"/>
    <x v="8"/>
    <n v="0"/>
    <x v="5"/>
    <x v="0"/>
  </r>
  <r>
    <x v="1"/>
    <x v="18"/>
    <x v="8"/>
    <n v="18"/>
    <x v="0"/>
    <x v="0"/>
  </r>
  <r>
    <x v="1"/>
    <x v="19"/>
    <x v="8"/>
    <n v="0"/>
    <x v="5"/>
    <x v="0"/>
  </r>
  <r>
    <x v="1"/>
    <x v="22"/>
    <x v="8"/>
    <n v="0"/>
    <x v="6"/>
    <x v="0"/>
  </r>
  <r>
    <x v="2"/>
    <x v="23"/>
    <x v="8"/>
    <n v="187421"/>
    <x v="1"/>
    <x v="0"/>
  </r>
  <r>
    <x v="2"/>
    <x v="0"/>
    <x v="8"/>
    <n v="10797938"/>
    <x v="0"/>
    <x v="0"/>
  </r>
  <r>
    <x v="2"/>
    <x v="1"/>
    <x v="8"/>
    <n v="84406"/>
    <x v="1"/>
    <x v="0"/>
  </r>
  <r>
    <x v="2"/>
    <x v="2"/>
    <x v="8"/>
    <n v="162000728"/>
    <x v="0"/>
    <x v="1"/>
  </r>
  <r>
    <x v="2"/>
    <x v="3"/>
    <x v="8"/>
    <n v="0"/>
    <x v="0"/>
    <x v="1"/>
  </r>
  <r>
    <x v="2"/>
    <x v="4"/>
    <x v="8"/>
    <n v="-76495"/>
    <x v="0"/>
    <x v="1"/>
  </r>
  <r>
    <x v="2"/>
    <x v="5"/>
    <x v="8"/>
    <n v="0"/>
    <x v="2"/>
    <x v="0"/>
  </r>
  <r>
    <x v="2"/>
    <x v="6"/>
    <x v="8"/>
    <n v="431079"/>
    <x v="2"/>
    <x v="0"/>
  </r>
  <r>
    <x v="2"/>
    <x v="7"/>
    <x v="8"/>
    <n v="0"/>
    <x v="2"/>
    <x v="0"/>
  </r>
  <r>
    <x v="2"/>
    <x v="8"/>
    <x v="8"/>
    <n v="18643"/>
    <x v="2"/>
    <x v="0"/>
  </r>
  <r>
    <x v="2"/>
    <x v="9"/>
    <x v="8"/>
    <n v="8411434"/>
    <x v="3"/>
    <x v="0"/>
  </r>
  <r>
    <x v="2"/>
    <x v="10"/>
    <x v="8"/>
    <n v="0"/>
    <x v="3"/>
    <x v="0"/>
  </r>
  <r>
    <x v="2"/>
    <x v="11"/>
    <x v="8"/>
    <n v="23044585"/>
    <x v="3"/>
    <x v="0"/>
  </r>
  <r>
    <x v="2"/>
    <x v="12"/>
    <x v="8"/>
    <n v="8661266"/>
    <x v="3"/>
    <x v="0"/>
  </r>
  <r>
    <x v="2"/>
    <x v="13"/>
    <x v="8"/>
    <n v="384241"/>
    <x v="1"/>
    <x v="0"/>
  </r>
  <r>
    <x v="2"/>
    <x v="14"/>
    <x v="8"/>
    <n v="0"/>
    <x v="1"/>
    <x v="0"/>
  </r>
  <r>
    <x v="2"/>
    <x v="15"/>
    <x v="8"/>
    <n v="321842960"/>
    <x v="4"/>
    <x v="1"/>
  </r>
  <r>
    <x v="2"/>
    <x v="16"/>
    <x v="8"/>
    <n v="18561719"/>
    <x v="4"/>
    <x v="1"/>
  </r>
  <r>
    <x v="2"/>
    <x v="17"/>
    <x v="8"/>
    <n v="138064"/>
    <x v="5"/>
    <x v="0"/>
  </r>
  <r>
    <x v="2"/>
    <x v="18"/>
    <x v="8"/>
    <n v="301585"/>
    <x v="0"/>
    <x v="0"/>
  </r>
  <r>
    <x v="2"/>
    <x v="19"/>
    <x v="8"/>
    <n v="0"/>
    <x v="5"/>
    <x v="0"/>
  </r>
  <r>
    <x v="2"/>
    <x v="22"/>
    <x v="8"/>
    <n v="0"/>
    <x v="6"/>
    <x v="0"/>
  </r>
  <r>
    <x v="3"/>
    <x v="24"/>
    <x v="8"/>
    <n v="61.85"/>
    <x v="3"/>
    <x v="2"/>
  </r>
  <r>
    <x v="3"/>
    <x v="0"/>
    <x v="8"/>
    <n v="45.21"/>
    <x v="7"/>
    <x v="3"/>
  </r>
  <r>
    <x v="3"/>
    <x v="18"/>
    <x v="8"/>
    <n v="48.76"/>
    <x v="8"/>
    <x v="4"/>
  </r>
  <r>
    <x v="0"/>
    <x v="23"/>
    <x v="9"/>
    <n v="1337"/>
    <x v="1"/>
    <x v="0"/>
  </r>
  <r>
    <x v="0"/>
    <x v="0"/>
    <x v="9"/>
    <n v="88804"/>
    <x v="0"/>
    <x v="0"/>
  </r>
  <r>
    <x v="0"/>
    <x v="1"/>
    <x v="9"/>
    <n v="433"/>
    <x v="1"/>
    <x v="0"/>
  </r>
  <r>
    <x v="0"/>
    <x v="2"/>
    <x v="9"/>
    <n v="1068"/>
    <x v="0"/>
    <x v="1"/>
  </r>
  <r>
    <x v="0"/>
    <x v="3"/>
    <x v="9"/>
    <n v="12"/>
    <x v="0"/>
    <x v="1"/>
  </r>
  <r>
    <x v="0"/>
    <x v="4"/>
    <x v="9"/>
    <n v="870"/>
    <x v="0"/>
    <x v="1"/>
  </r>
  <r>
    <x v="0"/>
    <x v="5"/>
    <x v="9"/>
    <n v="0"/>
    <x v="2"/>
    <x v="0"/>
  </r>
  <r>
    <x v="0"/>
    <x v="6"/>
    <x v="9"/>
    <n v="4206"/>
    <x v="2"/>
    <x v="0"/>
  </r>
  <r>
    <x v="0"/>
    <x v="7"/>
    <x v="9"/>
    <n v="0"/>
    <x v="2"/>
    <x v="0"/>
  </r>
  <r>
    <x v="0"/>
    <x v="8"/>
    <x v="9"/>
    <n v="761"/>
    <x v="2"/>
    <x v="0"/>
  </r>
  <r>
    <x v="0"/>
    <x v="9"/>
    <x v="9"/>
    <n v="31671"/>
    <x v="3"/>
    <x v="0"/>
  </r>
  <r>
    <x v="0"/>
    <x v="10"/>
    <x v="9"/>
    <n v="0"/>
    <x v="3"/>
    <x v="0"/>
  </r>
  <r>
    <x v="0"/>
    <x v="11"/>
    <x v="9"/>
    <n v="73362"/>
    <x v="3"/>
    <x v="0"/>
  </r>
  <r>
    <x v="0"/>
    <x v="12"/>
    <x v="9"/>
    <n v="11729"/>
    <x v="3"/>
    <x v="0"/>
  </r>
  <r>
    <x v="0"/>
    <x v="13"/>
    <x v="9"/>
    <n v="514"/>
    <x v="1"/>
    <x v="0"/>
  </r>
  <r>
    <x v="0"/>
    <x v="14"/>
    <x v="9"/>
    <n v="0"/>
    <x v="1"/>
    <x v="0"/>
  </r>
  <r>
    <x v="0"/>
    <x v="15"/>
    <x v="9"/>
    <n v="1205"/>
    <x v="4"/>
    <x v="1"/>
  </r>
  <r>
    <x v="0"/>
    <x v="16"/>
    <x v="9"/>
    <n v="84"/>
    <x v="4"/>
    <x v="1"/>
  </r>
  <r>
    <x v="0"/>
    <x v="17"/>
    <x v="9"/>
    <n v="218"/>
    <x v="5"/>
    <x v="0"/>
  </r>
  <r>
    <x v="0"/>
    <x v="18"/>
    <x v="9"/>
    <n v="1637"/>
    <x v="0"/>
    <x v="0"/>
  </r>
  <r>
    <x v="0"/>
    <x v="19"/>
    <x v="9"/>
    <n v="0"/>
    <x v="5"/>
    <x v="0"/>
  </r>
  <r>
    <x v="0"/>
    <x v="20"/>
    <x v="9"/>
    <n v="14222"/>
    <x v="2"/>
    <x v="0"/>
  </r>
  <r>
    <x v="0"/>
    <x v="21"/>
    <x v="9"/>
    <n v="0"/>
    <x v="2"/>
    <x v="0"/>
  </r>
  <r>
    <x v="0"/>
    <x v="22"/>
    <x v="9"/>
    <n v="0"/>
    <x v="6"/>
    <x v="0"/>
  </r>
  <r>
    <x v="1"/>
    <x v="23"/>
    <x v="9"/>
    <n v="0"/>
    <x v="1"/>
    <x v="0"/>
  </r>
  <r>
    <x v="1"/>
    <x v="0"/>
    <x v="9"/>
    <n v="1134"/>
    <x v="0"/>
    <x v="0"/>
  </r>
  <r>
    <x v="1"/>
    <x v="1"/>
    <x v="9"/>
    <n v="0"/>
    <x v="1"/>
    <x v="0"/>
  </r>
  <r>
    <x v="1"/>
    <x v="2"/>
    <x v="9"/>
    <n v="76577"/>
    <x v="0"/>
    <x v="1"/>
  </r>
  <r>
    <x v="1"/>
    <x v="3"/>
    <x v="9"/>
    <n v="0"/>
    <x v="0"/>
    <x v="1"/>
  </r>
  <r>
    <x v="1"/>
    <x v="4"/>
    <x v="9"/>
    <n v="437"/>
    <x v="0"/>
    <x v="1"/>
  </r>
  <r>
    <x v="1"/>
    <x v="5"/>
    <x v="9"/>
    <n v="0"/>
    <x v="2"/>
    <x v="0"/>
  </r>
  <r>
    <x v="1"/>
    <x v="6"/>
    <x v="9"/>
    <n v="0"/>
    <x v="2"/>
    <x v="0"/>
  </r>
  <r>
    <x v="1"/>
    <x v="7"/>
    <x v="9"/>
    <n v="0"/>
    <x v="2"/>
    <x v="0"/>
  </r>
  <r>
    <x v="1"/>
    <x v="8"/>
    <x v="9"/>
    <n v="0"/>
    <x v="2"/>
    <x v="0"/>
  </r>
  <r>
    <x v="1"/>
    <x v="9"/>
    <x v="9"/>
    <n v="0"/>
    <x v="3"/>
    <x v="0"/>
  </r>
  <r>
    <x v="1"/>
    <x v="10"/>
    <x v="9"/>
    <n v="0"/>
    <x v="3"/>
    <x v="0"/>
  </r>
  <r>
    <x v="1"/>
    <x v="11"/>
    <x v="9"/>
    <n v="2984"/>
    <x v="3"/>
    <x v="0"/>
  </r>
  <r>
    <x v="1"/>
    <x v="12"/>
    <x v="9"/>
    <n v="0"/>
    <x v="3"/>
    <x v="0"/>
  </r>
  <r>
    <x v="1"/>
    <x v="13"/>
    <x v="9"/>
    <n v="0"/>
    <x v="1"/>
    <x v="0"/>
  </r>
  <r>
    <x v="1"/>
    <x v="14"/>
    <x v="9"/>
    <n v="0"/>
    <x v="1"/>
    <x v="0"/>
  </r>
  <r>
    <x v="1"/>
    <x v="15"/>
    <x v="9"/>
    <n v="152102"/>
    <x v="4"/>
    <x v="1"/>
  </r>
  <r>
    <x v="1"/>
    <x v="16"/>
    <x v="9"/>
    <n v="2519"/>
    <x v="4"/>
    <x v="1"/>
  </r>
  <r>
    <x v="1"/>
    <x v="17"/>
    <x v="9"/>
    <n v="0"/>
    <x v="5"/>
    <x v="0"/>
  </r>
  <r>
    <x v="1"/>
    <x v="18"/>
    <x v="9"/>
    <n v="0"/>
    <x v="0"/>
    <x v="0"/>
  </r>
  <r>
    <x v="1"/>
    <x v="19"/>
    <x v="9"/>
    <n v="0"/>
    <x v="5"/>
    <x v="0"/>
  </r>
  <r>
    <x v="1"/>
    <x v="22"/>
    <x v="9"/>
    <n v="0"/>
    <x v="6"/>
    <x v="0"/>
  </r>
  <r>
    <x v="2"/>
    <x v="23"/>
    <x v="9"/>
    <n v="322942"/>
    <x v="1"/>
    <x v="0"/>
  </r>
  <r>
    <x v="2"/>
    <x v="0"/>
    <x v="9"/>
    <n v="13219212"/>
    <x v="0"/>
    <x v="0"/>
  </r>
  <r>
    <x v="2"/>
    <x v="1"/>
    <x v="9"/>
    <n v="111748"/>
    <x v="1"/>
    <x v="0"/>
  </r>
  <r>
    <x v="2"/>
    <x v="2"/>
    <x v="9"/>
    <n v="184700513"/>
    <x v="0"/>
    <x v="1"/>
  </r>
  <r>
    <x v="2"/>
    <x v="3"/>
    <x v="9"/>
    <n v="16659"/>
    <x v="0"/>
    <x v="1"/>
  </r>
  <r>
    <x v="2"/>
    <x v="4"/>
    <x v="9"/>
    <n v="-3232199"/>
    <x v="0"/>
    <x v="1"/>
  </r>
  <r>
    <x v="2"/>
    <x v="5"/>
    <x v="9"/>
    <n v="0"/>
    <x v="2"/>
    <x v="0"/>
  </r>
  <r>
    <x v="2"/>
    <x v="6"/>
    <x v="9"/>
    <n v="422832"/>
    <x v="2"/>
    <x v="0"/>
  </r>
  <r>
    <x v="2"/>
    <x v="7"/>
    <x v="9"/>
    <n v="0"/>
    <x v="2"/>
    <x v="0"/>
  </r>
  <r>
    <x v="2"/>
    <x v="8"/>
    <x v="9"/>
    <n v="26424"/>
    <x v="2"/>
    <x v="0"/>
  </r>
  <r>
    <x v="2"/>
    <x v="9"/>
    <x v="9"/>
    <n v="8861240"/>
    <x v="3"/>
    <x v="0"/>
  </r>
  <r>
    <x v="2"/>
    <x v="10"/>
    <x v="9"/>
    <n v="0"/>
    <x v="3"/>
    <x v="0"/>
  </r>
  <r>
    <x v="2"/>
    <x v="11"/>
    <x v="9"/>
    <n v="24546488"/>
    <x v="3"/>
    <x v="0"/>
  </r>
  <r>
    <x v="2"/>
    <x v="12"/>
    <x v="9"/>
    <n v="4791519"/>
    <x v="3"/>
    <x v="0"/>
  </r>
  <r>
    <x v="2"/>
    <x v="13"/>
    <x v="9"/>
    <n v="347101"/>
    <x v="1"/>
    <x v="0"/>
  </r>
  <r>
    <x v="2"/>
    <x v="14"/>
    <x v="9"/>
    <n v="0"/>
    <x v="1"/>
    <x v="0"/>
  </r>
  <r>
    <x v="2"/>
    <x v="15"/>
    <x v="9"/>
    <n v="396147902"/>
    <x v="4"/>
    <x v="1"/>
  </r>
  <r>
    <x v="2"/>
    <x v="16"/>
    <x v="9"/>
    <n v="20979029"/>
    <x v="4"/>
    <x v="1"/>
  </r>
  <r>
    <x v="2"/>
    <x v="17"/>
    <x v="9"/>
    <n v="152677"/>
    <x v="5"/>
    <x v="0"/>
  </r>
  <r>
    <x v="2"/>
    <x v="18"/>
    <x v="9"/>
    <n v="202848"/>
    <x v="0"/>
    <x v="0"/>
  </r>
  <r>
    <x v="2"/>
    <x v="19"/>
    <x v="9"/>
    <n v="0"/>
    <x v="5"/>
    <x v="0"/>
  </r>
  <r>
    <x v="2"/>
    <x v="22"/>
    <x v="9"/>
    <n v="0"/>
    <x v="6"/>
    <x v="0"/>
  </r>
  <r>
    <x v="3"/>
    <x v="24"/>
    <x v="9"/>
    <n v="61.12"/>
    <x v="3"/>
    <x v="2"/>
  </r>
  <r>
    <x v="3"/>
    <x v="0"/>
    <x v="9"/>
    <n v="46.03"/>
    <x v="7"/>
    <x v="3"/>
  </r>
  <r>
    <x v="3"/>
    <x v="18"/>
    <x v="9"/>
    <n v="36.380000000000003"/>
    <x v="8"/>
    <x v="4"/>
  </r>
  <r>
    <x v="0"/>
    <x v="23"/>
    <x v="10"/>
    <n v="1512"/>
    <x v="1"/>
    <x v="0"/>
  </r>
  <r>
    <x v="0"/>
    <x v="0"/>
    <x v="10"/>
    <n v="101480"/>
    <x v="0"/>
    <x v="0"/>
  </r>
  <r>
    <x v="0"/>
    <x v="1"/>
    <x v="10"/>
    <n v="409"/>
    <x v="1"/>
    <x v="0"/>
  </r>
  <r>
    <x v="0"/>
    <x v="2"/>
    <x v="10"/>
    <n v="626"/>
    <x v="0"/>
    <x v="1"/>
  </r>
  <r>
    <x v="0"/>
    <x v="3"/>
    <x v="10"/>
    <n v="0"/>
    <x v="0"/>
    <x v="1"/>
  </r>
  <r>
    <x v="0"/>
    <x v="4"/>
    <x v="10"/>
    <n v="1053"/>
    <x v="0"/>
    <x v="1"/>
  </r>
  <r>
    <x v="0"/>
    <x v="5"/>
    <x v="10"/>
    <n v="0"/>
    <x v="2"/>
    <x v="0"/>
  </r>
  <r>
    <x v="0"/>
    <x v="6"/>
    <x v="10"/>
    <n v="4382"/>
    <x v="2"/>
    <x v="0"/>
  </r>
  <r>
    <x v="0"/>
    <x v="7"/>
    <x v="10"/>
    <n v="0"/>
    <x v="2"/>
    <x v="0"/>
  </r>
  <r>
    <x v="0"/>
    <x v="8"/>
    <x v="10"/>
    <n v="968"/>
    <x v="2"/>
    <x v="0"/>
  </r>
  <r>
    <x v="0"/>
    <x v="9"/>
    <x v="10"/>
    <n v="33147"/>
    <x v="3"/>
    <x v="0"/>
  </r>
  <r>
    <x v="0"/>
    <x v="10"/>
    <x v="10"/>
    <n v="0"/>
    <x v="3"/>
    <x v="0"/>
  </r>
  <r>
    <x v="0"/>
    <x v="11"/>
    <x v="10"/>
    <n v="92640"/>
    <x v="3"/>
    <x v="0"/>
  </r>
  <r>
    <x v="0"/>
    <x v="12"/>
    <x v="10"/>
    <n v="14563"/>
    <x v="3"/>
    <x v="0"/>
  </r>
  <r>
    <x v="0"/>
    <x v="13"/>
    <x v="10"/>
    <n v="486"/>
    <x v="1"/>
    <x v="0"/>
  </r>
  <r>
    <x v="0"/>
    <x v="14"/>
    <x v="10"/>
    <n v="0"/>
    <x v="1"/>
    <x v="0"/>
  </r>
  <r>
    <x v="0"/>
    <x v="15"/>
    <x v="10"/>
    <n v="401"/>
    <x v="4"/>
    <x v="1"/>
  </r>
  <r>
    <x v="0"/>
    <x v="16"/>
    <x v="10"/>
    <n v="87"/>
    <x v="4"/>
    <x v="1"/>
  </r>
  <r>
    <x v="0"/>
    <x v="17"/>
    <x v="10"/>
    <n v="238"/>
    <x v="5"/>
    <x v="0"/>
  </r>
  <r>
    <x v="0"/>
    <x v="18"/>
    <x v="10"/>
    <n v="1800"/>
    <x v="0"/>
    <x v="0"/>
  </r>
  <r>
    <x v="0"/>
    <x v="19"/>
    <x v="10"/>
    <n v="0"/>
    <x v="5"/>
    <x v="0"/>
  </r>
  <r>
    <x v="0"/>
    <x v="20"/>
    <x v="10"/>
    <n v="14223"/>
    <x v="2"/>
    <x v="0"/>
  </r>
  <r>
    <x v="0"/>
    <x v="21"/>
    <x v="10"/>
    <n v="0"/>
    <x v="2"/>
    <x v="0"/>
  </r>
  <r>
    <x v="0"/>
    <x v="22"/>
    <x v="10"/>
    <n v="0"/>
    <x v="6"/>
    <x v="0"/>
  </r>
  <r>
    <x v="1"/>
    <x v="23"/>
    <x v="10"/>
    <n v="0"/>
    <x v="1"/>
    <x v="0"/>
  </r>
  <r>
    <x v="1"/>
    <x v="0"/>
    <x v="10"/>
    <n v="1096"/>
    <x v="0"/>
    <x v="0"/>
  </r>
  <r>
    <x v="1"/>
    <x v="1"/>
    <x v="10"/>
    <n v="0"/>
    <x v="1"/>
    <x v="0"/>
  </r>
  <r>
    <x v="1"/>
    <x v="2"/>
    <x v="10"/>
    <n v="85850"/>
    <x v="0"/>
    <x v="1"/>
  </r>
  <r>
    <x v="1"/>
    <x v="3"/>
    <x v="10"/>
    <n v="0"/>
    <x v="0"/>
    <x v="1"/>
  </r>
  <r>
    <x v="1"/>
    <x v="4"/>
    <x v="10"/>
    <n v="534"/>
    <x v="0"/>
    <x v="1"/>
  </r>
  <r>
    <x v="1"/>
    <x v="5"/>
    <x v="10"/>
    <n v="0"/>
    <x v="2"/>
    <x v="0"/>
  </r>
  <r>
    <x v="1"/>
    <x v="6"/>
    <x v="10"/>
    <n v="0"/>
    <x v="2"/>
    <x v="0"/>
  </r>
  <r>
    <x v="1"/>
    <x v="7"/>
    <x v="10"/>
    <n v="0"/>
    <x v="2"/>
    <x v="0"/>
  </r>
  <r>
    <x v="1"/>
    <x v="8"/>
    <x v="10"/>
    <n v="0"/>
    <x v="2"/>
    <x v="0"/>
  </r>
  <r>
    <x v="1"/>
    <x v="9"/>
    <x v="10"/>
    <n v="0"/>
    <x v="3"/>
    <x v="0"/>
  </r>
  <r>
    <x v="1"/>
    <x v="10"/>
    <x v="10"/>
    <n v="0"/>
    <x v="3"/>
    <x v="0"/>
  </r>
  <r>
    <x v="1"/>
    <x v="11"/>
    <x v="10"/>
    <n v="5393"/>
    <x v="3"/>
    <x v="0"/>
  </r>
  <r>
    <x v="1"/>
    <x v="12"/>
    <x v="10"/>
    <n v="10"/>
    <x v="3"/>
    <x v="0"/>
  </r>
  <r>
    <x v="1"/>
    <x v="13"/>
    <x v="10"/>
    <n v="0"/>
    <x v="1"/>
    <x v="0"/>
  </r>
  <r>
    <x v="1"/>
    <x v="14"/>
    <x v="10"/>
    <n v="0"/>
    <x v="1"/>
    <x v="0"/>
  </r>
  <r>
    <x v="1"/>
    <x v="15"/>
    <x v="10"/>
    <n v="148748"/>
    <x v="4"/>
    <x v="1"/>
  </r>
  <r>
    <x v="1"/>
    <x v="16"/>
    <x v="10"/>
    <n v="2359"/>
    <x v="4"/>
    <x v="1"/>
  </r>
  <r>
    <x v="1"/>
    <x v="17"/>
    <x v="10"/>
    <n v="0"/>
    <x v="5"/>
    <x v="0"/>
  </r>
  <r>
    <x v="1"/>
    <x v="18"/>
    <x v="10"/>
    <n v="0"/>
    <x v="0"/>
    <x v="0"/>
  </r>
  <r>
    <x v="1"/>
    <x v="19"/>
    <x v="10"/>
    <n v="0"/>
    <x v="5"/>
    <x v="0"/>
  </r>
  <r>
    <x v="1"/>
    <x v="22"/>
    <x v="10"/>
    <n v="0"/>
    <x v="6"/>
    <x v="0"/>
  </r>
  <r>
    <x v="2"/>
    <x v="23"/>
    <x v="10"/>
    <n v="368794"/>
    <x v="1"/>
    <x v="0"/>
  </r>
  <r>
    <x v="2"/>
    <x v="0"/>
    <x v="10"/>
    <n v="14939801"/>
    <x v="0"/>
    <x v="0"/>
  </r>
  <r>
    <x v="2"/>
    <x v="1"/>
    <x v="10"/>
    <n v="105494"/>
    <x v="1"/>
    <x v="0"/>
  </r>
  <r>
    <x v="2"/>
    <x v="2"/>
    <x v="10"/>
    <n v="208472910"/>
    <x v="0"/>
    <x v="1"/>
  </r>
  <r>
    <x v="2"/>
    <x v="3"/>
    <x v="10"/>
    <n v="0"/>
    <x v="0"/>
    <x v="1"/>
  </r>
  <r>
    <x v="2"/>
    <x v="4"/>
    <x v="10"/>
    <n v="-3865648"/>
    <x v="0"/>
    <x v="1"/>
  </r>
  <r>
    <x v="2"/>
    <x v="5"/>
    <x v="10"/>
    <n v="0"/>
    <x v="2"/>
    <x v="0"/>
  </r>
  <r>
    <x v="2"/>
    <x v="6"/>
    <x v="10"/>
    <n v="440204"/>
    <x v="2"/>
    <x v="0"/>
  </r>
  <r>
    <x v="2"/>
    <x v="7"/>
    <x v="10"/>
    <n v="0"/>
    <x v="2"/>
    <x v="0"/>
  </r>
  <r>
    <x v="2"/>
    <x v="8"/>
    <x v="10"/>
    <n v="34852"/>
    <x v="2"/>
    <x v="0"/>
  </r>
  <r>
    <x v="2"/>
    <x v="9"/>
    <x v="10"/>
    <n v="9273634"/>
    <x v="3"/>
    <x v="0"/>
  </r>
  <r>
    <x v="2"/>
    <x v="10"/>
    <x v="10"/>
    <n v="0"/>
    <x v="3"/>
    <x v="0"/>
  </r>
  <r>
    <x v="2"/>
    <x v="11"/>
    <x v="10"/>
    <n v="29679739"/>
    <x v="3"/>
    <x v="0"/>
  </r>
  <r>
    <x v="2"/>
    <x v="12"/>
    <x v="10"/>
    <n v="5968474"/>
    <x v="3"/>
    <x v="0"/>
  </r>
  <r>
    <x v="2"/>
    <x v="13"/>
    <x v="10"/>
    <n v="321762"/>
    <x v="1"/>
    <x v="0"/>
  </r>
  <r>
    <x v="2"/>
    <x v="14"/>
    <x v="10"/>
    <n v="0"/>
    <x v="1"/>
    <x v="0"/>
  </r>
  <r>
    <x v="2"/>
    <x v="15"/>
    <x v="10"/>
    <n v="389448668"/>
    <x v="4"/>
    <x v="1"/>
  </r>
  <r>
    <x v="2"/>
    <x v="16"/>
    <x v="10"/>
    <n v="19554903"/>
    <x v="4"/>
    <x v="1"/>
  </r>
  <r>
    <x v="2"/>
    <x v="17"/>
    <x v="10"/>
    <n v="162962"/>
    <x v="5"/>
    <x v="0"/>
  </r>
  <r>
    <x v="2"/>
    <x v="18"/>
    <x v="10"/>
    <n v="226799"/>
    <x v="0"/>
    <x v="0"/>
  </r>
  <r>
    <x v="2"/>
    <x v="19"/>
    <x v="10"/>
    <n v="0"/>
    <x v="5"/>
    <x v="0"/>
  </r>
  <r>
    <x v="2"/>
    <x v="22"/>
    <x v="10"/>
    <n v="0"/>
    <x v="6"/>
    <x v="0"/>
  </r>
  <r>
    <x v="3"/>
    <x v="24"/>
    <x v="10"/>
    <n v="60.81"/>
    <x v="3"/>
    <x v="2"/>
  </r>
  <r>
    <x v="3"/>
    <x v="0"/>
    <x v="10"/>
    <n v="45.34"/>
    <x v="7"/>
    <x v="3"/>
  </r>
  <r>
    <x v="3"/>
    <x v="18"/>
    <x v="10"/>
    <n v="37.42"/>
    <x v="8"/>
    <x v="4"/>
  </r>
  <r>
    <x v="0"/>
    <x v="23"/>
    <x v="11"/>
    <n v="1801"/>
    <x v="1"/>
    <x v="0"/>
  </r>
  <r>
    <x v="0"/>
    <x v="0"/>
    <x v="11"/>
    <n v="91173"/>
    <x v="0"/>
    <x v="0"/>
  </r>
  <r>
    <x v="0"/>
    <x v="1"/>
    <x v="11"/>
    <n v="314"/>
    <x v="1"/>
    <x v="0"/>
  </r>
  <r>
    <x v="0"/>
    <x v="2"/>
    <x v="11"/>
    <n v="1089"/>
    <x v="0"/>
    <x v="1"/>
  </r>
  <r>
    <x v="0"/>
    <x v="3"/>
    <x v="11"/>
    <n v="0"/>
    <x v="0"/>
    <x v="1"/>
  </r>
  <r>
    <x v="0"/>
    <x v="4"/>
    <x v="11"/>
    <n v="1046"/>
    <x v="0"/>
    <x v="1"/>
  </r>
  <r>
    <x v="0"/>
    <x v="5"/>
    <x v="11"/>
    <n v="0"/>
    <x v="2"/>
    <x v="0"/>
  </r>
  <r>
    <x v="0"/>
    <x v="6"/>
    <x v="11"/>
    <n v="4313"/>
    <x v="2"/>
    <x v="0"/>
  </r>
  <r>
    <x v="0"/>
    <x v="7"/>
    <x v="11"/>
    <n v="0"/>
    <x v="2"/>
    <x v="0"/>
  </r>
  <r>
    <x v="0"/>
    <x v="8"/>
    <x v="11"/>
    <n v="1214"/>
    <x v="2"/>
    <x v="0"/>
  </r>
  <r>
    <x v="0"/>
    <x v="9"/>
    <x v="11"/>
    <n v="35201"/>
    <x v="3"/>
    <x v="0"/>
  </r>
  <r>
    <x v="0"/>
    <x v="10"/>
    <x v="11"/>
    <n v="0"/>
    <x v="3"/>
    <x v="0"/>
  </r>
  <r>
    <x v="0"/>
    <x v="11"/>
    <x v="11"/>
    <n v="95805"/>
    <x v="3"/>
    <x v="0"/>
  </r>
  <r>
    <x v="0"/>
    <x v="12"/>
    <x v="11"/>
    <n v="6624"/>
    <x v="3"/>
    <x v="0"/>
  </r>
  <r>
    <x v="0"/>
    <x v="13"/>
    <x v="11"/>
    <n v="387"/>
    <x v="1"/>
    <x v="0"/>
  </r>
  <r>
    <x v="0"/>
    <x v="14"/>
    <x v="11"/>
    <n v="43"/>
    <x v="1"/>
    <x v="0"/>
  </r>
  <r>
    <x v="0"/>
    <x v="15"/>
    <x v="11"/>
    <n v="1794"/>
    <x v="4"/>
    <x v="1"/>
  </r>
  <r>
    <x v="0"/>
    <x v="16"/>
    <x v="11"/>
    <n v="201"/>
    <x v="4"/>
    <x v="1"/>
  </r>
  <r>
    <x v="0"/>
    <x v="17"/>
    <x v="11"/>
    <n v="535"/>
    <x v="5"/>
    <x v="0"/>
  </r>
  <r>
    <x v="0"/>
    <x v="18"/>
    <x v="11"/>
    <n v="4035"/>
    <x v="0"/>
    <x v="0"/>
  </r>
  <r>
    <x v="0"/>
    <x v="19"/>
    <x v="11"/>
    <n v="0"/>
    <x v="5"/>
    <x v="0"/>
  </r>
  <r>
    <x v="0"/>
    <x v="20"/>
    <x v="11"/>
    <n v="14223"/>
    <x v="2"/>
    <x v="0"/>
  </r>
  <r>
    <x v="0"/>
    <x v="21"/>
    <x v="11"/>
    <n v="0"/>
    <x v="2"/>
    <x v="0"/>
  </r>
  <r>
    <x v="0"/>
    <x v="22"/>
    <x v="11"/>
    <n v="0"/>
    <x v="6"/>
    <x v="0"/>
  </r>
  <r>
    <x v="1"/>
    <x v="23"/>
    <x v="11"/>
    <n v="0"/>
    <x v="1"/>
    <x v="0"/>
  </r>
  <r>
    <x v="1"/>
    <x v="0"/>
    <x v="11"/>
    <n v="593"/>
    <x v="0"/>
    <x v="0"/>
  </r>
  <r>
    <x v="1"/>
    <x v="1"/>
    <x v="11"/>
    <n v="0"/>
    <x v="1"/>
    <x v="0"/>
  </r>
  <r>
    <x v="1"/>
    <x v="2"/>
    <x v="11"/>
    <n v="71455"/>
    <x v="0"/>
    <x v="1"/>
  </r>
  <r>
    <x v="1"/>
    <x v="3"/>
    <x v="11"/>
    <n v="0"/>
    <x v="0"/>
    <x v="1"/>
  </r>
  <r>
    <x v="1"/>
    <x v="4"/>
    <x v="11"/>
    <n v="488"/>
    <x v="0"/>
    <x v="1"/>
  </r>
  <r>
    <x v="1"/>
    <x v="5"/>
    <x v="11"/>
    <n v="0"/>
    <x v="2"/>
    <x v="0"/>
  </r>
  <r>
    <x v="1"/>
    <x v="6"/>
    <x v="11"/>
    <n v="0"/>
    <x v="2"/>
    <x v="0"/>
  </r>
  <r>
    <x v="1"/>
    <x v="7"/>
    <x v="11"/>
    <n v="0"/>
    <x v="2"/>
    <x v="0"/>
  </r>
  <r>
    <x v="1"/>
    <x v="8"/>
    <x v="11"/>
    <n v="0"/>
    <x v="2"/>
    <x v="0"/>
  </r>
  <r>
    <x v="1"/>
    <x v="9"/>
    <x v="11"/>
    <n v="3765"/>
    <x v="3"/>
    <x v="0"/>
  </r>
  <r>
    <x v="1"/>
    <x v="10"/>
    <x v="11"/>
    <n v="0"/>
    <x v="3"/>
    <x v="0"/>
  </r>
  <r>
    <x v="1"/>
    <x v="11"/>
    <x v="11"/>
    <n v="3490"/>
    <x v="3"/>
    <x v="0"/>
  </r>
  <r>
    <x v="1"/>
    <x v="12"/>
    <x v="11"/>
    <n v="206"/>
    <x v="3"/>
    <x v="0"/>
  </r>
  <r>
    <x v="1"/>
    <x v="13"/>
    <x v="11"/>
    <n v="0"/>
    <x v="1"/>
    <x v="0"/>
  </r>
  <r>
    <x v="1"/>
    <x v="14"/>
    <x v="11"/>
    <n v="0"/>
    <x v="1"/>
    <x v="0"/>
  </r>
  <r>
    <x v="1"/>
    <x v="15"/>
    <x v="11"/>
    <n v="141307"/>
    <x v="4"/>
    <x v="1"/>
  </r>
  <r>
    <x v="1"/>
    <x v="16"/>
    <x v="11"/>
    <n v="1816"/>
    <x v="4"/>
    <x v="1"/>
  </r>
  <r>
    <x v="1"/>
    <x v="17"/>
    <x v="11"/>
    <n v="0"/>
    <x v="5"/>
    <x v="0"/>
  </r>
  <r>
    <x v="1"/>
    <x v="18"/>
    <x v="11"/>
    <n v="0"/>
    <x v="0"/>
    <x v="0"/>
  </r>
  <r>
    <x v="1"/>
    <x v="19"/>
    <x v="11"/>
    <n v="0"/>
    <x v="5"/>
    <x v="0"/>
  </r>
  <r>
    <x v="1"/>
    <x v="22"/>
    <x v="11"/>
    <n v="0"/>
    <x v="6"/>
    <x v="0"/>
  </r>
  <r>
    <x v="2"/>
    <x v="23"/>
    <x v="11"/>
    <n v="457503"/>
    <x v="1"/>
    <x v="0"/>
  </r>
  <r>
    <x v="2"/>
    <x v="0"/>
    <x v="11"/>
    <n v="13234476"/>
    <x v="0"/>
    <x v="0"/>
  </r>
  <r>
    <x v="2"/>
    <x v="1"/>
    <x v="11"/>
    <n v="81027"/>
    <x v="1"/>
    <x v="0"/>
  </r>
  <r>
    <x v="2"/>
    <x v="2"/>
    <x v="11"/>
    <n v="172121556"/>
    <x v="0"/>
    <x v="1"/>
  </r>
  <r>
    <x v="2"/>
    <x v="3"/>
    <x v="11"/>
    <n v="0"/>
    <x v="0"/>
    <x v="1"/>
  </r>
  <r>
    <x v="2"/>
    <x v="4"/>
    <x v="11"/>
    <n v="-4155248"/>
    <x v="0"/>
    <x v="1"/>
  </r>
  <r>
    <x v="2"/>
    <x v="5"/>
    <x v="11"/>
    <n v="0"/>
    <x v="2"/>
    <x v="0"/>
  </r>
  <r>
    <x v="2"/>
    <x v="6"/>
    <x v="11"/>
    <n v="433671"/>
    <x v="2"/>
    <x v="0"/>
  </r>
  <r>
    <x v="2"/>
    <x v="7"/>
    <x v="11"/>
    <n v="0"/>
    <x v="2"/>
    <x v="0"/>
  </r>
  <r>
    <x v="2"/>
    <x v="8"/>
    <x v="11"/>
    <n v="43869"/>
    <x v="2"/>
    <x v="0"/>
  </r>
  <r>
    <x v="2"/>
    <x v="9"/>
    <x v="11"/>
    <n v="8795011"/>
    <x v="3"/>
    <x v="0"/>
  </r>
  <r>
    <x v="2"/>
    <x v="10"/>
    <x v="11"/>
    <n v="0"/>
    <x v="3"/>
    <x v="0"/>
  </r>
  <r>
    <x v="2"/>
    <x v="11"/>
    <x v="11"/>
    <n v="30617772"/>
    <x v="3"/>
    <x v="0"/>
  </r>
  <r>
    <x v="2"/>
    <x v="12"/>
    <x v="11"/>
    <n v="2689426"/>
    <x v="3"/>
    <x v="0"/>
  </r>
  <r>
    <x v="2"/>
    <x v="13"/>
    <x v="11"/>
    <n v="242110"/>
    <x v="1"/>
    <x v="0"/>
  </r>
  <r>
    <x v="2"/>
    <x v="14"/>
    <x v="11"/>
    <n v="76765"/>
    <x v="1"/>
    <x v="0"/>
  </r>
  <r>
    <x v="2"/>
    <x v="15"/>
    <x v="11"/>
    <n v="366263564"/>
    <x v="4"/>
    <x v="1"/>
  </r>
  <r>
    <x v="2"/>
    <x v="16"/>
    <x v="11"/>
    <n v="13918141"/>
    <x v="4"/>
    <x v="1"/>
  </r>
  <r>
    <x v="2"/>
    <x v="17"/>
    <x v="11"/>
    <n v="286715"/>
    <x v="5"/>
    <x v="0"/>
  </r>
  <r>
    <x v="2"/>
    <x v="18"/>
    <x v="11"/>
    <n v="488983"/>
    <x v="0"/>
    <x v="0"/>
  </r>
  <r>
    <x v="2"/>
    <x v="19"/>
    <x v="11"/>
    <n v="0"/>
    <x v="5"/>
    <x v="0"/>
  </r>
  <r>
    <x v="2"/>
    <x v="22"/>
    <x v="11"/>
    <n v="0"/>
    <x v="6"/>
    <x v="0"/>
  </r>
  <r>
    <x v="3"/>
    <x v="24"/>
    <x v="11"/>
    <n v="59.73"/>
    <x v="3"/>
    <x v="2"/>
  </r>
  <r>
    <x v="3"/>
    <x v="0"/>
    <x v="11"/>
    <n v="44.35"/>
    <x v="7"/>
    <x v="3"/>
  </r>
  <r>
    <x v="3"/>
    <x v="18"/>
    <x v="11"/>
    <n v="34.96"/>
    <x v="8"/>
    <x v="4"/>
  </r>
  <r>
    <x v="0"/>
    <x v="23"/>
    <x v="12"/>
    <n v="1629"/>
    <x v="1"/>
    <x v="0"/>
  </r>
  <r>
    <x v="0"/>
    <x v="0"/>
    <x v="12"/>
    <n v="83643"/>
    <x v="0"/>
    <x v="0"/>
  </r>
  <r>
    <x v="0"/>
    <x v="1"/>
    <x v="12"/>
    <n v="276"/>
    <x v="1"/>
    <x v="0"/>
  </r>
  <r>
    <x v="0"/>
    <x v="2"/>
    <x v="12"/>
    <n v="2324"/>
    <x v="0"/>
    <x v="1"/>
  </r>
  <r>
    <x v="0"/>
    <x v="3"/>
    <x v="12"/>
    <n v="0"/>
    <x v="0"/>
    <x v="1"/>
  </r>
  <r>
    <x v="0"/>
    <x v="4"/>
    <x v="12"/>
    <n v="18"/>
    <x v="0"/>
    <x v="1"/>
  </r>
  <r>
    <x v="0"/>
    <x v="5"/>
    <x v="12"/>
    <n v="315"/>
    <x v="2"/>
    <x v="0"/>
  </r>
  <r>
    <x v="0"/>
    <x v="6"/>
    <x v="12"/>
    <n v="4347"/>
    <x v="2"/>
    <x v="0"/>
  </r>
  <r>
    <x v="0"/>
    <x v="7"/>
    <x v="12"/>
    <n v="0"/>
    <x v="2"/>
    <x v="0"/>
  </r>
  <r>
    <x v="0"/>
    <x v="8"/>
    <x v="12"/>
    <n v="1187"/>
    <x v="2"/>
    <x v="0"/>
  </r>
  <r>
    <x v="0"/>
    <x v="9"/>
    <x v="12"/>
    <n v="27189"/>
    <x v="3"/>
    <x v="0"/>
  </r>
  <r>
    <x v="0"/>
    <x v="10"/>
    <x v="12"/>
    <n v="0"/>
    <x v="3"/>
    <x v="0"/>
  </r>
  <r>
    <x v="0"/>
    <x v="11"/>
    <x v="12"/>
    <n v="79909"/>
    <x v="3"/>
    <x v="0"/>
  </r>
  <r>
    <x v="0"/>
    <x v="12"/>
    <x v="12"/>
    <n v="6067"/>
    <x v="3"/>
    <x v="0"/>
  </r>
  <r>
    <x v="0"/>
    <x v="13"/>
    <x v="12"/>
    <n v="383"/>
    <x v="1"/>
    <x v="0"/>
  </r>
  <r>
    <x v="0"/>
    <x v="14"/>
    <x v="12"/>
    <n v="10"/>
    <x v="1"/>
    <x v="0"/>
  </r>
  <r>
    <x v="0"/>
    <x v="15"/>
    <x v="12"/>
    <n v="1564"/>
    <x v="4"/>
    <x v="1"/>
  </r>
  <r>
    <x v="0"/>
    <x v="16"/>
    <x v="12"/>
    <n v="0"/>
    <x v="4"/>
    <x v="1"/>
  </r>
  <r>
    <x v="0"/>
    <x v="17"/>
    <x v="12"/>
    <n v="1219"/>
    <x v="5"/>
    <x v="0"/>
  </r>
  <r>
    <x v="0"/>
    <x v="18"/>
    <x v="12"/>
    <n v="907"/>
    <x v="0"/>
    <x v="0"/>
  </r>
  <r>
    <x v="0"/>
    <x v="19"/>
    <x v="12"/>
    <n v="0"/>
    <x v="5"/>
    <x v="0"/>
  </r>
  <r>
    <x v="0"/>
    <x v="20"/>
    <x v="12"/>
    <n v="18317"/>
    <x v="2"/>
    <x v="0"/>
  </r>
  <r>
    <x v="0"/>
    <x v="21"/>
    <x v="12"/>
    <n v="0"/>
    <x v="2"/>
    <x v="0"/>
  </r>
  <r>
    <x v="0"/>
    <x v="22"/>
    <x v="12"/>
    <n v="0"/>
    <x v="6"/>
    <x v="0"/>
  </r>
  <r>
    <x v="1"/>
    <x v="23"/>
    <x v="12"/>
    <n v="0"/>
    <x v="1"/>
    <x v="0"/>
  </r>
  <r>
    <x v="1"/>
    <x v="0"/>
    <x v="12"/>
    <n v="1869"/>
    <x v="0"/>
    <x v="0"/>
  </r>
  <r>
    <x v="1"/>
    <x v="1"/>
    <x v="12"/>
    <n v="0"/>
    <x v="1"/>
    <x v="0"/>
  </r>
  <r>
    <x v="1"/>
    <x v="2"/>
    <x v="12"/>
    <n v="83000"/>
    <x v="0"/>
    <x v="1"/>
  </r>
  <r>
    <x v="1"/>
    <x v="3"/>
    <x v="12"/>
    <n v="3"/>
    <x v="0"/>
    <x v="1"/>
  </r>
  <r>
    <x v="1"/>
    <x v="4"/>
    <x v="12"/>
    <n v="1056"/>
    <x v="0"/>
    <x v="1"/>
  </r>
  <r>
    <x v="1"/>
    <x v="5"/>
    <x v="12"/>
    <n v="0"/>
    <x v="2"/>
    <x v="0"/>
  </r>
  <r>
    <x v="1"/>
    <x v="6"/>
    <x v="12"/>
    <n v="0"/>
    <x v="2"/>
    <x v="0"/>
  </r>
  <r>
    <x v="1"/>
    <x v="7"/>
    <x v="12"/>
    <n v="0"/>
    <x v="2"/>
    <x v="0"/>
  </r>
  <r>
    <x v="1"/>
    <x v="8"/>
    <x v="12"/>
    <n v="0"/>
    <x v="2"/>
    <x v="0"/>
  </r>
  <r>
    <x v="1"/>
    <x v="9"/>
    <x v="12"/>
    <n v="0"/>
    <x v="3"/>
    <x v="0"/>
  </r>
  <r>
    <x v="1"/>
    <x v="10"/>
    <x v="12"/>
    <n v="0"/>
    <x v="3"/>
    <x v="0"/>
  </r>
  <r>
    <x v="1"/>
    <x v="11"/>
    <x v="12"/>
    <n v="4010"/>
    <x v="3"/>
    <x v="0"/>
  </r>
  <r>
    <x v="1"/>
    <x v="12"/>
    <x v="12"/>
    <n v="282"/>
    <x v="3"/>
    <x v="0"/>
  </r>
  <r>
    <x v="1"/>
    <x v="13"/>
    <x v="12"/>
    <n v="0"/>
    <x v="1"/>
    <x v="0"/>
  </r>
  <r>
    <x v="1"/>
    <x v="14"/>
    <x v="12"/>
    <n v="0"/>
    <x v="1"/>
    <x v="0"/>
  </r>
  <r>
    <x v="1"/>
    <x v="15"/>
    <x v="12"/>
    <n v="155569"/>
    <x v="4"/>
    <x v="1"/>
  </r>
  <r>
    <x v="1"/>
    <x v="16"/>
    <x v="12"/>
    <n v="3929"/>
    <x v="4"/>
    <x v="1"/>
  </r>
  <r>
    <x v="1"/>
    <x v="17"/>
    <x v="12"/>
    <n v="0"/>
    <x v="5"/>
    <x v="0"/>
  </r>
  <r>
    <x v="1"/>
    <x v="18"/>
    <x v="12"/>
    <n v="0"/>
    <x v="0"/>
    <x v="0"/>
  </r>
  <r>
    <x v="1"/>
    <x v="19"/>
    <x v="12"/>
    <n v="0"/>
    <x v="5"/>
    <x v="0"/>
  </r>
  <r>
    <x v="1"/>
    <x v="22"/>
    <x v="12"/>
    <n v="0"/>
    <x v="6"/>
    <x v="0"/>
  </r>
  <r>
    <x v="2"/>
    <x v="23"/>
    <x v="12"/>
    <n v="429380"/>
    <x v="1"/>
    <x v="0"/>
  </r>
  <r>
    <x v="2"/>
    <x v="0"/>
    <x v="12"/>
    <n v="11226878"/>
    <x v="0"/>
    <x v="0"/>
  </r>
  <r>
    <x v="2"/>
    <x v="1"/>
    <x v="12"/>
    <n v="74326"/>
    <x v="1"/>
    <x v="0"/>
  </r>
  <r>
    <x v="2"/>
    <x v="2"/>
    <x v="12"/>
    <n v="173067446"/>
    <x v="0"/>
    <x v="1"/>
  </r>
  <r>
    <x v="2"/>
    <x v="3"/>
    <x v="12"/>
    <n v="-1915"/>
    <x v="0"/>
    <x v="1"/>
  </r>
  <r>
    <x v="2"/>
    <x v="4"/>
    <x v="12"/>
    <n v="1815092"/>
    <x v="0"/>
    <x v="1"/>
  </r>
  <r>
    <x v="2"/>
    <x v="5"/>
    <x v="12"/>
    <n v="37585"/>
    <x v="2"/>
    <x v="0"/>
  </r>
  <r>
    <x v="2"/>
    <x v="6"/>
    <x v="12"/>
    <n v="440040"/>
    <x v="2"/>
    <x v="0"/>
  </r>
  <r>
    <x v="2"/>
    <x v="7"/>
    <x v="12"/>
    <n v="0"/>
    <x v="2"/>
    <x v="0"/>
  </r>
  <r>
    <x v="2"/>
    <x v="8"/>
    <x v="12"/>
    <n v="43384"/>
    <x v="2"/>
    <x v="0"/>
  </r>
  <r>
    <x v="2"/>
    <x v="9"/>
    <x v="12"/>
    <n v="7797055"/>
    <x v="3"/>
    <x v="0"/>
  </r>
  <r>
    <x v="2"/>
    <x v="10"/>
    <x v="12"/>
    <n v="0"/>
    <x v="3"/>
    <x v="0"/>
  </r>
  <r>
    <x v="2"/>
    <x v="11"/>
    <x v="12"/>
    <n v="26435068"/>
    <x v="3"/>
    <x v="0"/>
  </r>
  <r>
    <x v="2"/>
    <x v="12"/>
    <x v="12"/>
    <n v="2402287"/>
    <x v="3"/>
    <x v="0"/>
  </r>
  <r>
    <x v="2"/>
    <x v="13"/>
    <x v="12"/>
    <n v="263261"/>
    <x v="1"/>
    <x v="0"/>
  </r>
  <r>
    <x v="2"/>
    <x v="14"/>
    <x v="12"/>
    <n v="27631"/>
    <x v="1"/>
    <x v="0"/>
  </r>
  <r>
    <x v="2"/>
    <x v="15"/>
    <x v="12"/>
    <n v="354689704"/>
    <x v="4"/>
    <x v="1"/>
  </r>
  <r>
    <x v="2"/>
    <x v="16"/>
    <x v="12"/>
    <n v="19781062"/>
    <x v="4"/>
    <x v="1"/>
  </r>
  <r>
    <x v="2"/>
    <x v="17"/>
    <x v="12"/>
    <n v="495110"/>
    <x v="5"/>
    <x v="0"/>
  </r>
  <r>
    <x v="2"/>
    <x v="18"/>
    <x v="12"/>
    <n v="161527"/>
    <x v="0"/>
    <x v="0"/>
  </r>
  <r>
    <x v="2"/>
    <x v="19"/>
    <x v="12"/>
    <n v="0"/>
    <x v="5"/>
    <x v="0"/>
  </r>
  <r>
    <x v="2"/>
    <x v="22"/>
    <x v="12"/>
    <n v="0"/>
    <x v="6"/>
    <x v="0"/>
  </r>
  <r>
    <x v="3"/>
    <x v="24"/>
    <x v="12"/>
    <n v="60.13"/>
    <x v="3"/>
    <x v="2"/>
  </r>
  <r>
    <x v="3"/>
    <x v="0"/>
    <x v="12"/>
    <n v="39.51"/>
    <x v="7"/>
    <x v="3"/>
  </r>
  <r>
    <x v="3"/>
    <x v="18"/>
    <x v="12"/>
    <n v="53.91"/>
    <x v="8"/>
    <x v="4"/>
  </r>
  <r>
    <x v="0"/>
    <x v="23"/>
    <x v="13"/>
    <n v="1786"/>
    <x v="1"/>
    <x v="0"/>
  </r>
  <r>
    <x v="0"/>
    <x v="0"/>
    <x v="13"/>
    <n v="121921"/>
    <x v="0"/>
    <x v="0"/>
  </r>
  <r>
    <x v="0"/>
    <x v="1"/>
    <x v="13"/>
    <n v="311"/>
    <x v="1"/>
    <x v="0"/>
  </r>
  <r>
    <x v="0"/>
    <x v="2"/>
    <x v="13"/>
    <n v="1374"/>
    <x v="0"/>
    <x v="1"/>
  </r>
  <r>
    <x v="0"/>
    <x v="3"/>
    <x v="13"/>
    <n v="0"/>
    <x v="0"/>
    <x v="1"/>
  </r>
  <r>
    <x v="0"/>
    <x v="4"/>
    <x v="13"/>
    <n v="219"/>
    <x v="0"/>
    <x v="1"/>
  </r>
  <r>
    <x v="0"/>
    <x v="5"/>
    <x v="13"/>
    <n v="577"/>
    <x v="2"/>
    <x v="0"/>
  </r>
  <r>
    <x v="0"/>
    <x v="6"/>
    <x v="13"/>
    <n v="4179"/>
    <x v="2"/>
    <x v="0"/>
  </r>
  <r>
    <x v="0"/>
    <x v="7"/>
    <x v="13"/>
    <n v="0"/>
    <x v="2"/>
    <x v="0"/>
  </r>
  <r>
    <x v="0"/>
    <x v="8"/>
    <x v="13"/>
    <n v="1500"/>
    <x v="2"/>
    <x v="0"/>
  </r>
  <r>
    <x v="0"/>
    <x v="9"/>
    <x v="13"/>
    <n v="34844"/>
    <x v="3"/>
    <x v="0"/>
  </r>
  <r>
    <x v="0"/>
    <x v="10"/>
    <x v="13"/>
    <n v="469"/>
    <x v="3"/>
    <x v="0"/>
  </r>
  <r>
    <x v="0"/>
    <x v="11"/>
    <x v="13"/>
    <n v="88120"/>
    <x v="3"/>
    <x v="0"/>
  </r>
  <r>
    <x v="0"/>
    <x v="12"/>
    <x v="13"/>
    <n v="13083"/>
    <x v="3"/>
    <x v="0"/>
  </r>
  <r>
    <x v="0"/>
    <x v="13"/>
    <x v="13"/>
    <n v="399"/>
    <x v="1"/>
    <x v="0"/>
  </r>
  <r>
    <x v="0"/>
    <x v="14"/>
    <x v="13"/>
    <n v="0"/>
    <x v="1"/>
    <x v="0"/>
  </r>
  <r>
    <x v="0"/>
    <x v="15"/>
    <x v="13"/>
    <n v="2099"/>
    <x v="4"/>
    <x v="1"/>
  </r>
  <r>
    <x v="0"/>
    <x v="16"/>
    <x v="13"/>
    <n v="0"/>
    <x v="4"/>
    <x v="1"/>
  </r>
  <r>
    <x v="0"/>
    <x v="17"/>
    <x v="13"/>
    <n v="1385"/>
    <x v="5"/>
    <x v="0"/>
  </r>
  <r>
    <x v="0"/>
    <x v="18"/>
    <x v="13"/>
    <n v="3104"/>
    <x v="0"/>
    <x v="0"/>
  </r>
  <r>
    <x v="0"/>
    <x v="19"/>
    <x v="13"/>
    <n v="0"/>
    <x v="5"/>
    <x v="0"/>
  </r>
  <r>
    <x v="0"/>
    <x v="20"/>
    <x v="13"/>
    <n v="18317"/>
    <x v="2"/>
    <x v="0"/>
  </r>
  <r>
    <x v="0"/>
    <x v="21"/>
    <x v="13"/>
    <n v="0"/>
    <x v="2"/>
    <x v="0"/>
  </r>
  <r>
    <x v="0"/>
    <x v="22"/>
    <x v="13"/>
    <n v="0"/>
    <x v="6"/>
    <x v="0"/>
  </r>
  <r>
    <x v="1"/>
    <x v="23"/>
    <x v="13"/>
    <n v="0"/>
    <x v="1"/>
    <x v="0"/>
  </r>
  <r>
    <x v="1"/>
    <x v="0"/>
    <x v="13"/>
    <n v="1406"/>
    <x v="0"/>
    <x v="0"/>
  </r>
  <r>
    <x v="1"/>
    <x v="1"/>
    <x v="13"/>
    <n v="0"/>
    <x v="1"/>
    <x v="0"/>
  </r>
  <r>
    <x v="1"/>
    <x v="2"/>
    <x v="13"/>
    <n v="79497"/>
    <x v="0"/>
    <x v="1"/>
  </r>
  <r>
    <x v="1"/>
    <x v="3"/>
    <x v="13"/>
    <n v="11"/>
    <x v="0"/>
    <x v="1"/>
  </r>
  <r>
    <x v="1"/>
    <x v="4"/>
    <x v="13"/>
    <n v="1593"/>
    <x v="0"/>
    <x v="1"/>
  </r>
  <r>
    <x v="1"/>
    <x v="5"/>
    <x v="13"/>
    <n v="0"/>
    <x v="2"/>
    <x v="0"/>
  </r>
  <r>
    <x v="1"/>
    <x v="6"/>
    <x v="13"/>
    <n v="0"/>
    <x v="2"/>
    <x v="0"/>
  </r>
  <r>
    <x v="1"/>
    <x v="7"/>
    <x v="13"/>
    <n v="0"/>
    <x v="2"/>
    <x v="0"/>
  </r>
  <r>
    <x v="1"/>
    <x v="8"/>
    <x v="13"/>
    <n v="0"/>
    <x v="2"/>
    <x v="0"/>
  </r>
  <r>
    <x v="1"/>
    <x v="9"/>
    <x v="13"/>
    <n v="388"/>
    <x v="3"/>
    <x v="0"/>
  </r>
  <r>
    <x v="1"/>
    <x v="10"/>
    <x v="13"/>
    <n v="0"/>
    <x v="3"/>
    <x v="0"/>
  </r>
  <r>
    <x v="1"/>
    <x v="11"/>
    <x v="13"/>
    <n v="8574"/>
    <x v="3"/>
    <x v="0"/>
  </r>
  <r>
    <x v="1"/>
    <x v="12"/>
    <x v="13"/>
    <n v="9"/>
    <x v="3"/>
    <x v="0"/>
  </r>
  <r>
    <x v="1"/>
    <x v="13"/>
    <x v="13"/>
    <n v="0"/>
    <x v="1"/>
    <x v="0"/>
  </r>
  <r>
    <x v="1"/>
    <x v="14"/>
    <x v="13"/>
    <n v="0"/>
    <x v="1"/>
    <x v="0"/>
  </r>
  <r>
    <x v="1"/>
    <x v="15"/>
    <x v="13"/>
    <n v="165206"/>
    <x v="4"/>
    <x v="1"/>
  </r>
  <r>
    <x v="1"/>
    <x v="16"/>
    <x v="13"/>
    <n v="4353"/>
    <x v="4"/>
    <x v="1"/>
  </r>
  <r>
    <x v="1"/>
    <x v="17"/>
    <x v="13"/>
    <n v="0"/>
    <x v="5"/>
    <x v="0"/>
  </r>
  <r>
    <x v="1"/>
    <x v="18"/>
    <x v="13"/>
    <n v="0"/>
    <x v="0"/>
    <x v="0"/>
  </r>
  <r>
    <x v="1"/>
    <x v="19"/>
    <x v="13"/>
    <n v="0"/>
    <x v="5"/>
    <x v="0"/>
  </r>
  <r>
    <x v="1"/>
    <x v="22"/>
    <x v="13"/>
    <n v="0"/>
    <x v="6"/>
    <x v="0"/>
  </r>
  <r>
    <x v="2"/>
    <x v="23"/>
    <x v="13"/>
    <n v="471796"/>
    <x v="1"/>
    <x v="0"/>
  </r>
  <r>
    <x v="2"/>
    <x v="0"/>
    <x v="13"/>
    <n v="16376995"/>
    <x v="0"/>
    <x v="0"/>
  </r>
  <r>
    <x v="2"/>
    <x v="1"/>
    <x v="13"/>
    <n v="83726"/>
    <x v="1"/>
    <x v="0"/>
  </r>
  <r>
    <x v="2"/>
    <x v="2"/>
    <x v="13"/>
    <n v="167000751"/>
    <x v="0"/>
    <x v="1"/>
  </r>
  <r>
    <x v="2"/>
    <x v="3"/>
    <x v="13"/>
    <n v="-6563"/>
    <x v="0"/>
    <x v="1"/>
  </r>
  <r>
    <x v="2"/>
    <x v="4"/>
    <x v="13"/>
    <n v="2970595"/>
    <x v="0"/>
    <x v="1"/>
  </r>
  <r>
    <x v="2"/>
    <x v="5"/>
    <x v="13"/>
    <n v="68849"/>
    <x v="2"/>
    <x v="0"/>
  </r>
  <r>
    <x v="2"/>
    <x v="6"/>
    <x v="13"/>
    <n v="421603"/>
    <x v="2"/>
    <x v="0"/>
  </r>
  <r>
    <x v="2"/>
    <x v="7"/>
    <x v="13"/>
    <n v="0"/>
    <x v="2"/>
    <x v="0"/>
  </r>
  <r>
    <x v="2"/>
    <x v="8"/>
    <x v="13"/>
    <n v="54052"/>
    <x v="2"/>
    <x v="0"/>
  </r>
  <r>
    <x v="2"/>
    <x v="9"/>
    <x v="13"/>
    <n v="9379218"/>
    <x v="3"/>
    <x v="0"/>
  </r>
  <r>
    <x v="2"/>
    <x v="10"/>
    <x v="13"/>
    <n v="298937"/>
    <x v="3"/>
    <x v="0"/>
  </r>
  <r>
    <x v="2"/>
    <x v="11"/>
    <x v="13"/>
    <n v="27263997"/>
    <x v="3"/>
    <x v="0"/>
  </r>
  <r>
    <x v="2"/>
    <x v="12"/>
    <x v="13"/>
    <n v="5458262"/>
    <x v="3"/>
    <x v="0"/>
  </r>
  <r>
    <x v="2"/>
    <x v="13"/>
    <x v="13"/>
    <n v="282897"/>
    <x v="1"/>
    <x v="0"/>
  </r>
  <r>
    <x v="2"/>
    <x v="14"/>
    <x v="13"/>
    <n v="0"/>
    <x v="1"/>
    <x v="0"/>
  </r>
  <r>
    <x v="2"/>
    <x v="15"/>
    <x v="13"/>
    <n v="375127081"/>
    <x v="4"/>
    <x v="1"/>
  </r>
  <r>
    <x v="2"/>
    <x v="16"/>
    <x v="13"/>
    <n v="20857756"/>
    <x v="4"/>
    <x v="1"/>
  </r>
  <r>
    <x v="2"/>
    <x v="17"/>
    <x v="13"/>
    <n v="365157"/>
    <x v="5"/>
    <x v="0"/>
  </r>
  <r>
    <x v="2"/>
    <x v="18"/>
    <x v="13"/>
    <n v="455869"/>
    <x v="0"/>
    <x v="0"/>
  </r>
  <r>
    <x v="2"/>
    <x v="19"/>
    <x v="13"/>
    <n v="0"/>
    <x v="5"/>
    <x v="0"/>
  </r>
  <r>
    <x v="2"/>
    <x v="22"/>
    <x v="13"/>
    <n v="0"/>
    <x v="6"/>
    <x v="0"/>
  </r>
  <r>
    <x v="3"/>
    <x v="24"/>
    <x v="13"/>
    <n v="59.68"/>
    <x v="3"/>
    <x v="2"/>
  </r>
  <r>
    <x v="3"/>
    <x v="0"/>
    <x v="13"/>
    <n v="38.92"/>
    <x v="7"/>
    <x v="3"/>
  </r>
  <r>
    <x v="3"/>
    <x v="18"/>
    <x v="13"/>
    <n v="44.74"/>
    <x v="8"/>
    <x v="4"/>
  </r>
  <r>
    <x v="0"/>
    <x v="23"/>
    <x v="14"/>
    <n v="1863"/>
    <x v="1"/>
    <x v="0"/>
  </r>
  <r>
    <x v="0"/>
    <x v="0"/>
    <x v="14"/>
    <n v="125305"/>
    <x v="0"/>
    <x v="0"/>
  </r>
  <r>
    <x v="0"/>
    <x v="1"/>
    <x v="14"/>
    <n v="226"/>
    <x v="1"/>
    <x v="0"/>
  </r>
  <r>
    <x v="0"/>
    <x v="2"/>
    <x v="14"/>
    <n v="1316"/>
    <x v="0"/>
    <x v="1"/>
  </r>
  <r>
    <x v="0"/>
    <x v="3"/>
    <x v="14"/>
    <n v="0"/>
    <x v="0"/>
    <x v="1"/>
  </r>
  <r>
    <x v="0"/>
    <x v="4"/>
    <x v="14"/>
    <n v="132"/>
    <x v="0"/>
    <x v="1"/>
  </r>
  <r>
    <x v="0"/>
    <x v="5"/>
    <x v="14"/>
    <n v="1571"/>
    <x v="2"/>
    <x v="0"/>
  </r>
  <r>
    <x v="0"/>
    <x v="6"/>
    <x v="14"/>
    <n v="4216"/>
    <x v="2"/>
    <x v="0"/>
  </r>
  <r>
    <x v="0"/>
    <x v="7"/>
    <x v="14"/>
    <n v="0"/>
    <x v="2"/>
    <x v="0"/>
  </r>
  <r>
    <x v="0"/>
    <x v="8"/>
    <x v="14"/>
    <n v="1965"/>
    <x v="2"/>
    <x v="0"/>
  </r>
  <r>
    <x v="0"/>
    <x v="9"/>
    <x v="14"/>
    <n v="51580"/>
    <x v="3"/>
    <x v="0"/>
  </r>
  <r>
    <x v="0"/>
    <x v="10"/>
    <x v="14"/>
    <n v="0"/>
    <x v="3"/>
    <x v="0"/>
  </r>
  <r>
    <x v="0"/>
    <x v="11"/>
    <x v="14"/>
    <n v="104296"/>
    <x v="3"/>
    <x v="0"/>
  </r>
  <r>
    <x v="0"/>
    <x v="12"/>
    <x v="14"/>
    <n v="2282"/>
    <x v="3"/>
    <x v="0"/>
  </r>
  <r>
    <x v="0"/>
    <x v="13"/>
    <x v="14"/>
    <n v="435"/>
    <x v="1"/>
    <x v="0"/>
  </r>
  <r>
    <x v="0"/>
    <x v="14"/>
    <x v="14"/>
    <n v="0"/>
    <x v="1"/>
    <x v="0"/>
  </r>
  <r>
    <x v="0"/>
    <x v="15"/>
    <x v="14"/>
    <n v="2409"/>
    <x v="4"/>
    <x v="1"/>
  </r>
  <r>
    <x v="0"/>
    <x v="16"/>
    <x v="14"/>
    <n v="0"/>
    <x v="4"/>
    <x v="1"/>
  </r>
  <r>
    <x v="0"/>
    <x v="17"/>
    <x v="14"/>
    <n v="375"/>
    <x v="5"/>
    <x v="0"/>
  </r>
  <r>
    <x v="0"/>
    <x v="18"/>
    <x v="14"/>
    <n v="98814"/>
    <x v="0"/>
    <x v="0"/>
  </r>
  <r>
    <x v="0"/>
    <x v="19"/>
    <x v="14"/>
    <n v="1268"/>
    <x v="5"/>
    <x v="0"/>
  </r>
  <r>
    <x v="0"/>
    <x v="20"/>
    <x v="14"/>
    <n v="18318"/>
    <x v="2"/>
    <x v="0"/>
  </r>
  <r>
    <x v="0"/>
    <x v="21"/>
    <x v="14"/>
    <n v="0"/>
    <x v="2"/>
    <x v="0"/>
  </r>
  <r>
    <x v="0"/>
    <x v="22"/>
    <x v="14"/>
    <n v="0"/>
    <x v="6"/>
    <x v="0"/>
  </r>
  <r>
    <x v="1"/>
    <x v="23"/>
    <x v="14"/>
    <n v="0"/>
    <x v="1"/>
    <x v="0"/>
  </r>
  <r>
    <x v="1"/>
    <x v="0"/>
    <x v="14"/>
    <n v="1513"/>
    <x v="0"/>
    <x v="0"/>
  </r>
  <r>
    <x v="1"/>
    <x v="1"/>
    <x v="14"/>
    <n v="0"/>
    <x v="1"/>
    <x v="0"/>
  </r>
  <r>
    <x v="1"/>
    <x v="2"/>
    <x v="14"/>
    <n v="89450"/>
    <x v="0"/>
    <x v="1"/>
  </r>
  <r>
    <x v="1"/>
    <x v="3"/>
    <x v="14"/>
    <n v="13"/>
    <x v="0"/>
    <x v="1"/>
  </r>
  <r>
    <x v="1"/>
    <x v="4"/>
    <x v="14"/>
    <n v="1623"/>
    <x v="0"/>
    <x v="1"/>
  </r>
  <r>
    <x v="1"/>
    <x v="5"/>
    <x v="14"/>
    <n v="0"/>
    <x v="2"/>
    <x v="0"/>
  </r>
  <r>
    <x v="1"/>
    <x v="6"/>
    <x v="14"/>
    <n v="0"/>
    <x v="2"/>
    <x v="0"/>
  </r>
  <r>
    <x v="1"/>
    <x v="7"/>
    <x v="14"/>
    <n v="0"/>
    <x v="2"/>
    <x v="0"/>
  </r>
  <r>
    <x v="1"/>
    <x v="8"/>
    <x v="14"/>
    <n v="0"/>
    <x v="2"/>
    <x v="0"/>
  </r>
  <r>
    <x v="1"/>
    <x v="9"/>
    <x v="14"/>
    <n v="354"/>
    <x v="3"/>
    <x v="0"/>
  </r>
  <r>
    <x v="1"/>
    <x v="10"/>
    <x v="14"/>
    <n v="0"/>
    <x v="3"/>
    <x v="0"/>
  </r>
  <r>
    <x v="1"/>
    <x v="11"/>
    <x v="14"/>
    <n v="11085"/>
    <x v="3"/>
    <x v="0"/>
  </r>
  <r>
    <x v="1"/>
    <x v="12"/>
    <x v="14"/>
    <n v="4"/>
    <x v="3"/>
    <x v="0"/>
  </r>
  <r>
    <x v="1"/>
    <x v="13"/>
    <x v="14"/>
    <n v="0"/>
    <x v="1"/>
    <x v="0"/>
  </r>
  <r>
    <x v="1"/>
    <x v="14"/>
    <x v="14"/>
    <n v="0"/>
    <x v="1"/>
    <x v="0"/>
  </r>
  <r>
    <x v="1"/>
    <x v="15"/>
    <x v="14"/>
    <n v="167815"/>
    <x v="4"/>
    <x v="1"/>
  </r>
  <r>
    <x v="1"/>
    <x v="16"/>
    <x v="14"/>
    <n v="3916"/>
    <x v="4"/>
    <x v="1"/>
  </r>
  <r>
    <x v="1"/>
    <x v="17"/>
    <x v="14"/>
    <n v="0"/>
    <x v="5"/>
    <x v="0"/>
  </r>
  <r>
    <x v="1"/>
    <x v="18"/>
    <x v="14"/>
    <n v="0"/>
    <x v="0"/>
    <x v="0"/>
  </r>
  <r>
    <x v="1"/>
    <x v="19"/>
    <x v="14"/>
    <n v="0"/>
    <x v="5"/>
    <x v="0"/>
  </r>
  <r>
    <x v="1"/>
    <x v="22"/>
    <x v="14"/>
    <n v="0"/>
    <x v="6"/>
    <x v="0"/>
  </r>
  <r>
    <x v="2"/>
    <x v="23"/>
    <x v="14"/>
    <n v="495990"/>
    <x v="1"/>
    <x v="0"/>
  </r>
  <r>
    <x v="2"/>
    <x v="0"/>
    <x v="14"/>
    <n v="16836304"/>
    <x v="0"/>
    <x v="0"/>
  </r>
  <r>
    <x v="2"/>
    <x v="1"/>
    <x v="14"/>
    <n v="60935"/>
    <x v="1"/>
    <x v="0"/>
  </r>
  <r>
    <x v="2"/>
    <x v="2"/>
    <x v="14"/>
    <n v="188320552"/>
    <x v="0"/>
    <x v="1"/>
  </r>
  <r>
    <x v="2"/>
    <x v="3"/>
    <x v="14"/>
    <n v="-7587"/>
    <x v="0"/>
    <x v="1"/>
  </r>
  <r>
    <x v="2"/>
    <x v="4"/>
    <x v="14"/>
    <n v="3828923"/>
    <x v="0"/>
    <x v="1"/>
  </r>
  <r>
    <x v="2"/>
    <x v="5"/>
    <x v="14"/>
    <n v="186923"/>
    <x v="2"/>
    <x v="0"/>
  </r>
  <r>
    <x v="2"/>
    <x v="6"/>
    <x v="14"/>
    <n v="418545"/>
    <x v="2"/>
    <x v="0"/>
  </r>
  <r>
    <x v="2"/>
    <x v="7"/>
    <x v="14"/>
    <n v="0"/>
    <x v="2"/>
    <x v="0"/>
  </r>
  <r>
    <x v="2"/>
    <x v="8"/>
    <x v="14"/>
    <n v="70193"/>
    <x v="2"/>
    <x v="0"/>
  </r>
  <r>
    <x v="2"/>
    <x v="9"/>
    <x v="14"/>
    <n v="14044376"/>
    <x v="3"/>
    <x v="0"/>
  </r>
  <r>
    <x v="2"/>
    <x v="10"/>
    <x v="14"/>
    <n v="0"/>
    <x v="3"/>
    <x v="0"/>
  </r>
  <r>
    <x v="2"/>
    <x v="11"/>
    <x v="14"/>
    <n v="30484265"/>
    <x v="3"/>
    <x v="0"/>
  </r>
  <r>
    <x v="2"/>
    <x v="12"/>
    <x v="14"/>
    <n v="962825"/>
    <x v="3"/>
    <x v="0"/>
  </r>
  <r>
    <x v="2"/>
    <x v="13"/>
    <x v="14"/>
    <n v="307650"/>
    <x v="1"/>
    <x v="0"/>
  </r>
  <r>
    <x v="2"/>
    <x v="14"/>
    <x v="14"/>
    <n v="0"/>
    <x v="1"/>
    <x v="0"/>
  </r>
  <r>
    <x v="2"/>
    <x v="15"/>
    <x v="14"/>
    <n v="380415507"/>
    <x v="4"/>
    <x v="1"/>
  </r>
  <r>
    <x v="2"/>
    <x v="16"/>
    <x v="14"/>
    <n v="18078829"/>
    <x v="4"/>
    <x v="1"/>
  </r>
  <r>
    <x v="2"/>
    <x v="17"/>
    <x v="14"/>
    <n v="257693"/>
    <x v="5"/>
    <x v="0"/>
  </r>
  <r>
    <x v="2"/>
    <x v="18"/>
    <x v="14"/>
    <n v="11311233"/>
    <x v="0"/>
    <x v="0"/>
  </r>
  <r>
    <x v="2"/>
    <x v="19"/>
    <x v="14"/>
    <n v="229264"/>
    <x v="5"/>
    <x v="0"/>
  </r>
  <r>
    <x v="2"/>
    <x v="22"/>
    <x v="14"/>
    <n v="0"/>
    <x v="6"/>
    <x v="0"/>
  </r>
  <r>
    <x v="3"/>
    <x v="24"/>
    <x v="14"/>
    <n v="57.02"/>
    <x v="3"/>
    <x v="2"/>
  </r>
  <r>
    <x v="3"/>
    <x v="0"/>
    <x v="14"/>
    <n v="38.97"/>
    <x v="7"/>
    <x v="3"/>
  </r>
  <r>
    <x v="3"/>
    <x v="18"/>
    <x v="14"/>
    <n v="29.88"/>
    <x v="8"/>
    <x v="4"/>
  </r>
  <r>
    <x v="0"/>
    <x v="23"/>
    <x v="15"/>
    <n v="2371"/>
    <x v="1"/>
    <x v="0"/>
  </r>
  <r>
    <x v="0"/>
    <x v="0"/>
    <x v="15"/>
    <n v="116165"/>
    <x v="0"/>
    <x v="0"/>
  </r>
  <r>
    <x v="0"/>
    <x v="1"/>
    <x v="15"/>
    <n v="280"/>
    <x v="1"/>
    <x v="0"/>
  </r>
  <r>
    <x v="0"/>
    <x v="2"/>
    <x v="15"/>
    <n v="201"/>
    <x v="0"/>
    <x v="1"/>
  </r>
  <r>
    <x v="0"/>
    <x v="3"/>
    <x v="15"/>
    <n v="0"/>
    <x v="0"/>
    <x v="1"/>
  </r>
  <r>
    <x v="0"/>
    <x v="4"/>
    <x v="15"/>
    <n v="106"/>
    <x v="0"/>
    <x v="1"/>
  </r>
  <r>
    <x v="0"/>
    <x v="5"/>
    <x v="15"/>
    <n v="1715"/>
    <x v="2"/>
    <x v="0"/>
  </r>
  <r>
    <x v="0"/>
    <x v="6"/>
    <x v="15"/>
    <n v="4383"/>
    <x v="2"/>
    <x v="0"/>
  </r>
  <r>
    <x v="0"/>
    <x v="7"/>
    <x v="15"/>
    <n v="0"/>
    <x v="2"/>
    <x v="0"/>
  </r>
  <r>
    <x v="0"/>
    <x v="8"/>
    <x v="15"/>
    <n v="1940"/>
    <x v="2"/>
    <x v="0"/>
  </r>
  <r>
    <x v="0"/>
    <x v="9"/>
    <x v="15"/>
    <n v="55045"/>
    <x v="3"/>
    <x v="0"/>
  </r>
  <r>
    <x v="0"/>
    <x v="10"/>
    <x v="15"/>
    <n v="271"/>
    <x v="3"/>
    <x v="0"/>
  </r>
  <r>
    <x v="0"/>
    <x v="11"/>
    <x v="15"/>
    <n v="89853"/>
    <x v="3"/>
    <x v="0"/>
  </r>
  <r>
    <x v="0"/>
    <x v="12"/>
    <x v="15"/>
    <n v="760"/>
    <x v="3"/>
    <x v="0"/>
  </r>
  <r>
    <x v="0"/>
    <x v="13"/>
    <x v="15"/>
    <n v="325"/>
    <x v="1"/>
    <x v="0"/>
  </r>
  <r>
    <x v="0"/>
    <x v="14"/>
    <x v="15"/>
    <n v="0"/>
    <x v="1"/>
    <x v="0"/>
  </r>
  <r>
    <x v="0"/>
    <x v="15"/>
    <x v="15"/>
    <n v="2"/>
    <x v="4"/>
    <x v="1"/>
  </r>
  <r>
    <x v="0"/>
    <x v="16"/>
    <x v="15"/>
    <n v="0"/>
    <x v="4"/>
    <x v="1"/>
  </r>
  <r>
    <x v="0"/>
    <x v="17"/>
    <x v="15"/>
    <n v="700"/>
    <x v="5"/>
    <x v="0"/>
  </r>
  <r>
    <x v="0"/>
    <x v="18"/>
    <x v="15"/>
    <n v="38390"/>
    <x v="0"/>
    <x v="0"/>
  </r>
  <r>
    <x v="0"/>
    <x v="19"/>
    <x v="15"/>
    <n v="1235"/>
    <x v="5"/>
    <x v="0"/>
  </r>
  <r>
    <x v="0"/>
    <x v="20"/>
    <x v="15"/>
    <n v="18318"/>
    <x v="2"/>
    <x v="0"/>
  </r>
  <r>
    <x v="0"/>
    <x v="21"/>
    <x v="15"/>
    <n v="0"/>
    <x v="2"/>
    <x v="0"/>
  </r>
  <r>
    <x v="0"/>
    <x v="22"/>
    <x v="15"/>
    <n v="0"/>
    <x v="6"/>
    <x v="0"/>
  </r>
  <r>
    <x v="1"/>
    <x v="23"/>
    <x v="15"/>
    <n v="0"/>
    <x v="1"/>
    <x v="0"/>
  </r>
  <r>
    <x v="1"/>
    <x v="0"/>
    <x v="15"/>
    <n v="942"/>
    <x v="0"/>
    <x v="0"/>
  </r>
  <r>
    <x v="1"/>
    <x v="1"/>
    <x v="15"/>
    <n v="0"/>
    <x v="1"/>
    <x v="0"/>
  </r>
  <r>
    <x v="1"/>
    <x v="2"/>
    <x v="15"/>
    <n v="85464"/>
    <x v="0"/>
    <x v="1"/>
  </r>
  <r>
    <x v="1"/>
    <x v="3"/>
    <x v="15"/>
    <n v="9"/>
    <x v="0"/>
    <x v="1"/>
  </r>
  <r>
    <x v="1"/>
    <x v="4"/>
    <x v="15"/>
    <n v="1064"/>
    <x v="0"/>
    <x v="1"/>
  </r>
  <r>
    <x v="1"/>
    <x v="5"/>
    <x v="15"/>
    <n v="0"/>
    <x v="2"/>
    <x v="0"/>
  </r>
  <r>
    <x v="1"/>
    <x v="6"/>
    <x v="15"/>
    <n v="0"/>
    <x v="2"/>
    <x v="0"/>
  </r>
  <r>
    <x v="1"/>
    <x v="7"/>
    <x v="15"/>
    <n v="0"/>
    <x v="2"/>
    <x v="0"/>
  </r>
  <r>
    <x v="1"/>
    <x v="8"/>
    <x v="15"/>
    <n v="0"/>
    <x v="2"/>
    <x v="0"/>
  </r>
  <r>
    <x v="1"/>
    <x v="9"/>
    <x v="15"/>
    <n v="4915"/>
    <x v="3"/>
    <x v="0"/>
  </r>
  <r>
    <x v="1"/>
    <x v="10"/>
    <x v="15"/>
    <n v="0"/>
    <x v="3"/>
    <x v="0"/>
  </r>
  <r>
    <x v="1"/>
    <x v="11"/>
    <x v="15"/>
    <n v="1691"/>
    <x v="3"/>
    <x v="0"/>
  </r>
  <r>
    <x v="1"/>
    <x v="12"/>
    <x v="15"/>
    <n v="0"/>
    <x v="3"/>
    <x v="0"/>
  </r>
  <r>
    <x v="1"/>
    <x v="13"/>
    <x v="15"/>
    <n v="0"/>
    <x v="1"/>
    <x v="0"/>
  </r>
  <r>
    <x v="1"/>
    <x v="14"/>
    <x v="15"/>
    <n v="0"/>
    <x v="1"/>
    <x v="0"/>
  </r>
  <r>
    <x v="1"/>
    <x v="15"/>
    <x v="15"/>
    <n v="168167"/>
    <x v="4"/>
    <x v="1"/>
  </r>
  <r>
    <x v="1"/>
    <x v="16"/>
    <x v="15"/>
    <n v="3907"/>
    <x v="4"/>
    <x v="1"/>
  </r>
  <r>
    <x v="1"/>
    <x v="17"/>
    <x v="15"/>
    <n v="0"/>
    <x v="5"/>
    <x v="0"/>
  </r>
  <r>
    <x v="1"/>
    <x v="18"/>
    <x v="15"/>
    <n v="0"/>
    <x v="0"/>
    <x v="0"/>
  </r>
  <r>
    <x v="1"/>
    <x v="19"/>
    <x v="15"/>
    <n v="0"/>
    <x v="5"/>
    <x v="0"/>
  </r>
  <r>
    <x v="1"/>
    <x v="22"/>
    <x v="15"/>
    <n v="0"/>
    <x v="6"/>
    <x v="0"/>
  </r>
  <r>
    <x v="2"/>
    <x v="23"/>
    <x v="15"/>
    <n v="532362"/>
    <x v="1"/>
    <x v="0"/>
  </r>
  <r>
    <x v="2"/>
    <x v="0"/>
    <x v="15"/>
    <n v="15256559"/>
    <x v="0"/>
    <x v="0"/>
  </r>
  <r>
    <x v="2"/>
    <x v="1"/>
    <x v="15"/>
    <n v="75549"/>
    <x v="1"/>
    <x v="0"/>
  </r>
  <r>
    <x v="2"/>
    <x v="2"/>
    <x v="15"/>
    <n v="182188128"/>
    <x v="0"/>
    <x v="1"/>
  </r>
  <r>
    <x v="2"/>
    <x v="3"/>
    <x v="15"/>
    <n v="-5258"/>
    <x v="0"/>
    <x v="1"/>
  </r>
  <r>
    <x v="2"/>
    <x v="4"/>
    <x v="15"/>
    <n v="1063480"/>
    <x v="0"/>
    <x v="1"/>
  </r>
  <r>
    <x v="2"/>
    <x v="5"/>
    <x v="15"/>
    <n v="203933"/>
    <x v="2"/>
    <x v="0"/>
  </r>
  <r>
    <x v="2"/>
    <x v="6"/>
    <x v="15"/>
    <n v="443104"/>
    <x v="2"/>
    <x v="0"/>
  </r>
  <r>
    <x v="2"/>
    <x v="7"/>
    <x v="15"/>
    <n v="0"/>
    <x v="2"/>
    <x v="0"/>
  </r>
  <r>
    <x v="2"/>
    <x v="8"/>
    <x v="15"/>
    <n v="69198"/>
    <x v="2"/>
    <x v="0"/>
  </r>
  <r>
    <x v="2"/>
    <x v="9"/>
    <x v="15"/>
    <n v="13891154"/>
    <x v="3"/>
    <x v="0"/>
  </r>
  <r>
    <x v="2"/>
    <x v="10"/>
    <x v="15"/>
    <n v="172797"/>
    <x v="3"/>
    <x v="0"/>
  </r>
  <r>
    <x v="2"/>
    <x v="11"/>
    <x v="15"/>
    <n v="27523886"/>
    <x v="3"/>
    <x v="0"/>
  </r>
  <r>
    <x v="2"/>
    <x v="12"/>
    <x v="15"/>
    <n v="323008"/>
    <x v="3"/>
    <x v="0"/>
  </r>
  <r>
    <x v="2"/>
    <x v="13"/>
    <x v="15"/>
    <n v="208357"/>
    <x v="1"/>
    <x v="0"/>
  </r>
  <r>
    <x v="2"/>
    <x v="14"/>
    <x v="15"/>
    <n v="0"/>
    <x v="1"/>
    <x v="0"/>
  </r>
  <r>
    <x v="2"/>
    <x v="15"/>
    <x v="15"/>
    <n v="386761381"/>
    <x v="4"/>
    <x v="1"/>
  </r>
  <r>
    <x v="2"/>
    <x v="16"/>
    <x v="15"/>
    <n v="17233972"/>
    <x v="4"/>
    <x v="1"/>
  </r>
  <r>
    <x v="2"/>
    <x v="17"/>
    <x v="15"/>
    <n v="485144"/>
    <x v="5"/>
    <x v="0"/>
  </r>
  <r>
    <x v="2"/>
    <x v="18"/>
    <x v="15"/>
    <n v="4290785"/>
    <x v="0"/>
    <x v="0"/>
  </r>
  <r>
    <x v="2"/>
    <x v="19"/>
    <x v="15"/>
    <n v="223209"/>
    <x v="5"/>
    <x v="0"/>
  </r>
  <r>
    <x v="2"/>
    <x v="22"/>
    <x v="15"/>
    <n v="0"/>
    <x v="6"/>
    <x v="0"/>
  </r>
  <r>
    <x v="3"/>
    <x v="24"/>
    <x v="15"/>
    <n v="55.81"/>
    <x v="3"/>
    <x v="2"/>
  </r>
  <r>
    <x v="3"/>
    <x v="0"/>
    <x v="15"/>
    <n v="37.380000000000003"/>
    <x v="7"/>
    <x v="3"/>
  </r>
  <r>
    <x v="3"/>
    <x v="18"/>
    <x v="15"/>
    <n v="28.12"/>
    <x v="8"/>
    <x v="4"/>
  </r>
  <r>
    <x v="0"/>
    <x v="23"/>
    <x v="16"/>
    <n v="2256"/>
    <x v="1"/>
    <x v="0"/>
  </r>
  <r>
    <x v="0"/>
    <x v="0"/>
    <x v="16"/>
    <n v="116635"/>
    <x v="0"/>
    <x v="0"/>
  </r>
  <r>
    <x v="0"/>
    <x v="1"/>
    <x v="16"/>
    <n v="219"/>
    <x v="1"/>
    <x v="0"/>
  </r>
  <r>
    <x v="0"/>
    <x v="2"/>
    <x v="16"/>
    <n v="411"/>
    <x v="0"/>
    <x v="1"/>
  </r>
  <r>
    <x v="0"/>
    <x v="3"/>
    <x v="16"/>
    <n v="21"/>
    <x v="0"/>
    <x v="1"/>
  </r>
  <r>
    <x v="0"/>
    <x v="4"/>
    <x v="16"/>
    <n v="613"/>
    <x v="0"/>
    <x v="1"/>
  </r>
  <r>
    <x v="0"/>
    <x v="5"/>
    <x v="16"/>
    <n v="2165"/>
    <x v="2"/>
    <x v="0"/>
  </r>
  <r>
    <x v="0"/>
    <x v="6"/>
    <x v="16"/>
    <n v="4224"/>
    <x v="2"/>
    <x v="0"/>
  </r>
  <r>
    <x v="0"/>
    <x v="7"/>
    <x v="16"/>
    <n v="1"/>
    <x v="2"/>
    <x v="0"/>
  </r>
  <r>
    <x v="0"/>
    <x v="8"/>
    <x v="16"/>
    <n v="1529"/>
    <x v="2"/>
    <x v="0"/>
  </r>
  <r>
    <x v="0"/>
    <x v="9"/>
    <x v="16"/>
    <n v="45329"/>
    <x v="3"/>
    <x v="0"/>
  </r>
  <r>
    <x v="0"/>
    <x v="10"/>
    <x v="16"/>
    <n v="0"/>
    <x v="3"/>
    <x v="0"/>
  </r>
  <r>
    <x v="0"/>
    <x v="11"/>
    <x v="16"/>
    <n v="79069"/>
    <x v="3"/>
    <x v="0"/>
  </r>
  <r>
    <x v="0"/>
    <x v="12"/>
    <x v="16"/>
    <n v="19"/>
    <x v="3"/>
    <x v="0"/>
  </r>
  <r>
    <x v="0"/>
    <x v="13"/>
    <x v="16"/>
    <n v="263"/>
    <x v="1"/>
    <x v="0"/>
  </r>
  <r>
    <x v="0"/>
    <x v="14"/>
    <x v="16"/>
    <n v="0"/>
    <x v="1"/>
    <x v="0"/>
  </r>
  <r>
    <x v="0"/>
    <x v="15"/>
    <x v="16"/>
    <n v="2173"/>
    <x v="4"/>
    <x v="1"/>
  </r>
  <r>
    <x v="0"/>
    <x v="16"/>
    <x v="16"/>
    <n v="1500"/>
    <x v="4"/>
    <x v="1"/>
  </r>
  <r>
    <x v="0"/>
    <x v="17"/>
    <x v="16"/>
    <n v="305"/>
    <x v="5"/>
    <x v="0"/>
  </r>
  <r>
    <x v="0"/>
    <x v="18"/>
    <x v="16"/>
    <n v="64363"/>
    <x v="0"/>
    <x v="0"/>
  </r>
  <r>
    <x v="0"/>
    <x v="19"/>
    <x v="16"/>
    <n v="1182"/>
    <x v="5"/>
    <x v="0"/>
  </r>
  <r>
    <x v="0"/>
    <x v="20"/>
    <x v="16"/>
    <n v="24872"/>
    <x v="2"/>
    <x v="0"/>
  </r>
  <r>
    <x v="0"/>
    <x v="21"/>
    <x v="16"/>
    <n v="0"/>
    <x v="2"/>
    <x v="0"/>
  </r>
  <r>
    <x v="0"/>
    <x v="22"/>
    <x v="16"/>
    <n v="0"/>
    <x v="6"/>
    <x v="0"/>
  </r>
  <r>
    <x v="1"/>
    <x v="23"/>
    <x v="16"/>
    <n v="0"/>
    <x v="1"/>
    <x v="0"/>
  </r>
  <r>
    <x v="1"/>
    <x v="0"/>
    <x v="16"/>
    <n v="159"/>
    <x v="0"/>
    <x v="0"/>
  </r>
  <r>
    <x v="1"/>
    <x v="1"/>
    <x v="16"/>
    <n v="0"/>
    <x v="1"/>
    <x v="0"/>
  </r>
  <r>
    <x v="1"/>
    <x v="2"/>
    <x v="16"/>
    <n v="87193"/>
    <x v="0"/>
    <x v="1"/>
  </r>
  <r>
    <x v="1"/>
    <x v="3"/>
    <x v="16"/>
    <n v="61"/>
    <x v="0"/>
    <x v="1"/>
  </r>
  <r>
    <x v="1"/>
    <x v="4"/>
    <x v="16"/>
    <n v="1667"/>
    <x v="0"/>
    <x v="1"/>
  </r>
  <r>
    <x v="1"/>
    <x v="5"/>
    <x v="16"/>
    <n v="0"/>
    <x v="2"/>
    <x v="0"/>
  </r>
  <r>
    <x v="1"/>
    <x v="6"/>
    <x v="16"/>
    <n v="0"/>
    <x v="2"/>
    <x v="0"/>
  </r>
  <r>
    <x v="1"/>
    <x v="7"/>
    <x v="16"/>
    <n v="0"/>
    <x v="2"/>
    <x v="0"/>
  </r>
  <r>
    <x v="1"/>
    <x v="8"/>
    <x v="16"/>
    <n v="0"/>
    <x v="2"/>
    <x v="0"/>
  </r>
  <r>
    <x v="1"/>
    <x v="9"/>
    <x v="16"/>
    <n v="106"/>
    <x v="3"/>
    <x v="0"/>
  </r>
  <r>
    <x v="1"/>
    <x v="10"/>
    <x v="16"/>
    <n v="4"/>
    <x v="3"/>
    <x v="0"/>
  </r>
  <r>
    <x v="1"/>
    <x v="11"/>
    <x v="16"/>
    <n v="1334"/>
    <x v="3"/>
    <x v="0"/>
  </r>
  <r>
    <x v="1"/>
    <x v="12"/>
    <x v="16"/>
    <n v="0"/>
    <x v="3"/>
    <x v="0"/>
  </r>
  <r>
    <x v="1"/>
    <x v="13"/>
    <x v="16"/>
    <n v="0"/>
    <x v="1"/>
    <x v="0"/>
  </r>
  <r>
    <x v="1"/>
    <x v="14"/>
    <x v="16"/>
    <n v="0"/>
    <x v="1"/>
    <x v="0"/>
  </r>
  <r>
    <x v="1"/>
    <x v="15"/>
    <x v="16"/>
    <n v="189739"/>
    <x v="4"/>
    <x v="1"/>
  </r>
  <r>
    <x v="1"/>
    <x v="16"/>
    <x v="16"/>
    <n v="5726"/>
    <x v="4"/>
    <x v="1"/>
  </r>
  <r>
    <x v="1"/>
    <x v="17"/>
    <x v="16"/>
    <n v="0"/>
    <x v="5"/>
    <x v="0"/>
  </r>
  <r>
    <x v="1"/>
    <x v="18"/>
    <x v="16"/>
    <n v="117"/>
    <x v="0"/>
    <x v="0"/>
  </r>
  <r>
    <x v="1"/>
    <x v="19"/>
    <x v="16"/>
    <n v="0"/>
    <x v="5"/>
    <x v="0"/>
  </r>
  <r>
    <x v="1"/>
    <x v="22"/>
    <x v="16"/>
    <n v="0"/>
    <x v="6"/>
    <x v="0"/>
  </r>
  <r>
    <x v="2"/>
    <x v="23"/>
    <x v="16"/>
    <n v="593515"/>
    <x v="1"/>
    <x v="0"/>
  </r>
  <r>
    <x v="2"/>
    <x v="0"/>
    <x v="16"/>
    <n v="15477625"/>
    <x v="0"/>
    <x v="0"/>
  </r>
  <r>
    <x v="2"/>
    <x v="1"/>
    <x v="16"/>
    <n v="61614"/>
    <x v="1"/>
    <x v="0"/>
  </r>
  <r>
    <x v="2"/>
    <x v="2"/>
    <x v="16"/>
    <n v="144363444"/>
    <x v="0"/>
    <x v="1"/>
  </r>
  <r>
    <x v="2"/>
    <x v="3"/>
    <x v="16"/>
    <n v="-29358"/>
    <x v="0"/>
    <x v="1"/>
  </r>
  <r>
    <x v="2"/>
    <x v="4"/>
    <x v="16"/>
    <n v="-3672374"/>
    <x v="0"/>
    <x v="1"/>
  </r>
  <r>
    <x v="2"/>
    <x v="5"/>
    <x v="16"/>
    <n v="260107"/>
    <x v="2"/>
    <x v="0"/>
  </r>
  <r>
    <x v="2"/>
    <x v="6"/>
    <x v="16"/>
    <n v="430759"/>
    <x v="2"/>
    <x v="0"/>
  </r>
  <r>
    <x v="2"/>
    <x v="7"/>
    <x v="16"/>
    <n v="67"/>
    <x v="2"/>
    <x v="0"/>
  </r>
  <r>
    <x v="2"/>
    <x v="8"/>
    <x v="16"/>
    <n v="54300"/>
    <x v="2"/>
    <x v="0"/>
  </r>
  <r>
    <x v="2"/>
    <x v="9"/>
    <x v="16"/>
    <n v="12854775"/>
    <x v="3"/>
    <x v="0"/>
  </r>
  <r>
    <x v="2"/>
    <x v="10"/>
    <x v="16"/>
    <n v="9787"/>
    <x v="3"/>
    <x v="0"/>
  </r>
  <r>
    <x v="2"/>
    <x v="11"/>
    <x v="16"/>
    <n v="24578817"/>
    <x v="3"/>
    <x v="0"/>
  </r>
  <r>
    <x v="2"/>
    <x v="12"/>
    <x v="16"/>
    <n v="8231"/>
    <x v="3"/>
    <x v="0"/>
  </r>
  <r>
    <x v="2"/>
    <x v="13"/>
    <x v="16"/>
    <n v="178452"/>
    <x v="1"/>
    <x v="0"/>
  </r>
  <r>
    <x v="2"/>
    <x v="14"/>
    <x v="16"/>
    <n v="0"/>
    <x v="1"/>
    <x v="0"/>
  </r>
  <r>
    <x v="2"/>
    <x v="15"/>
    <x v="16"/>
    <n v="338058278"/>
    <x v="4"/>
    <x v="1"/>
  </r>
  <r>
    <x v="2"/>
    <x v="16"/>
    <x v="16"/>
    <n v="-12753305"/>
    <x v="4"/>
    <x v="1"/>
  </r>
  <r>
    <x v="2"/>
    <x v="17"/>
    <x v="16"/>
    <n v="458192"/>
    <x v="5"/>
    <x v="0"/>
  </r>
  <r>
    <x v="2"/>
    <x v="18"/>
    <x v="16"/>
    <n v="7187193"/>
    <x v="0"/>
    <x v="0"/>
  </r>
  <r>
    <x v="2"/>
    <x v="19"/>
    <x v="16"/>
    <n v="217376"/>
    <x v="5"/>
    <x v="0"/>
  </r>
  <r>
    <x v="2"/>
    <x v="22"/>
    <x v="16"/>
    <n v="0"/>
    <x v="6"/>
    <x v="0"/>
  </r>
  <r>
    <x v="3"/>
    <x v="24"/>
    <x v="16"/>
    <n v="55.33"/>
    <x v="3"/>
    <x v="2"/>
  </r>
  <r>
    <x v="3"/>
    <x v="0"/>
    <x v="16"/>
    <n v="36.65"/>
    <x v="7"/>
    <x v="3"/>
  </r>
  <r>
    <x v="3"/>
    <x v="18"/>
    <x v="16"/>
    <n v="27.29"/>
    <x v="8"/>
    <x v="4"/>
  </r>
  <r>
    <x v="0"/>
    <x v="23"/>
    <x v="17"/>
    <n v="2410"/>
    <x v="1"/>
    <x v="0"/>
  </r>
  <r>
    <x v="0"/>
    <x v="0"/>
    <x v="17"/>
    <n v="112434"/>
    <x v="0"/>
    <x v="0"/>
  </r>
  <r>
    <x v="0"/>
    <x v="1"/>
    <x v="17"/>
    <n v="241"/>
    <x v="1"/>
    <x v="0"/>
  </r>
  <r>
    <x v="0"/>
    <x v="2"/>
    <x v="17"/>
    <n v="179"/>
    <x v="0"/>
    <x v="1"/>
  </r>
  <r>
    <x v="0"/>
    <x v="3"/>
    <x v="17"/>
    <n v="0"/>
    <x v="0"/>
    <x v="1"/>
  </r>
  <r>
    <x v="0"/>
    <x v="4"/>
    <x v="17"/>
    <n v="499"/>
    <x v="0"/>
    <x v="1"/>
  </r>
  <r>
    <x v="0"/>
    <x v="5"/>
    <x v="17"/>
    <n v="2913"/>
    <x v="2"/>
    <x v="0"/>
  </r>
  <r>
    <x v="0"/>
    <x v="6"/>
    <x v="17"/>
    <n v="3535"/>
    <x v="2"/>
    <x v="0"/>
  </r>
  <r>
    <x v="0"/>
    <x v="7"/>
    <x v="17"/>
    <n v="5"/>
    <x v="2"/>
    <x v="0"/>
  </r>
  <r>
    <x v="0"/>
    <x v="8"/>
    <x v="17"/>
    <n v="1032"/>
    <x v="2"/>
    <x v="0"/>
  </r>
  <r>
    <x v="0"/>
    <x v="9"/>
    <x v="17"/>
    <n v="47983"/>
    <x v="3"/>
    <x v="0"/>
  </r>
  <r>
    <x v="0"/>
    <x v="10"/>
    <x v="17"/>
    <n v="98"/>
    <x v="3"/>
    <x v="0"/>
  </r>
  <r>
    <x v="0"/>
    <x v="11"/>
    <x v="17"/>
    <n v="59772"/>
    <x v="3"/>
    <x v="0"/>
  </r>
  <r>
    <x v="0"/>
    <x v="12"/>
    <x v="17"/>
    <n v="788"/>
    <x v="3"/>
    <x v="0"/>
  </r>
  <r>
    <x v="0"/>
    <x v="13"/>
    <x v="17"/>
    <n v="136"/>
    <x v="1"/>
    <x v="0"/>
  </r>
  <r>
    <x v="0"/>
    <x v="14"/>
    <x v="17"/>
    <n v="0"/>
    <x v="1"/>
    <x v="0"/>
  </r>
  <r>
    <x v="0"/>
    <x v="15"/>
    <x v="17"/>
    <n v="4738"/>
    <x v="4"/>
    <x v="1"/>
  </r>
  <r>
    <x v="0"/>
    <x v="16"/>
    <x v="17"/>
    <n v="1314"/>
    <x v="4"/>
    <x v="1"/>
  </r>
  <r>
    <x v="0"/>
    <x v="17"/>
    <x v="17"/>
    <n v="45"/>
    <x v="5"/>
    <x v="0"/>
  </r>
  <r>
    <x v="0"/>
    <x v="18"/>
    <x v="17"/>
    <n v="53776"/>
    <x v="0"/>
    <x v="0"/>
  </r>
  <r>
    <x v="0"/>
    <x v="19"/>
    <x v="17"/>
    <n v="916"/>
    <x v="5"/>
    <x v="0"/>
  </r>
  <r>
    <x v="0"/>
    <x v="20"/>
    <x v="17"/>
    <n v="24872"/>
    <x v="2"/>
    <x v="0"/>
  </r>
  <r>
    <x v="0"/>
    <x v="21"/>
    <x v="17"/>
    <n v="0"/>
    <x v="2"/>
    <x v="0"/>
  </r>
  <r>
    <x v="0"/>
    <x v="22"/>
    <x v="17"/>
    <n v="0"/>
    <x v="6"/>
    <x v="0"/>
  </r>
  <r>
    <x v="1"/>
    <x v="23"/>
    <x v="17"/>
    <n v="0"/>
    <x v="1"/>
    <x v="0"/>
  </r>
  <r>
    <x v="1"/>
    <x v="0"/>
    <x v="17"/>
    <n v="3928"/>
    <x v="0"/>
    <x v="0"/>
  </r>
  <r>
    <x v="1"/>
    <x v="1"/>
    <x v="17"/>
    <n v="0"/>
    <x v="1"/>
    <x v="0"/>
  </r>
  <r>
    <x v="1"/>
    <x v="2"/>
    <x v="17"/>
    <n v="109990"/>
    <x v="0"/>
    <x v="1"/>
  </r>
  <r>
    <x v="1"/>
    <x v="3"/>
    <x v="17"/>
    <n v="18"/>
    <x v="0"/>
    <x v="1"/>
  </r>
  <r>
    <x v="1"/>
    <x v="4"/>
    <x v="17"/>
    <n v="1318"/>
    <x v="0"/>
    <x v="1"/>
  </r>
  <r>
    <x v="1"/>
    <x v="5"/>
    <x v="17"/>
    <n v="0"/>
    <x v="2"/>
    <x v="0"/>
  </r>
  <r>
    <x v="1"/>
    <x v="6"/>
    <x v="17"/>
    <n v="0"/>
    <x v="2"/>
    <x v="0"/>
  </r>
  <r>
    <x v="1"/>
    <x v="7"/>
    <x v="17"/>
    <n v="0"/>
    <x v="2"/>
    <x v="0"/>
  </r>
  <r>
    <x v="1"/>
    <x v="8"/>
    <x v="17"/>
    <n v="0"/>
    <x v="2"/>
    <x v="0"/>
  </r>
  <r>
    <x v="1"/>
    <x v="9"/>
    <x v="17"/>
    <n v="3"/>
    <x v="3"/>
    <x v="0"/>
  </r>
  <r>
    <x v="1"/>
    <x v="10"/>
    <x v="17"/>
    <n v="0"/>
    <x v="3"/>
    <x v="0"/>
  </r>
  <r>
    <x v="1"/>
    <x v="11"/>
    <x v="17"/>
    <n v="0"/>
    <x v="3"/>
    <x v="0"/>
  </r>
  <r>
    <x v="1"/>
    <x v="12"/>
    <x v="17"/>
    <n v="0"/>
    <x v="3"/>
    <x v="0"/>
  </r>
  <r>
    <x v="1"/>
    <x v="13"/>
    <x v="17"/>
    <n v="0"/>
    <x v="1"/>
    <x v="0"/>
  </r>
  <r>
    <x v="1"/>
    <x v="14"/>
    <x v="17"/>
    <n v="0"/>
    <x v="1"/>
    <x v="0"/>
  </r>
  <r>
    <x v="1"/>
    <x v="15"/>
    <x v="17"/>
    <n v="150464"/>
    <x v="4"/>
    <x v="1"/>
  </r>
  <r>
    <x v="1"/>
    <x v="16"/>
    <x v="17"/>
    <n v="5009"/>
    <x v="4"/>
    <x v="1"/>
  </r>
  <r>
    <x v="1"/>
    <x v="17"/>
    <x v="17"/>
    <n v="0"/>
    <x v="5"/>
    <x v="0"/>
  </r>
  <r>
    <x v="1"/>
    <x v="18"/>
    <x v="17"/>
    <n v="208"/>
    <x v="0"/>
    <x v="0"/>
  </r>
  <r>
    <x v="1"/>
    <x v="19"/>
    <x v="17"/>
    <n v="0"/>
    <x v="5"/>
    <x v="0"/>
  </r>
  <r>
    <x v="1"/>
    <x v="22"/>
    <x v="17"/>
    <n v="0"/>
    <x v="6"/>
    <x v="0"/>
  </r>
  <r>
    <x v="2"/>
    <x v="23"/>
    <x v="17"/>
    <n v="641800"/>
    <x v="1"/>
    <x v="0"/>
  </r>
  <r>
    <x v="2"/>
    <x v="0"/>
    <x v="17"/>
    <n v="16370864"/>
    <x v="0"/>
    <x v="0"/>
  </r>
  <r>
    <x v="2"/>
    <x v="1"/>
    <x v="17"/>
    <n v="67090"/>
    <x v="1"/>
    <x v="0"/>
  </r>
  <r>
    <x v="2"/>
    <x v="2"/>
    <x v="17"/>
    <n v="182674337"/>
    <x v="0"/>
    <x v="1"/>
  </r>
  <r>
    <x v="2"/>
    <x v="3"/>
    <x v="17"/>
    <n v="-11347"/>
    <x v="0"/>
    <x v="1"/>
  </r>
  <r>
    <x v="2"/>
    <x v="4"/>
    <x v="17"/>
    <n v="-4447782"/>
    <x v="0"/>
    <x v="1"/>
  </r>
  <r>
    <x v="2"/>
    <x v="5"/>
    <x v="17"/>
    <n v="350028"/>
    <x v="2"/>
    <x v="0"/>
  </r>
  <r>
    <x v="2"/>
    <x v="6"/>
    <x v="17"/>
    <n v="360119"/>
    <x v="2"/>
    <x v="0"/>
  </r>
  <r>
    <x v="2"/>
    <x v="7"/>
    <x v="17"/>
    <n v="580"/>
    <x v="2"/>
    <x v="0"/>
  </r>
  <r>
    <x v="2"/>
    <x v="8"/>
    <x v="17"/>
    <n v="37633"/>
    <x v="2"/>
    <x v="0"/>
  </r>
  <r>
    <x v="2"/>
    <x v="9"/>
    <x v="17"/>
    <n v="13932401"/>
    <x v="3"/>
    <x v="0"/>
  </r>
  <r>
    <x v="2"/>
    <x v="10"/>
    <x v="17"/>
    <n v="53494"/>
    <x v="3"/>
    <x v="0"/>
  </r>
  <r>
    <x v="2"/>
    <x v="11"/>
    <x v="17"/>
    <n v="19132482"/>
    <x v="3"/>
    <x v="0"/>
  </r>
  <r>
    <x v="2"/>
    <x v="12"/>
    <x v="17"/>
    <n v="347882"/>
    <x v="3"/>
    <x v="0"/>
  </r>
  <r>
    <x v="2"/>
    <x v="13"/>
    <x v="17"/>
    <n v="91497"/>
    <x v="1"/>
    <x v="0"/>
  </r>
  <r>
    <x v="2"/>
    <x v="14"/>
    <x v="17"/>
    <n v="0"/>
    <x v="1"/>
    <x v="0"/>
  </r>
  <r>
    <x v="2"/>
    <x v="15"/>
    <x v="17"/>
    <n v="262650168"/>
    <x v="4"/>
    <x v="1"/>
  </r>
  <r>
    <x v="2"/>
    <x v="16"/>
    <x v="17"/>
    <n v="-11222100"/>
    <x v="4"/>
    <x v="1"/>
  </r>
  <r>
    <x v="2"/>
    <x v="17"/>
    <x v="17"/>
    <n v="68331"/>
    <x v="5"/>
    <x v="0"/>
  </r>
  <r>
    <x v="2"/>
    <x v="18"/>
    <x v="17"/>
    <n v="6251613"/>
    <x v="0"/>
    <x v="0"/>
  </r>
  <r>
    <x v="2"/>
    <x v="19"/>
    <x v="17"/>
    <n v="168376"/>
    <x v="5"/>
    <x v="0"/>
  </r>
  <r>
    <x v="2"/>
    <x v="22"/>
    <x v="17"/>
    <n v="0"/>
    <x v="6"/>
    <x v="0"/>
  </r>
  <r>
    <x v="3"/>
    <x v="24"/>
    <x v="17"/>
    <n v="55.78"/>
    <x v="3"/>
    <x v="2"/>
  </r>
  <r>
    <x v="3"/>
    <x v="0"/>
    <x v="17"/>
    <n v="43.71"/>
    <x v="7"/>
    <x v="3"/>
  </r>
  <r>
    <x v="3"/>
    <x v="18"/>
    <x v="17"/>
    <n v="30.18"/>
    <x v="8"/>
    <x v="4"/>
  </r>
  <r>
    <x v="0"/>
    <x v="23"/>
    <x v="18"/>
    <n v="3097"/>
    <x v="1"/>
    <x v="0"/>
  </r>
  <r>
    <x v="0"/>
    <x v="0"/>
    <x v="18"/>
    <n v="126284"/>
    <x v="0"/>
    <x v="0"/>
  </r>
  <r>
    <x v="0"/>
    <x v="1"/>
    <x v="18"/>
    <n v="360"/>
    <x v="1"/>
    <x v="0"/>
  </r>
  <r>
    <x v="0"/>
    <x v="2"/>
    <x v="18"/>
    <n v="1553"/>
    <x v="0"/>
    <x v="1"/>
  </r>
  <r>
    <x v="0"/>
    <x v="3"/>
    <x v="18"/>
    <n v="0"/>
    <x v="0"/>
    <x v="1"/>
  </r>
  <r>
    <x v="0"/>
    <x v="4"/>
    <x v="18"/>
    <n v="749"/>
    <x v="0"/>
    <x v="1"/>
  </r>
  <r>
    <x v="0"/>
    <x v="5"/>
    <x v="18"/>
    <n v="4227"/>
    <x v="2"/>
    <x v="0"/>
  </r>
  <r>
    <x v="0"/>
    <x v="6"/>
    <x v="18"/>
    <n v="3590"/>
    <x v="2"/>
    <x v="0"/>
  </r>
  <r>
    <x v="0"/>
    <x v="7"/>
    <x v="18"/>
    <n v="7"/>
    <x v="2"/>
    <x v="0"/>
  </r>
  <r>
    <x v="0"/>
    <x v="8"/>
    <x v="18"/>
    <n v="1952"/>
    <x v="2"/>
    <x v="0"/>
  </r>
  <r>
    <x v="0"/>
    <x v="9"/>
    <x v="18"/>
    <n v="72658"/>
    <x v="3"/>
    <x v="0"/>
  </r>
  <r>
    <x v="0"/>
    <x v="10"/>
    <x v="18"/>
    <n v="0"/>
    <x v="3"/>
    <x v="0"/>
  </r>
  <r>
    <x v="0"/>
    <x v="11"/>
    <x v="18"/>
    <n v="73079"/>
    <x v="3"/>
    <x v="0"/>
  </r>
  <r>
    <x v="0"/>
    <x v="12"/>
    <x v="18"/>
    <n v="70"/>
    <x v="3"/>
    <x v="0"/>
  </r>
  <r>
    <x v="0"/>
    <x v="13"/>
    <x v="18"/>
    <n v="99"/>
    <x v="1"/>
    <x v="0"/>
  </r>
  <r>
    <x v="0"/>
    <x v="14"/>
    <x v="18"/>
    <n v="0"/>
    <x v="1"/>
    <x v="0"/>
  </r>
  <r>
    <x v="0"/>
    <x v="15"/>
    <x v="18"/>
    <n v="1354"/>
    <x v="4"/>
    <x v="1"/>
  </r>
  <r>
    <x v="0"/>
    <x v="16"/>
    <x v="18"/>
    <n v="1892"/>
    <x v="4"/>
    <x v="1"/>
  </r>
  <r>
    <x v="0"/>
    <x v="17"/>
    <x v="18"/>
    <n v="57"/>
    <x v="5"/>
    <x v="0"/>
  </r>
  <r>
    <x v="0"/>
    <x v="18"/>
    <x v="18"/>
    <n v="1167"/>
    <x v="0"/>
    <x v="0"/>
  </r>
  <r>
    <x v="0"/>
    <x v="19"/>
    <x v="18"/>
    <n v="720"/>
    <x v="5"/>
    <x v="0"/>
  </r>
  <r>
    <x v="0"/>
    <x v="20"/>
    <x v="18"/>
    <n v="24872"/>
    <x v="2"/>
    <x v="0"/>
  </r>
  <r>
    <x v="0"/>
    <x v="21"/>
    <x v="18"/>
    <n v="0"/>
    <x v="2"/>
    <x v="0"/>
  </r>
  <r>
    <x v="0"/>
    <x v="22"/>
    <x v="18"/>
    <n v="0"/>
    <x v="6"/>
    <x v="0"/>
  </r>
  <r>
    <x v="1"/>
    <x v="23"/>
    <x v="18"/>
    <n v="0"/>
    <x v="1"/>
    <x v="0"/>
  </r>
  <r>
    <x v="1"/>
    <x v="0"/>
    <x v="18"/>
    <n v="1445"/>
    <x v="0"/>
    <x v="0"/>
  </r>
  <r>
    <x v="1"/>
    <x v="1"/>
    <x v="18"/>
    <n v="0"/>
    <x v="1"/>
    <x v="0"/>
  </r>
  <r>
    <x v="1"/>
    <x v="2"/>
    <x v="18"/>
    <n v="106701"/>
    <x v="0"/>
    <x v="1"/>
  </r>
  <r>
    <x v="1"/>
    <x v="3"/>
    <x v="18"/>
    <n v="20"/>
    <x v="0"/>
    <x v="1"/>
  </r>
  <r>
    <x v="1"/>
    <x v="4"/>
    <x v="18"/>
    <n v="1121"/>
    <x v="0"/>
    <x v="1"/>
  </r>
  <r>
    <x v="1"/>
    <x v="5"/>
    <x v="18"/>
    <n v="0"/>
    <x v="2"/>
    <x v="0"/>
  </r>
  <r>
    <x v="1"/>
    <x v="6"/>
    <x v="18"/>
    <n v="0"/>
    <x v="2"/>
    <x v="0"/>
  </r>
  <r>
    <x v="1"/>
    <x v="7"/>
    <x v="18"/>
    <n v="0"/>
    <x v="2"/>
    <x v="0"/>
  </r>
  <r>
    <x v="1"/>
    <x v="8"/>
    <x v="18"/>
    <n v="0"/>
    <x v="2"/>
    <x v="0"/>
  </r>
  <r>
    <x v="1"/>
    <x v="9"/>
    <x v="18"/>
    <n v="6032"/>
    <x v="3"/>
    <x v="0"/>
  </r>
  <r>
    <x v="1"/>
    <x v="10"/>
    <x v="18"/>
    <n v="0"/>
    <x v="3"/>
    <x v="0"/>
  </r>
  <r>
    <x v="1"/>
    <x v="11"/>
    <x v="18"/>
    <n v="4652"/>
    <x v="3"/>
    <x v="0"/>
  </r>
  <r>
    <x v="1"/>
    <x v="12"/>
    <x v="18"/>
    <n v="788"/>
    <x v="3"/>
    <x v="0"/>
  </r>
  <r>
    <x v="1"/>
    <x v="13"/>
    <x v="18"/>
    <n v="0"/>
    <x v="1"/>
    <x v="0"/>
  </r>
  <r>
    <x v="1"/>
    <x v="14"/>
    <x v="18"/>
    <n v="0"/>
    <x v="1"/>
    <x v="0"/>
  </r>
  <r>
    <x v="1"/>
    <x v="15"/>
    <x v="18"/>
    <n v="219530"/>
    <x v="4"/>
    <x v="1"/>
  </r>
  <r>
    <x v="1"/>
    <x v="16"/>
    <x v="18"/>
    <n v="5410"/>
    <x v="4"/>
    <x v="1"/>
  </r>
  <r>
    <x v="1"/>
    <x v="17"/>
    <x v="18"/>
    <n v="0"/>
    <x v="5"/>
    <x v="0"/>
  </r>
  <r>
    <x v="1"/>
    <x v="18"/>
    <x v="18"/>
    <n v="302"/>
    <x v="0"/>
    <x v="0"/>
  </r>
  <r>
    <x v="1"/>
    <x v="19"/>
    <x v="18"/>
    <n v="0"/>
    <x v="5"/>
    <x v="0"/>
  </r>
  <r>
    <x v="1"/>
    <x v="22"/>
    <x v="18"/>
    <n v="0"/>
    <x v="6"/>
    <x v="0"/>
  </r>
  <r>
    <x v="2"/>
    <x v="23"/>
    <x v="18"/>
    <n v="674289"/>
    <x v="1"/>
    <x v="0"/>
  </r>
  <r>
    <x v="2"/>
    <x v="0"/>
    <x v="18"/>
    <n v="18513397"/>
    <x v="0"/>
    <x v="0"/>
  </r>
  <r>
    <x v="2"/>
    <x v="1"/>
    <x v="18"/>
    <n v="86146"/>
    <x v="1"/>
    <x v="0"/>
  </r>
  <r>
    <x v="2"/>
    <x v="2"/>
    <x v="18"/>
    <n v="174916666"/>
    <x v="0"/>
    <x v="1"/>
  </r>
  <r>
    <x v="2"/>
    <x v="3"/>
    <x v="18"/>
    <n v="-12518"/>
    <x v="0"/>
    <x v="1"/>
  </r>
  <r>
    <x v="2"/>
    <x v="4"/>
    <x v="18"/>
    <n v="-5946680"/>
    <x v="0"/>
    <x v="1"/>
  </r>
  <r>
    <x v="2"/>
    <x v="5"/>
    <x v="18"/>
    <n v="508364"/>
    <x v="2"/>
    <x v="0"/>
  </r>
  <r>
    <x v="2"/>
    <x v="6"/>
    <x v="18"/>
    <n v="362929"/>
    <x v="2"/>
    <x v="0"/>
  </r>
  <r>
    <x v="2"/>
    <x v="7"/>
    <x v="18"/>
    <n v="895"/>
    <x v="2"/>
    <x v="0"/>
  </r>
  <r>
    <x v="2"/>
    <x v="8"/>
    <x v="18"/>
    <n v="72090"/>
    <x v="2"/>
    <x v="0"/>
  </r>
  <r>
    <x v="2"/>
    <x v="9"/>
    <x v="18"/>
    <n v="19053482"/>
    <x v="3"/>
    <x v="0"/>
  </r>
  <r>
    <x v="2"/>
    <x v="10"/>
    <x v="18"/>
    <n v="-312"/>
    <x v="3"/>
    <x v="0"/>
  </r>
  <r>
    <x v="2"/>
    <x v="11"/>
    <x v="18"/>
    <n v="21871120"/>
    <x v="3"/>
    <x v="0"/>
  </r>
  <r>
    <x v="2"/>
    <x v="12"/>
    <x v="18"/>
    <n v="-316619"/>
    <x v="3"/>
    <x v="0"/>
  </r>
  <r>
    <x v="2"/>
    <x v="13"/>
    <x v="18"/>
    <n v="47369"/>
    <x v="1"/>
    <x v="0"/>
  </r>
  <r>
    <x v="2"/>
    <x v="14"/>
    <x v="18"/>
    <n v="0"/>
    <x v="1"/>
    <x v="0"/>
  </r>
  <r>
    <x v="2"/>
    <x v="15"/>
    <x v="18"/>
    <n v="393227227"/>
    <x v="4"/>
    <x v="1"/>
  </r>
  <r>
    <x v="2"/>
    <x v="16"/>
    <x v="18"/>
    <n v="-14941509"/>
    <x v="4"/>
    <x v="1"/>
  </r>
  <r>
    <x v="2"/>
    <x v="17"/>
    <x v="18"/>
    <n v="81833"/>
    <x v="5"/>
    <x v="0"/>
  </r>
  <r>
    <x v="2"/>
    <x v="18"/>
    <x v="18"/>
    <n v="206541"/>
    <x v="0"/>
    <x v="0"/>
  </r>
  <r>
    <x v="2"/>
    <x v="19"/>
    <x v="18"/>
    <n v="147499"/>
    <x v="5"/>
    <x v="0"/>
  </r>
  <r>
    <x v="2"/>
    <x v="22"/>
    <x v="18"/>
    <n v="0"/>
    <x v="6"/>
    <x v="0"/>
  </r>
  <r>
    <x v="3"/>
    <x v="24"/>
    <x v="18"/>
    <n v="55.03"/>
    <x v="3"/>
    <x v="2"/>
  </r>
  <r>
    <x v="3"/>
    <x v="0"/>
    <x v="18"/>
    <n v="42.81"/>
    <x v="7"/>
    <x v="3"/>
  </r>
  <r>
    <x v="3"/>
    <x v="18"/>
    <x v="18"/>
    <n v="64.48"/>
    <x v="8"/>
    <x v="4"/>
  </r>
  <r>
    <x v="0"/>
    <x v="23"/>
    <x v="19"/>
    <n v="3312"/>
    <x v="1"/>
    <x v="0"/>
  </r>
  <r>
    <x v="0"/>
    <x v="0"/>
    <x v="19"/>
    <n v="126047"/>
    <x v="0"/>
    <x v="0"/>
  </r>
  <r>
    <x v="0"/>
    <x v="1"/>
    <x v="19"/>
    <n v="312"/>
    <x v="1"/>
    <x v="0"/>
  </r>
  <r>
    <x v="0"/>
    <x v="2"/>
    <x v="19"/>
    <n v="2354"/>
    <x v="0"/>
    <x v="1"/>
  </r>
  <r>
    <x v="0"/>
    <x v="3"/>
    <x v="19"/>
    <n v="5"/>
    <x v="0"/>
    <x v="1"/>
  </r>
  <r>
    <x v="0"/>
    <x v="4"/>
    <x v="19"/>
    <n v="611"/>
    <x v="0"/>
    <x v="1"/>
  </r>
  <r>
    <x v="0"/>
    <x v="5"/>
    <x v="19"/>
    <n v="4766"/>
    <x v="2"/>
    <x v="0"/>
  </r>
  <r>
    <x v="0"/>
    <x v="6"/>
    <x v="19"/>
    <n v="3802"/>
    <x v="2"/>
    <x v="0"/>
  </r>
  <r>
    <x v="0"/>
    <x v="7"/>
    <x v="19"/>
    <n v="5"/>
    <x v="2"/>
    <x v="0"/>
  </r>
  <r>
    <x v="0"/>
    <x v="8"/>
    <x v="19"/>
    <n v="1818"/>
    <x v="2"/>
    <x v="0"/>
  </r>
  <r>
    <x v="0"/>
    <x v="9"/>
    <x v="19"/>
    <n v="98924"/>
    <x v="3"/>
    <x v="0"/>
  </r>
  <r>
    <x v="0"/>
    <x v="10"/>
    <x v="19"/>
    <n v="0"/>
    <x v="3"/>
    <x v="0"/>
  </r>
  <r>
    <x v="0"/>
    <x v="11"/>
    <x v="19"/>
    <n v="29552"/>
    <x v="3"/>
    <x v="0"/>
  </r>
  <r>
    <x v="0"/>
    <x v="12"/>
    <x v="19"/>
    <n v="0"/>
    <x v="3"/>
    <x v="0"/>
  </r>
  <r>
    <x v="0"/>
    <x v="13"/>
    <x v="19"/>
    <n v="113"/>
    <x v="1"/>
    <x v="0"/>
  </r>
  <r>
    <x v="0"/>
    <x v="14"/>
    <x v="19"/>
    <n v="0"/>
    <x v="1"/>
    <x v="0"/>
  </r>
  <r>
    <x v="0"/>
    <x v="15"/>
    <x v="19"/>
    <n v="362"/>
    <x v="4"/>
    <x v="1"/>
  </r>
  <r>
    <x v="0"/>
    <x v="16"/>
    <x v="19"/>
    <n v="1509"/>
    <x v="4"/>
    <x v="1"/>
  </r>
  <r>
    <x v="0"/>
    <x v="17"/>
    <x v="19"/>
    <n v="107"/>
    <x v="5"/>
    <x v="0"/>
  </r>
  <r>
    <x v="0"/>
    <x v="18"/>
    <x v="19"/>
    <n v="29176"/>
    <x v="0"/>
    <x v="0"/>
  </r>
  <r>
    <x v="0"/>
    <x v="19"/>
    <x v="19"/>
    <n v="936"/>
    <x v="5"/>
    <x v="0"/>
  </r>
  <r>
    <x v="0"/>
    <x v="20"/>
    <x v="19"/>
    <n v="24872"/>
    <x v="2"/>
    <x v="0"/>
  </r>
  <r>
    <x v="0"/>
    <x v="21"/>
    <x v="19"/>
    <n v="0"/>
    <x v="2"/>
    <x v="0"/>
  </r>
  <r>
    <x v="0"/>
    <x v="22"/>
    <x v="19"/>
    <n v="0"/>
    <x v="6"/>
    <x v="0"/>
  </r>
  <r>
    <x v="1"/>
    <x v="23"/>
    <x v="19"/>
    <n v="0"/>
    <x v="1"/>
    <x v="0"/>
  </r>
  <r>
    <x v="1"/>
    <x v="0"/>
    <x v="19"/>
    <n v="3193"/>
    <x v="0"/>
    <x v="0"/>
  </r>
  <r>
    <x v="1"/>
    <x v="1"/>
    <x v="19"/>
    <n v="0"/>
    <x v="1"/>
    <x v="0"/>
  </r>
  <r>
    <x v="1"/>
    <x v="2"/>
    <x v="19"/>
    <n v="109403"/>
    <x v="0"/>
    <x v="1"/>
  </r>
  <r>
    <x v="1"/>
    <x v="3"/>
    <x v="19"/>
    <n v="56"/>
    <x v="0"/>
    <x v="1"/>
  </r>
  <r>
    <x v="1"/>
    <x v="4"/>
    <x v="19"/>
    <n v="1136"/>
    <x v="0"/>
    <x v="1"/>
  </r>
  <r>
    <x v="1"/>
    <x v="5"/>
    <x v="19"/>
    <n v="0"/>
    <x v="2"/>
    <x v="0"/>
  </r>
  <r>
    <x v="1"/>
    <x v="6"/>
    <x v="19"/>
    <n v="0"/>
    <x v="2"/>
    <x v="0"/>
  </r>
  <r>
    <x v="1"/>
    <x v="7"/>
    <x v="19"/>
    <n v="0"/>
    <x v="2"/>
    <x v="0"/>
  </r>
  <r>
    <x v="1"/>
    <x v="8"/>
    <x v="19"/>
    <n v="0"/>
    <x v="2"/>
    <x v="0"/>
  </r>
  <r>
    <x v="1"/>
    <x v="9"/>
    <x v="19"/>
    <n v="1252"/>
    <x v="3"/>
    <x v="0"/>
  </r>
  <r>
    <x v="1"/>
    <x v="10"/>
    <x v="19"/>
    <n v="0"/>
    <x v="3"/>
    <x v="0"/>
  </r>
  <r>
    <x v="1"/>
    <x v="11"/>
    <x v="19"/>
    <n v="3455"/>
    <x v="3"/>
    <x v="0"/>
  </r>
  <r>
    <x v="1"/>
    <x v="12"/>
    <x v="19"/>
    <n v="0"/>
    <x v="3"/>
    <x v="0"/>
  </r>
  <r>
    <x v="1"/>
    <x v="13"/>
    <x v="19"/>
    <n v="0"/>
    <x v="1"/>
    <x v="0"/>
  </r>
  <r>
    <x v="1"/>
    <x v="14"/>
    <x v="19"/>
    <n v="0"/>
    <x v="1"/>
    <x v="0"/>
  </r>
  <r>
    <x v="1"/>
    <x v="15"/>
    <x v="19"/>
    <n v="177531"/>
    <x v="4"/>
    <x v="1"/>
  </r>
  <r>
    <x v="1"/>
    <x v="16"/>
    <x v="19"/>
    <n v="5339"/>
    <x v="4"/>
    <x v="1"/>
  </r>
  <r>
    <x v="1"/>
    <x v="17"/>
    <x v="19"/>
    <n v="0"/>
    <x v="5"/>
    <x v="0"/>
  </r>
  <r>
    <x v="1"/>
    <x v="18"/>
    <x v="19"/>
    <n v="141"/>
    <x v="0"/>
    <x v="0"/>
  </r>
  <r>
    <x v="1"/>
    <x v="19"/>
    <x v="19"/>
    <n v="0"/>
    <x v="5"/>
    <x v="0"/>
  </r>
  <r>
    <x v="1"/>
    <x v="22"/>
    <x v="19"/>
    <n v="0"/>
    <x v="6"/>
    <x v="0"/>
  </r>
  <r>
    <x v="2"/>
    <x v="23"/>
    <x v="19"/>
    <n v="720233"/>
    <x v="1"/>
    <x v="0"/>
  </r>
  <r>
    <x v="2"/>
    <x v="0"/>
    <x v="19"/>
    <n v="18868338"/>
    <x v="0"/>
    <x v="0"/>
  </r>
  <r>
    <x v="2"/>
    <x v="1"/>
    <x v="19"/>
    <n v="74656"/>
    <x v="1"/>
    <x v="0"/>
  </r>
  <r>
    <x v="2"/>
    <x v="2"/>
    <x v="19"/>
    <n v="178080356"/>
    <x v="0"/>
    <x v="1"/>
  </r>
  <r>
    <x v="2"/>
    <x v="3"/>
    <x v="19"/>
    <n v="-24341"/>
    <x v="0"/>
    <x v="1"/>
  </r>
  <r>
    <x v="2"/>
    <x v="4"/>
    <x v="19"/>
    <n v="-5067567"/>
    <x v="0"/>
    <x v="1"/>
  </r>
  <r>
    <x v="2"/>
    <x v="5"/>
    <x v="19"/>
    <n v="573391"/>
    <x v="2"/>
    <x v="0"/>
  </r>
  <r>
    <x v="2"/>
    <x v="6"/>
    <x v="19"/>
    <n v="388137"/>
    <x v="2"/>
    <x v="0"/>
  </r>
  <r>
    <x v="2"/>
    <x v="7"/>
    <x v="19"/>
    <n v="625"/>
    <x v="2"/>
    <x v="0"/>
  </r>
  <r>
    <x v="2"/>
    <x v="8"/>
    <x v="19"/>
    <n v="67128"/>
    <x v="2"/>
    <x v="0"/>
  </r>
  <r>
    <x v="2"/>
    <x v="9"/>
    <x v="19"/>
    <n v="27292139"/>
    <x v="3"/>
    <x v="0"/>
  </r>
  <r>
    <x v="2"/>
    <x v="10"/>
    <x v="19"/>
    <n v="0"/>
    <x v="3"/>
    <x v="0"/>
  </r>
  <r>
    <x v="2"/>
    <x v="11"/>
    <x v="19"/>
    <n v="8254879"/>
    <x v="3"/>
    <x v="0"/>
  </r>
  <r>
    <x v="2"/>
    <x v="12"/>
    <x v="19"/>
    <n v="0"/>
    <x v="3"/>
    <x v="0"/>
  </r>
  <r>
    <x v="2"/>
    <x v="13"/>
    <x v="19"/>
    <n v="53691"/>
    <x v="1"/>
    <x v="0"/>
  </r>
  <r>
    <x v="2"/>
    <x v="14"/>
    <x v="19"/>
    <n v="0"/>
    <x v="1"/>
    <x v="0"/>
  </r>
  <r>
    <x v="2"/>
    <x v="15"/>
    <x v="19"/>
    <n v="319318521"/>
    <x v="4"/>
    <x v="1"/>
  </r>
  <r>
    <x v="2"/>
    <x v="16"/>
    <x v="19"/>
    <n v="-14209197"/>
    <x v="4"/>
    <x v="1"/>
  </r>
  <r>
    <x v="2"/>
    <x v="17"/>
    <x v="19"/>
    <n v="141995"/>
    <x v="5"/>
    <x v="0"/>
  </r>
  <r>
    <x v="2"/>
    <x v="18"/>
    <x v="19"/>
    <n v="3942228"/>
    <x v="0"/>
    <x v="0"/>
  </r>
  <r>
    <x v="2"/>
    <x v="19"/>
    <x v="19"/>
    <n v="191566"/>
    <x v="5"/>
    <x v="0"/>
  </r>
  <r>
    <x v="2"/>
    <x v="22"/>
    <x v="19"/>
    <n v="0"/>
    <x v="6"/>
    <x v="0"/>
  </r>
  <r>
    <x v="3"/>
    <x v="24"/>
    <x v="19"/>
    <n v="52.89"/>
    <x v="3"/>
    <x v="2"/>
  </r>
  <r>
    <x v="3"/>
    <x v="0"/>
    <x v="19"/>
    <n v="44.65"/>
    <x v="7"/>
    <x v="3"/>
  </r>
  <r>
    <x v="3"/>
    <x v="18"/>
    <x v="19"/>
    <n v="39.46"/>
    <x v="8"/>
    <x v="4"/>
  </r>
  <r>
    <x v="0"/>
    <x v="23"/>
    <x v="20"/>
    <n v="3226"/>
    <x v="1"/>
    <x v="0"/>
  </r>
  <r>
    <x v="0"/>
    <x v="0"/>
    <x v="20"/>
    <n v="101684"/>
    <x v="0"/>
    <x v="0"/>
  </r>
  <r>
    <x v="0"/>
    <x v="1"/>
    <x v="20"/>
    <n v="0"/>
    <x v="1"/>
    <x v="0"/>
  </r>
  <r>
    <x v="0"/>
    <x v="2"/>
    <x v="20"/>
    <n v="293"/>
    <x v="0"/>
    <x v="1"/>
  </r>
  <r>
    <x v="0"/>
    <x v="3"/>
    <x v="20"/>
    <n v="0"/>
    <x v="0"/>
    <x v="1"/>
  </r>
  <r>
    <x v="0"/>
    <x v="4"/>
    <x v="20"/>
    <n v="1882"/>
    <x v="0"/>
    <x v="1"/>
  </r>
  <r>
    <x v="0"/>
    <x v="5"/>
    <x v="20"/>
    <n v="15354"/>
    <x v="2"/>
    <x v="0"/>
  </r>
  <r>
    <x v="0"/>
    <x v="6"/>
    <x v="20"/>
    <n v="2904"/>
    <x v="2"/>
    <x v="0"/>
  </r>
  <r>
    <x v="0"/>
    <x v="7"/>
    <x v="20"/>
    <n v="5"/>
    <x v="2"/>
    <x v="0"/>
  </r>
  <r>
    <x v="0"/>
    <x v="8"/>
    <x v="20"/>
    <n v="1901"/>
    <x v="2"/>
    <x v="0"/>
  </r>
  <r>
    <x v="0"/>
    <x v="9"/>
    <x v="20"/>
    <n v="79497"/>
    <x v="3"/>
    <x v="0"/>
  </r>
  <r>
    <x v="0"/>
    <x v="10"/>
    <x v="20"/>
    <n v="0"/>
    <x v="3"/>
    <x v="0"/>
  </r>
  <r>
    <x v="0"/>
    <x v="11"/>
    <x v="20"/>
    <n v="30850"/>
    <x v="3"/>
    <x v="0"/>
  </r>
  <r>
    <x v="0"/>
    <x v="12"/>
    <x v="20"/>
    <n v="0"/>
    <x v="3"/>
    <x v="0"/>
  </r>
  <r>
    <x v="0"/>
    <x v="13"/>
    <x v="20"/>
    <n v="302"/>
    <x v="1"/>
    <x v="0"/>
  </r>
  <r>
    <x v="0"/>
    <x v="14"/>
    <x v="20"/>
    <n v="0"/>
    <x v="1"/>
    <x v="0"/>
  </r>
  <r>
    <x v="0"/>
    <x v="15"/>
    <x v="20"/>
    <n v="0"/>
    <x v="4"/>
    <x v="1"/>
  </r>
  <r>
    <x v="0"/>
    <x v="16"/>
    <x v="20"/>
    <n v="5053"/>
    <x v="4"/>
    <x v="1"/>
  </r>
  <r>
    <x v="0"/>
    <x v="17"/>
    <x v="20"/>
    <n v="1319"/>
    <x v="5"/>
    <x v="0"/>
  </r>
  <r>
    <x v="0"/>
    <x v="18"/>
    <x v="20"/>
    <n v="43742"/>
    <x v="0"/>
    <x v="0"/>
  </r>
  <r>
    <x v="0"/>
    <x v="19"/>
    <x v="20"/>
    <n v="0"/>
    <x v="5"/>
    <x v="0"/>
  </r>
  <r>
    <x v="0"/>
    <x v="20"/>
    <x v="20"/>
    <n v="21286.5"/>
    <x v="2"/>
    <x v="0"/>
  </r>
  <r>
    <x v="0"/>
    <x v="21"/>
    <x v="20"/>
    <n v="11709"/>
    <x v="2"/>
    <x v="0"/>
  </r>
  <r>
    <x v="0"/>
    <x v="22"/>
    <x v="20"/>
    <n v="115"/>
    <x v="6"/>
    <x v="0"/>
  </r>
  <r>
    <x v="1"/>
    <x v="23"/>
    <x v="20"/>
    <n v="0"/>
    <x v="1"/>
    <x v="0"/>
  </r>
  <r>
    <x v="1"/>
    <x v="0"/>
    <x v="20"/>
    <n v="1007"/>
    <x v="0"/>
    <x v="0"/>
  </r>
  <r>
    <x v="1"/>
    <x v="1"/>
    <x v="20"/>
    <n v="0"/>
    <x v="1"/>
    <x v="0"/>
  </r>
  <r>
    <x v="1"/>
    <x v="2"/>
    <x v="20"/>
    <n v="136683"/>
    <x v="0"/>
    <x v="1"/>
  </r>
  <r>
    <x v="1"/>
    <x v="3"/>
    <x v="20"/>
    <n v="71"/>
    <x v="0"/>
    <x v="1"/>
  </r>
  <r>
    <x v="1"/>
    <x v="4"/>
    <x v="20"/>
    <n v="1577"/>
    <x v="0"/>
    <x v="1"/>
  </r>
  <r>
    <x v="1"/>
    <x v="5"/>
    <x v="20"/>
    <n v="0"/>
    <x v="2"/>
    <x v="0"/>
  </r>
  <r>
    <x v="1"/>
    <x v="6"/>
    <x v="20"/>
    <n v="0"/>
    <x v="2"/>
    <x v="0"/>
  </r>
  <r>
    <x v="1"/>
    <x v="7"/>
    <x v="20"/>
    <n v="0"/>
    <x v="2"/>
    <x v="0"/>
  </r>
  <r>
    <x v="1"/>
    <x v="8"/>
    <x v="20"/>
    <n v="0"/>
    <x v="2"/>
    <x v="0"/>
  </r>
  <r>
    <x v="1"/>
    <x v="9"/>
    <x v="20"/>
    <n v="1528"/>
    <x v="3"/>
    <x v="0"/>
  </r>
  <r>
    <x v="1"/>
    <x v="10"/>
    <x v="20"/>
    <n v="0"/>
    <x v="3"/>
    <x v="0"/>
  </r>
  <r>
    <x v="1"/>
    <x v="11"/>
    <x v="20"/>
    <n v="149"/>
    <x v="3"/>
    <x v="0"/>
  </r>
  <r>
    <x v="1"/>
    <x v="12"/>
    <x v="20"/>
    <n v="0"/>
    <x v="3"/>
    <x v="0"/>
  </r>
  <r>
    <x v="1"/>
    <x v="13"/>
    <x v="20"/>
    <n v="0"/>
    <x v="1"/>
    <x v="0"/>
  </r>
  <r>
    <x v="1"/>
    <x v="14"/>
    <x v="20"/>
    <n v="0"/>
    <x v="1"/>
    <x v="0"/>
  </r>
  <r>
    <x v="1"/>
    <x v="15"/>
    <x v="20"/>
    <n v="228468"/>
    <x v="4"/>
    <x v="1"/>
  </r>
  <r>
    <x v="1"/>
    <x v="16"/>
    <x v="20"/>
    <n v="6828"/>
    <x v="4"/>
    <x v="1"/>
  </r>
  <r>
    <x v="1"/>
    <x v="17"/>
    <x v="20"/>
    <n v="0"/>
    <x v="5"/>
    <x v="0"/>
  </r>
  <r>
    <x v="1"/>
    <x v="18"/>
    <x v="20"/>
    <n v="15423"/>
    <x v="0"/>
    <x v="0"/>
  </r>
  <r>
    <x v="1"/>
    <x v="19"/>
    <x v="20"/>
    <n v="0"/>
    <x v="5"/>
    <x v="0"/>
  </r>
  <r>
    <x v="1"/>
    <x v="22"/>
    <x v="20"/>
    <n v="0"/>
    <x v="6"/>
    <x v="0"/>
  </r>
  <r>
    <x v="2"/>
    <x v="23"/>
    <x v="20"/>
    <n v="685786"/>
    <x v="1"/>
    <x v="0"/>
  </r>
  <r>
    <x v="2"/>
    <x v="0"/>
    <x v="20"/>
    <n v="15337173"/>
    <x v="0"/>
    <x v="0"/>
  </r>
  <r>
    <x v="2"/>
    <x v="1"/>
    <x v="20"/>
    <n v="0"/>
    <x v="1"/>
    <x v="0"/>
  </r>
  <r>
    <x v="2"/>
    <x v="2"/>
    <x v="20"/>
    <n v="186093683"/>
    <x v="0"/>
    <x v="1"/>
  </r>
  <r>
    <x v="2"/>
    <x v="3"/>
    <x v="20"/>
    <n v="-49197"/>
    <x v="0"/>
    <x v="1"/>
  </r>
  <r>
    <x v="2"/>
    <x v="4"/>
    <x v="20"/>
    <n v="-5896193"/>
    <x v="0"/>
    <x v="1"/>
  </r>
  <r>
    <x v="2"/>
    <x v="5"/>
    <x v="20"/>
    <n v="589145"/>
    <x v="2"/>
    <x v="0"/>
  </r>
  <r>
    <x v="2"/>
    <x v="6"/>
    <x v="20"/>
    <n v="376080"/>
    <x v="2"/>
    <x v="0"/>
  </r>
  <r>
    <x v="2"/>
    <x v="7"/>
    <x v="20"/>
    <n v="466"/>
    <x v="2"/>
    <x v="0"/>
  </r>
  <r>
    <x v="2"/>
    <x v="8"/>
    <x v="20"/>
    <n v="74857"/>
    <x v="2"/>
    <x v="0"/>
  </r>
  <r>
    <x v="2"/>
    <x v="9"/>
    <x v="20"/>
    <n v="22585155"/>
    <x v="3"/>
    <x v="0"/>
  </r>
  <r>
    <x v="2"/>
    <x v="10"/>
    <x v="20"/>
    <n v="0"/>
    <x v="3"/>
    <x v="0"/>
  </r>
  <r>
    <x v="2"/>
    <x v="11"/>
    <x v="20"/>
    <n v="9870790"/>
    <x v="3"/>
    <x v="0"/>
  </r>
  <r>
    <x v="2"/>
    <x v="12"/>
    <x v="20"/>
    <n v="0"/>
    <x v="3"/>
    <x v="0"/>
  </r>
  <r>
    <x v="2"/>
    <x v="13"/>
    <x v="20"/>
    <n v="143046"/>
    <x v="1"/>
    <x v="0"/>
  </r>
  <r>
    <x v="2"/>
    <x v="14"/>
    <x v="20"/>
    <n v="0"/>
    <x v="1"/>
    <x v="0"/>
  </r>
  <r>
    <x v="2"/>
    <x v="15"/>
    <x v="20"/>
    <n v="338537031"/>
    <x v="4"/>
    <x v="1"/>
  </r>
  <r>
    <x v="2"/>
    <x v="16"/>
    <x v="20"/>
    <n v="-14338164"/>
    <x v="4"/>
    <x v="1"/>
  </r>
  <r>
    <x v="2"/>
    <x v="17"/>
    <x v="20"/>
    <n v="419595"/>
    <x v="5"/>
    <x v="0"/>
  </r>
  <r>
    <x v="2"/>
    <x v="18"/>
    <x v="20"/>
    <n v="6944201"/>
    <x v="0"/>
    <x v="0"/>
  </r>
  <r>
    <x v="2"/>
    <x v="19"/>
    <x v="20"/>
    <n v="0"/>
    <x v="5"/>
    <x v="0"/>
  </r>
  <r>
    <x v="2"/>
    <x v="22"/>
    <x v="20"/>
    <n v="21110"/>
    <x v="6"/>
    <x v="0"/>
  </r>
  <r>
    <x v="3"/>
    <x v="24"/>
    <x v="20"/>
    <n v="53.55"/>
    <x v="3"/>
    <x v="2"/>
  </r>
  <r>
    <x v="3"/>
    <x v="0"/>
    <x v="20"/>
    <n v="43.25"/>
    <x v="7"/>
    <x v="3"/>
  </r>
  <r>
    <x v="3"/>
    <x v="18"/>
    <x v="20"/>
    <n v="63.83"/>
    <x v="8"/>
    <x v="4"/>
  </r>
  <r>
    <x v="0"/>
    <x v="23"/>
    <x v="21"/>
    <n v="4234"/>
    <x v="1"/>
    <x v="0"/>
  </r>
  <r>
    <x v="0"/>
    <x v="0"/>
    <x v="21"/>
    <n v="141371"/>
    <x v="0"/>
    <x v="0"/>
  </r>
  <r>
    <x v="0"/>
    <x v="1"/>
    <x v="21"/>
    <n v="0"/>
    <x v="1"/>
    <x v="0"/>
  </r>
  <r>
    <x v="0"/>
    <x v="2"/>
    <x v="21"/>
    <n v="314"/>
    <x v="0"/>
    <x v="1"/>
  </r>
  <r>
    <x v="0"/>
    <x v="3"/>
    <x v="21"/>
    <n v="0"/>
    <x v="0"/>
    <x v="1"/>
  </r>
  <r>
    <x v="0"/>
    <x v="4"/>
    <x v="21"/>
    <n v="1958"/>
    <x v="0"/>
    <x v="1"/>
  </r>
  <r>
    <x v="0"/>
    <x v="5"/>
    <x v="21"/>
    <n v="20456"/>
    <x v="2"/>
    <x v="0"/>
  </r>
  <r>
    <x v="0"/>
    <x v="6"/>
    <x v="21"/>
    <n v="3044"/>
    <x v="2"/>
    <x v="0"/>
  </r>
  <r>
    <x v="0"/>
    <x v="7"/>
    <x v="21"/>
    <n v="4802"/>
    <x v="2"/>
    <x v="0"/>
  </r>
  <r>
    <x v="0"/>
    <x v="8"/>
    <x v="21"/>
    <n v="2687"/>
    <x v="2"/>
    <x v="0"/>
  </r>
  <r>
    <x v="0"/>
    <x v="9"/>
    <x v="21"/>
    <n v="120639"/>
    <x v="3"/>
    <x v="0"/>
  </r>
  <r>
    <x v="0"/>
    <x v="10"/>
    <x v="21"/>
    <n v="0"/>
    <x v="3"/>
    <x v="0"/>
  </r>
  <r>
    <x v="0"/>
    <x v="11"/>
    <x v="21"/>
    <n v="30190"/>
    <x v="3"/>
    <x v="0"/>
  </r>
  <r>
    <x v="0"/>
    <x v="12"/>
    <x v="21"/>
    <n v="0"/>
    <x v="3"/>
    <x v="0"/>
  </r>
  <r>
    <x v="0"/>
    <x v="13"/>
    <x v="21"/>
    <n v="284"/>
    <x v="1"/>
    <x v="0"/>
  </r>
  <r>
    <x v="0"/>
    <x v="14"/>
    <x v="21"/>
    <n v="0"/>
    <x v="1"/>
    <x v="0"/>
  </r>
  <r>
    <x v="0"/>
    <x v="15"/>
    <x v="21"/>
    <n v="6892"/>
    <x v="4"/>
    <x v="1"/>
  </r>
  <r>
    <x v="0"/>
    <x v="16"/>
    <x v="21"/>
    <n v="6402"/>
    <x v="4"/>
    <x v="1"/>
  </r>
  <r>
    <x v="0"/>
    <x v="17"/>
    <x v="21"/>
    <n v="1410"/>
    <x v="5"/>
    <x v="0"/>
  </r>
  <r>
    <x v="0"/>
    <x v="18"/>
    <x v="21"/>
    <n v="41123"/>
    <x v="0"/>
    <x v="0"/>
  </r>
  <r>
    <x v="0"/>
    <x v="19"/>
    <x v="21"/>
    <n v="0"/>
    <x v="5"/>
    <x v="0"/>
  </r>
  <r>
    <x v="0"/>
    <x v="20"/>
    <x v="21"/>
    <n v="21286.5"/>
    <x v="2"/>
    <x v="0"/>
  </r>
  <r>
    <x v="0"/>
    <x v="21"/>
    <x v="21"/>
    <n v="11709"/>
    <x v="2"/>
    <x v="0"/>
  </r>
  <r>
    <x v="0"/>
    <x v="22"/>
    <x v="21"/>
    <n v="127"/>
    <x v="6"/>
    <x v="0"/>
  </r>
  <r>
    <x v="1"/>
    <x v="23"/>
    <x v="21"/>
    <n v="0"/>
    <x v="1"/>
    <x v="0"/>
  </r>
  <r>
    <x v="1"/>
    <x v="0"/>
    <x v="21"/>
    <n v="220"/>
    <x v="0"/>
    <x v="0"/>
  </r>
  <r>
    <x v="1"/>
    <x v="1"/>
    <x v="21"/>
    <n v="0"/>
    <x v="1"/>
    <x v="0"/>
  </r>
  <r>
    <x v="1"/>
    <x v="2"/>
    <x v="21"/>
    <n v="136860"/>
    <x v="0"/>
    <x v="1"/>
  </r>
  <r>
    <x v="1"/>
    <x v="3"/>
    <x v="21"/>
    <n v="161"/>
    <x v="0"/>
    <x v="1"/>
  </r>
  <r>
    <x v="1"/>
    <x v="4"/>
    <x v="21"/>
    <n v="2233"/>
    <x v="0"/>
    <x v="1"/>
  </r>
  <r>
    <x v="1"/>
    <x v="5"/>
    <x v="21"/>
    <n v="0"/>
    <x v="2"/>
    <x v="0"/>
  </r>
  <r>
    <x v="1"/>
    <x v="6"/>
    <x v="21"/>
    <n v="0"/>
    <x v="2"/>
    <x v="0"/>
  </r>
  <r>
    <x v="1"/>
    <x v="7"/>
    <x v="21"/>
    <n v="0"/>
    <x v="2"/>
    <x v="0"/>
  </r>
  <r>
    <x v="1"/>
    <x v="8"/>
    <x v="21"/>
    <n v="0"/>
    <x v="2"/>
    <x v="0"/>
  </r>
  <r>
    <x v="1"/>
    <x v="9"/>
    <x v="21"/>
    <n v="0"/>
    <x v="3"/>
    <x v="0"/>
  </r>
  <r>
    <x v="1"/>
    <x v="10"/>
    <x v="21"/>
    <n v="0"/>
    <x v="3"/>
    <x v="0"/>
  </r>
  <r>
    <x v="1"/>
    <x v="11"/>
    <x v="21"/>
    <n v="89"/>
    <x v="3"/>
    <x v="0"/>
  </r>
  <r>
    <x v="1"/>
    <x v="12"/>
    <x v="21"/>
    <n v="0"/>
    <x v="3"/>
    <x v="0"/>
  </r>
  <r>
    <x v="1"/>
    <x v="13"/>
    <x v="21"/>
    <n v="0"/>
    <x v="1"/>
    <x v="0"/>
  </r>
  <r>
    <x v="1"/>
    <x v="14"/>
    <x v="21"/>
    <n v="0"/>
    <x v="1"/>
    <x v="0"/>
  </r>
  <r>
    <x v="1"/>
    <x v="15"/>
    <x v="21"/>
    <n v="232984"/>
    <x v="4"/>
    <x v="1"/>
  </r>
  <r>
    <x v="1"/>
    <x v="16"/>
    <x v="21"/>
    <n v="8513"/>
    <x v="4"/>
    <x v="1"/>
  </r>
  <r>
    <x v="1"/>
    <x v="17"/>
    <x v="21"/>
    <n v="0"/>
    <x v="5"/>
    <x v="0"/>
  </r>
  <r>
    <x v="1"/>
    <x v="18"/>
    <x v="21"/>
    <n v="28996"/>
    <x v="0"/>
    <x v="0"/>
  </r>
  <r>
    <x v="1"/>
    <x v="19"/>
    <x v="21"/>
    <n v="0"/>
    <x v="5"/>
    <x v="0"/>
  </r>
  <r>
    <x v="1"/>
    <x v="22"/>
    <x v="21"/>
    <n v="0"/>
    <x v="6"/>
    <x v="0"/>
  </r>
  <r>
    <x v="2"/>
    <x v="23"/>
    <x v="21"/>
    <n v="749677"/>
    <x v="1"/>
    <x v="0"/>
  </r>
  <r>
    <x v="2"/>
    <x v="0"/>
    <x v="21"/>
    <n v="20420611"/>
    <x v="0"/>
    <x v="0"/>
  </r>
  <r>
    <x v="2"/>
    <x v="1"/>
    <x v="21"/>
    <n v="0"/>
    <x v="1"/>
    <x v="0"/>
  </r>
  <r>
    <x v="2"/>
    <x v="2"/>
    <x v="21"/>
    <n v="186303226"/>
    <x v="0"/>
    <x v="1"/>
  </r>
  <r>
    <x v="2"/>
    <x v="3"/>
    <x v="21"/>
    <n v="-111794"/>
    <x v="0"/>
    <x v="1"/>
  </r>
  <r>
    <x v="2"/>
    <x v="4"/>
    <x v="21"/>
    <n v="-4577061"/>
    <x v="0"/>
    <x v="1"/>
  </r>
  <r>
    <x v="2"/>
    <x v="5"/>
    <x v="21"/>
    <n v="730594"/>
    <x v="2"/>
    <x v="0"/>
  </r>
  <r>
    <x v="2"/>
    <x v="6"/>
    <x v="21"/>
    <n v="391958"/>
    <x v="2"/>
    <x v="0"/>
  </r>
  <r>
    <x v="2"/>
    <x v="7"/>
    <x v="21"/>
    <n v="158788"/>
    <x v="2"/>
    <x v="0"/>
  </r>
  <r>
    <x v="2"/>
    <x v="8"/>
    <x v="21"/>
    <n v="108611"/>
    <x v="2"/>
    <x v="0"/>
  </r>
  <r>
    <x v="2"/>
    <x v="9"/>
    <x v="21"/>
    <n v="35498361"/>
    <x v="3"/>
    <x v="0"/>
  </r>
  <r>
    <x v="2"/>
    <x v="10"/>
    <x v="21"/>
    <n v="0"/>
    <x v="3"/>
    <x v="0"/>
  </r>
  <r>
    <x v="2"/>
    <x v="11"/>
    <x v="21"/>
    <n v="9635901"/>
    <x v="3"/>
    <x v="0"/>
  </r>
  <r>
    <x v="2"/>
    <x v="12"/>
    <x v="21"/>
    <n v="0"/>
    <x v="3"/>
    <x v="0"/>
  </r>
  <r>
    <x v="2"/>
    <x v="13"/>
    <x v="21"/>
    <n v="136047"/>
    <x v="1"/>
    <x v="0"/>
  </r>
  <r>
    <x v="2"/>
    <x v="14"/>
    <x v="21"/>
    <n v="0"/>
    <x v="1"/>
    <x v="0"/>
  </r>
  <r>
    <x v="2"/>
    <x v="15"/>
    <x v="21"/>
    <n v="335019488"/>
    <x v="4"/>
    <x v="1"/>
  </r>
  <r>
    <x v="2"/>
    <x v="16"/>
    <x v="21"/>
    <n v="-18507064"/>
    <x v="4"/>
    <x v="1"/>
  </r>
  <r>
    <x v="2"/>
    <x v="17"/>
    <x v="21"/>
    <n v="691611"/>
    <x v="5"/>
    <x v="0"/>
  </r>
  <r>
    <x v="2"/>
    <x v="18"/>
    <x v="21"/>
    <n v="-447123"/>
    <x v="0"/>
    <x v="0"/>
  </r>
  <r>
    <x v="2"/>
    <x v="19"/>
    <x v="21"/>
    <n v="0"/>
    <x v="5"/>
    <x v="0"/>
  </r>
  <r>
    <x v="2"/>
    <x v="22"/>
    <x v="21"/>
    <n v="25066"/>
    <x v="6"/>
    <x v="0"/>
  </r>
  <r>
    <x v="3"/>
    <x v="24"/>
    <x v="21"/>
    <n v="53.66"/>
    <x v="3"/>
    <x v="2"/>
  </r>
  <r>
    <x v="3"/>
    <x v="0"/>
    <x v="21"/>
    <n v="40.49"/>
    <x v="7"/>
    <x v="3"/>
  </r>
  <r>
    <x v="3"/>
    <x v="18"/>
    <x v="21"/>
    <n v="304.47000000000003"/>
    <x v="8"/>
    <x v="4"/>
  </r>
  <r>
    <x v="0"/>
    <x v="23"/>
    <x v="22"/>
    <n v="9407"/>
    <x v="1"/>
    <x v="0"/>
  </r>
  <r>
    <x v="0"/>
    <x v="0"/>
    <x v="22"/>
    <n v="145290"/>
    <x v="0"/>
    <x v="0"/>
  </r>
  <r>
    <x v="0"/>
    <x v="1"/>
    <x v="22"/>
    <n v="0"/>
    <x v="1"/>
    <x v="0"/>
  </r>
  <r>
    <x v="0"/>
    <x v="2"/>
    <x v="22"/>
    <n v="186"/>
    <x v="0"/>
    <x v="1"/>
  </r>
  <r>
    <x v="0"/>
    <x v="3"/>
    <x v="22"/>
    <n v="0"/>
    <x v="0"/>
    <x v="1"/>
  </r>
  <r>
    <x v="0"/>
    <x v="4"/>
    <x v="22"/>
    <n v="2339"/>
    <x v="0"/>
    <x v="1"/>
  </r>
  <r>
    <x v="0"/>
    <x v="5"/>
    <x v="22"/>
    <n v="23303"/>
    <x v="2"/>
    <x v="0"/>
  </r>
  <r>
    <x v="0"/>
    <x v="6"/>
    <x v="22"/>
    <n v="5692"/>
    <x v="2"/>
    <x v="0"/>
  </r>
  <r>
    <x v="0"/>
    <x v="7"/>
    <x v="22"/>
    <n v="3546"/>
    <x v="2"/>
    <x v="0"/>
  </r>
  <r>
    <x v="0"/>
    <x v="8"/>
    <x v="22"/>
    <n v="5360"/>
    <x v="2"/>
    <x v="0"/>
  </r>
  <r>
    <x v="0"/>
    <x v="9"/>
    <x v="22"/>
    <n v="117834"/>
    <x v="3"/>
    <x v="0"/>
  </r>
  <r>
    <x v="0"/>
    <x v="10"/>
    <x v="22"/>
    <n v="0"/>
    <x v="3"/>
    <x v="0"/>
  </r>
  <r>
    <x v="0"/>
    <x v="11"/>
    <x v="22"/>
    <n v="38072"/>
    <x v="3"/>
    <x v="0"/>
  </r>
  <r>
    <x v="0"/>
    <x v="12"/>
    <x v="22"/>
    <n v="0"/>
    <x v="3"/>
    <x v="0"/>
  </r>
  <r>
    <x v="0"/>
    <x v="13"/>
    <x v="22"/>
    <n v="89"/>
    <x v="1"/>
    <x v="0"/>
  </r>
  <r>
    <x v="0"/>
    <x v="14"/>
    <x v="22"/>
    <n v="0"/>
    <x v="1"/>
    <x v="0"/>
  </r>
  <r>
    <x v="0"/>
    <x v="15"/>
    <x v="22"/>
    <n v="369"/>
    <x v="4"/>
    <x v="1"/>
  </r>
  <r>
    <x v="0"/>
    <x v="16"/>
    <x v="22"/>
    <n v="6538"/>
    <x v="4"/>
    <x v="1"/>
  </r>
  <r>
    <x v="0"/>
    <x v="17"/>
    <x v="22"/>
    <n v="338"/>
    <x v="5"/>
    <x v="0"/>
  </r>
  <r>
    <x v="0"/>
    <x v="18"/>
    <x v="22"/>
    <n v="20090"/>
    <x v="0"/>
    <x v="0"/>
  </r>
  <r>
    <x v="0"/>
    <x v="19"/>
    <x v="22"/>
    <n v="724"/>
    <x v="5"/>
    <x v="0"/>
  </r>
  <r>
    <x v="0"/>
    <x v="20"/>
    <x v="22"/>
    <n v="27644"/>
    <x v="2"/>
    <x v="0"/>
  </r>
  <r>
    <x v="0"/>
    <x v="21"/>
    <x v="22"/>
    <n v="11709"/>
    <x v="2"/>
    <x v="0"/>
  </r>
  <r>
    <x v="0"/>
    <x v="22"/>
    <x v="22"/>
    <n v="88"/>
    <x v="6"/>
    <x v="0"/>
  </r>
  <r>
    <x v="1"/>
    <x v="23"/>
    <x v="22"/>
    <n v="0"/>
    <x v="1"/>
    <x v="0"/>
  </r>
  <r>
    <x v="1"/>
    <x v="0"/>
    <x v="22"/>
    <n v="2241"/>
    <x v="0"/>
    <x v="0"/>
  </r>
  <r>
    <x v="1"/>
    <x v="1"/>
    <x v="22"/>
    <n v="0"/>
    <x v="1"/>
    <x v="0"/>
  </r>
  <r>
    <x v="1"/>
    <x v="2"/>
    <x v="22"/>
    <n v="149753"/>
    <x v="0"/>
    <x v="1"/>
  </r>
  <r>
    <x v="1"/>
    <x v="3"/>
    <x v="22"/>
    <n v="131"/>
    <x v="0"/>
    <x v="1"/>
  </r>
  <r>
    <x v="1"/>
    <x v="4"/>
    <x v="22"/>
    <n v="2069"/>
    <x v="0"/>
    <x v="1"/>
  </r>
  <r>
    <x v="1"/>
    <x v="5"/>
    <x v="22"/>
    <n v="0"/>
    <x v="2"/>
    <x v="0"/>
  </r>
  <r>
    <x v="1"/>
    <x v="6"/>
    <x v="22"/>
    <n v="0"/>
    <x v="2"/>
    <x v="0"/>
  </r>
  <r>
    <x v="1"/>
    <x v="7"/>
    <x v="22"/>
    <n v="0"/>
    <x v="2"/>
    <x v="0"/>
  </r>
  <r>
    <x v="1"/>
    <x v="8"/>
    <x v="22"/>
    <n v="0"/>
    <x v="2"/>
    <x v="0"/>
  </r>
  <r>
    <x v="1"/>
    <x v="9"/>
    <x v="22"/>
    <n v="259"/>
    <x v="3"/>
    <x v="0"/>
  </r>
  <r>
    <x v="1"/>
    <x v="10"/>
    <x v="22"/>
    <n v="0"/>
    <x v="3"/>
    <x v="0"/>
  </r>
  <r>
    <x v="1"/>
    <x v="11"/>
    <x v="22"/>
    <n v="2854"/>
    <x v="3"/>
    <x v="0"/>
  </r>
  <r>
    <x v="1"/>
    <x v="12"/>
    <x v="22"/>
    <n v="0"/>
    <x v="3"/>
    <x v="0"/>
  </r>
  <r>
    <x v="1"/>
    <x v="13"/>
    <x v="22"/>
    <n v="0"/>
    <x v="1"/>
    <x v="0"/>
  </r>
  <r>
    <x v="1"/>
    <x v="14"/>
    <x v="22"/>
    <n v="0"/>
    <x v="1"/>
    <x v="0"/>
  </r>
  <r>
    <x v="1"/>
    <x v="15"/>
    <x v="22"/>
    <n v="267660"/>
    <x v="4"/>
    <x v="1"/>
  </r>
  <r>
    <x v="1"/>
    <x v="16"/>
    <x v="22"/>
    <n v="7956"/>
    <x v="4"/>
    <x v="1"/>
  </r>
  <r>
    <x v="1"/>
    <x v="17"/>
    <x v="22"/>
    <n v="0"/>
    <x v="5"/>
    <x v="0"/>
  </r>
  <r>
    <x v="1"/>
    <x v="18"/>
    <x v="22"/>
    <n v="176"/>
    <x v="0"/>
    <x v="0"/>
  </r>
  <r>
    <x v="1"/>
    <x v="19"/>
    <x v="22"/>
    <n v="0"/>
    <x v="5"/>
    <x v="0"/>
  </r>
  <r>
    <x v="1"/>
    <x v="22"/>
    <x v="22"/>
    <n v="0"/>
    <x v="6"/>
    <x v="0"/>
  </r>
  <r>
    <x v="2"/>
    <x v="23"/>
    <x v="22"/>
    <n v="877412"/>
    <x v="1"/>
    <x v="0"/>
  </r>
  <r>
    <x v="2"/>
    <x v="0"/>
    <x v="22"/>
    <n v="21236584"/>
    <x v="0"/>
    <x v="0"/>
  </r>
  <r>
    <x v="2"/>
    <x v="1"/>
    <x v="22"/>
    <n v="0"/>
    <x v="1"/>
    <x v="0"/>
  </r>
  <r>
    <x v="2"/>
    <x v="2"/>
    <x v="22"/>
    <n v="204072070"/>
    <x v="0"/>
    <x v="1"/>
  </r>
  <r>
    <x v="2"/>
    <x v="3"/>
    <x v="22"/>
    <n v="-91233"/>
    <x v="0"/>
    <x v="1"/>
  </r>
  <r>
    <x v="2"/>
    <x v="4"/>
    <x v="22"/>
    <n v="-7472751"/>
    <x v="0"/>
    <x v="1"/>
  </r>
  <r>
    <x v="2"/>
    <x v="5"/>
    <x v="22"/>
    <n v="808479"/>
    <x v="2"/>
    <x v="0"/>
  </r>
  <r>
    <x v="2"/>
    <x v="6"/>
    <x v="22"/>
    <n v="393256"/>
    <x v="2"/>
    <x v="0"/>
  </r>
  <r>
    <x v="2"/>
    <x v="7"/>
    <x v="22"/>
    <n v="117356"/>
    <x v="2"/>
    <x v="0"/>
  </r>
  <r>
    <x v="2"/>
    <x v="8"/>
    <x v="22"/>
    <n v="141880"/>
    <x v="2"/>
    <x v="0"/>
  </r>
  <r>
    <x v="2"/>
    <x v="9"/>
    <x v="22"/>
    <n v="34468597"/>
    <x v="3"/>
    <x v="0"/>
  </r>
  <r>
    <x v="2"/>
    <x v="10"/>
    <x v="22"/>
    <n v="0"/>
    <x v="3"/>
    <x v="0"/>
  </r>
  <r>
    <x v="2"/>
    <x v="11"/>
    <x v="22"/>
    <n v="11299103"/>
    <x v="3"/>
    <x v="0"/>
  </r>
  <r>
    <x v="2"/>
    <x v="12"/>
    <x v="22"/>
    <n v="0"/>
    <x v="3"/>
    <x v="0"/>
  </r>
  <r>
    <x v="2"/>
    <x v="13"/>
    <x v="22"/>
    <n v="38773"/>
    <x v="1"/>
    <x v="0"/>
  </r>
  <r>
    <x v="2"/>
    <x v="14"/>
    <x v="22"/>
    <n v="0"/>
    <x v="1"/>
    <x v="0"/>
  </r>
  <r>
    <x v="2"/>
    <x v="15"/>
    <x v="22"/>
    <n v="396067222"/>
    <x v="4"/>
    <x v="1"/>
  </r>
  <r>
    <x v="2"/>
    <x v="16"/>
    <x v="22"/>
    <n v="-20717409"/>
    <x v="4"/>
    <x v="1"/>
  </r>
  <r>
    <x v="2"/>
    <x v="17"/>
    <x v="22"/>
    <n v="412444"/>
    <x v="5"/>
    <x v="0"/>
  </r>
  <r>
    <x v="2"/>
    <x v="18"/>
    <x v="22"/>
    <n v="3308553"/>
    <x v="0"/>
    <x v="0"/>
  </r>
  <r>
    <x v="2"/>
    <x v="19"/>
    <x v="22"/>
    <n v="121787"/>
    <x v="5"/>
    <x v="0"/>
  </r>
  <r>
    <x v="2"/>
    <x v="22"/>
    <x v="22"/>
    <n v="17257"/>
    <x v="6"/>
    <x v="0"/>
  </r>
  <r>
    <x v="3"/>
    <x v="24"/>
    <x v="22"/>
    <n v="53.67"/>
    <x v="3"/>
    <x v="2"/>
  </r>
  <r>
    <x v="3"/>
    <x v="0"/>
    <x v="22"/>
    <n v="41.89"/>
    <x v="7"/>
    <x v="3"/>
  </r>
  <r>
    <x v="3"/>
    <x v="18"/>
    <x v="22"/>
    <n v="48.86"/>
    <x v="8"/>
    <x v="4"/>
  </r>
  <r>
    <x v="0"/>
    <x v="23"/>
    <x v="23"/>
    <n v="11336"/>
    <x v="1"/>
    <x v="0"/>
  </r>
  <r>
    <x v="0"/>
    <x v="0"/>
    <x v="23"/>
    <n v="132226"/>
    <x v="0"/>
    <x v="0"/>
  </r>
  <r>
    <x v="0"/>
    <x v="1"/>
    <x v="23"/>
    <n v="0"/>
    <x v="1"/>
    <x v="0"/>
  </r>
  <r>
    <x v="0"/>
    <x v="2"/>
    <x v="23"/>
    <n v="538"/>
    <x v="0"/>
    <x v="1"/>
  </r>
  <r>
    <x v="0"/>
    <x v="3"/>
    <x v="23"/>
    <n v="10"/>
    <x v="0"/>
    <x v="1"/>
  </r>
  <r>
    <x v="0"/>
    <x v="4"/>
    <x v="23"/>
    <n v="2053"/>
    <x v="0"/>
    <x v="1"/>
  </r>
  <r>
    <x v="0"/>
    <x v="5"/>
    <x v="23"/>
    <n v="24851"/>
    <x v="2"/>
    <x v="0"/>
  </r>
  <r>
    <x v="0"/>
    <x v="6"/>
    <x v="23"/>
    <n v="5514"/>
    <x v="2"/>
    <x v="0"/>
  </r>
  <r>
    <x v="0"/>
    <x v="7"/>
    <x v="23"/>
    <n v="5836"/>
    <x v="2"/>
    <x v="0"/>
  </r>
  <r>
    <x v="0"/>
    <x v="8"/>
    <x v="23"/>
    <n v="5630"/>
    <x v="2"/>
    <x v="0"/>
  </r>
  <r>
    <x v="0"/>
    <x v="9"/>
    <x v="23"/>
    <n v="98675"/>
    <x v="3"/>
    <x v="0"/>
  </r>
  <r>
    <x v="0"/>
    <x v="10"/>
    <x v="23"/>
    <n v="0"/>
    <x v="3"/>
    <x v="0"/>
  </r>
  <r>
    <x v="0"/>
    <x v="11"/>
    <x v="23"/>
    <n v="34198"/>
    <x v="3"/>
    <x v="0"/>
  </r>
  <r>
    <x v="0"/>
    <x v="12"/>
    <x v="23"/>
    <n v="0"/>
    <x v="3"/>
    <x v="0"/>
  </r>
  <r>
    <x v="0"/>
    <x v="13"/>
    <x v="23"/>
    <n v="16"/>
    <x v="1"/>
    <x v="0"/>
  </r>
  <r>
    <x v="0"/>
    <x v="14"/>
    <x v="23"/>
    <n v="0"/>
    <x v="1"/>
    <x v="0"/>
  </r>
  <r>
    <x v="0"/>
    <x v="15"/>
    <x v="23"/>
    <n v="1747"/>
    <x v="4"/>
    <x v="1"/>
  </r>
  <r>
    <x v="0"/>
    <x v="16"/>
    <x v="23"/>
    <n v="5755"/>
    <x v="4"/>
    <x v="1"/>
  </r>
  <r>
    <x v="0"/>
    <x v="17"/>
    <x v="23"/>
    <n v="454"/>
    <x v="5"/>
    <x v="0"/>
  </r>
  <r>
    <x v="0"/>
    <x v="18"/>
    <x v="23"/>
    <n v="27789"/>
    <x v="0"/>
    <x v="0"/>
  </r>
  <r>
    <x v="0"/>
    <x v="19"/>
    <x v="23"/>
    <n v="866"/>
    <x v="5"/>
    <x v="0"/>
  </r>
  <r>
    <x v="0"/>
    <x v="20"/>
    <x v="23"/>
    <n v="27644"/>
    <x v="2"/>
    <x v="0"/>
  </r>
  <r>
    <x v="0"/>
    <x v="21"/>
    <x v="23"/>
    <n v="11708"/>
    <x v="2"/>
    <x v="0"/>
  </r>
  <r>
    <x v="0"/>
    <x v="22"/>
    <x v="23"/>
    <n v="83"/>
    <x v="6"/>
    <x v="0"/>
  </r>
  <r>
    <x v="1"/>
    <x v="23"/>
    <x v="23"/>
    <n v="0"/>
    <x v="1"/>
    <x v="0"/>
  </r>
  <r>
    <x v="1"/>
    <x v="0"/>
    <x v="23"/>
    <n v="200"/>
    <x v="0"/>
    <x v="0"/>
  </r>
  <r>
    <x v="1"/>
    <x v="1"/>
    <x v="23"/>
    <n v="0"/>
    <x v="1"/>
    <x v="0"/>
  </r>
  <r>
    <x v="1"/>
    <x v="2"/>
    <x v="23"/>
    <n v="126085"/>
    <x v="0"/>
    <x v="1"/>
  </r>
  <r>
    <x v="1"/>
    <x v="3"/>
    <x v="23"/>
    <n v="120"/>
    <x v="0"/>
    <x v="1"/>
  </r>
  <r>
    <x v="1"/>
    <x v="4"/>
    <x v="23"/>
    <n v="1396"/>
    <x v="0"/>
    <x v="1"/>
  </r>
  <r>
    <x v="1"/>
    <x v="5"/>
    <x v="23"/>
    <n v="0"/>
    <x v="2"/>
    <x v="0"/>
  </r>
  <r>
    <x v="1"/>
    <x v="6"/>
    <x v="23"/>
    <n v="0"/>
    <x v="2"/>
    <x v="0"/>
  </r>
  <r>
    <x v="1"/>
    <x v="7"/>
    <x v="23"/>
    <n v="0"/>
    <x v="2"/>
    <x v="0"/>
  </r>
  <r>
    <x v="1"/>
    <x v="8"/>
    <x v="23"/>
    <n v="0"/>
    <x v="2"/>
    <x v="0"/>
  </r>
  <r>
    <x v="1"/>
    <x v="9"/>
    <x v="23"/>
    <n v="1640"/>
    <x v="3"/>
    <x v="0"/>
  </r>
  <r>
    <x v="1"/>
    <x v="10"/>
    <x v="23"/>
    <n v="0"/>
    <x v="3"/>
    <x v="0"/>
  </r>
  <r>
    <x v="1"/>
    <x v="11"/>
    <x v="23"/>
    <n v="860"/>
    <x v="3"/>
    <x v="0"/>
  </r>
  <r>
    <x v="1"/>
    <x v="12"/>
    <x v="23"/>
    <n v="0"/>
    <x v="3"/>
    <x v="0"/>
  </r>
  <r>
    <x v="1"/>
    <x v="13"/>
    <x v="23"/>
    <n v="0"/>
    <x v="1"/>
    <x v="0"/>
  </r>
  <r>
    <x v="1"/>
    <x v="14"/>
    <x v="23"/>
    <n v="0"/>
    <x v="1"/>
    <x v="0"/>
  </r>
  <r>
    <x v="1"/>
    <x v="15"/>
    <x v="23"/>
    <n v="228147"/>
    <x v="4"/>
    <x v="1"/>
  </r>
  <r>
    <x v="1"/>
    <x v="16"/>
    <x v="23"/>
    <n v="7096"/>
    <x v="4"/>
    <x v="1"/>
  </r>
  <r>
    <x v="1"/>
    <x v="17"/>
    <x v="23"/>
    <n v="0"/>
    <x v="5"/>
    <x v="0"/>
  </r>
  <r>
    <x v="1"/>
    <x v="18"/>
    <x v="23"/>
    <n v="13383"/>
    <x v="0"/>
    <x v="0"/>
  </r>
  <r>
    <x v="1"/>
    <x v="19"/>
    <x v="23"/>
    <n v="0"/>
    <x v="5"/>
    <x v="0"/>
  </r>
  <r>
    <x v="1"/>
    <x v="22"/>
    <x v="23"/>
    <n v="0"/>
    <x v="6"/>
    <x v="0"/>
  </r>
  <r>
    <x v="2"/>
    <x v="23"/>
    <x v="23"/>
    <n v="902449"/>
    <x v="1"/>
    <x v="0"/>
  </r>
  <r>
    <x v="2"/>
    <x v="0"/>
    <x v="23"/>
    <n v="19671011"/>
    <x v="0"/>
    <x v="0"/>
  </r>
  <r>
    <x v="2"/>
    <x v="1"/>
    <x v="23"/>
    <n v="0"/>
    <x v="1"/>
    <x v="0"/>
  </r>
  <r>
    <x v="2"/>
    <x v="2"/>
    <x v="23"/>
    <n v="171297309"/>
    <x v="0"/>
    <x v="1"/>
  </r>
  <r>
    <x v="2"/>
    <x v="3"/>
    <x v="23"/>
    <n v="-54634"/>
    <x v="0"/>
    <x v="1"/>
  </r>
  <r>
    <x v="2"/>
    <x v="4"/>
    <x v="23"/>
    <n v="-7510373"/>
    <x v="0"/>
    <x v="1"/>
  </r>
  <r>
    <x v="2"/>
    <x v="5"/>
    <x v="23"/>
    <n v="863348"/>
    <x v="2"/>
    <x v="0"/>
  </r>
  <r>
    <x v="2"/>
    <x v="6"/>
    <x v="23"/>
    <n v="383894"/>
    <x v="2"/>
    <x v="0"/>
  </r>
  <r>
    <x v="2"/>
    <x v="7"/>
    <x v="23"/>
    <n v="172091"/>
    <x v="2"/>
    <x v="0"/>
  </r>
  <r>
    <x v="2"/>
    <x v="8"/>
    <x v="23"/>
    <n v="146167"/>
    <x v="2"/>
    <x v="0"/>
  </r>
  <r>
    <x v="2"/>
    <x v="9"/>
    <x v="23"/>
    <n v="28661261"/>
    <x v="3"/>
    <x v="0"/>
  </r>
  <r>
    <x v="2"/>
    <x v="10"/>
    <x v="23"/>
    <n v="0"/>
    <x v="3"/>
    <x v="0"/>
  </r>
  <r>
    <x v="2"/>
    <x v="11"/>
    <x v="23"/>
    <n v="10690728"/>
    <x v="3"/>
    <x v="0"/>
  </r>
  <r>
    <x v="2"/>
    <x v="12"/>
    <x v="23"/>
    <n v="0"/>
    <x v="3"/>
    <x v="0"/>
  </r>
  <r>
    <x v="2"/>
    <x v="13"/>
    <x v="23"/>
    <n v="9309"/>
    <x v="1"/>
    <x v="0"/>
  </r>
  <r>
    <x v="2"/>
    <x v="14"/>
    <x v="23"/>
    <n v="0"/>
    <x v="1"/>
    <x v="0"/>
  </r>
  <r>
    <x v="2"/>
    <x v="15"/>
    <x v="23"/>
    <n v="335476352"/>
    <x v="4"/>
    <x v="1"/>
  </r>
  <r>
    <x v="2"/>
    <x v="16"/>
    <x v="23"/>
    <n v="-17988756"/>
    <x v="4"/>
    <x v="1"/>
  </r>
  <r>
    <x v="2"/>
    <x v="17"/>
    <x v="23"/>
    <n v="631223"/>
    <x v="5"/>
    <x v="0"/>
  </r>
  <r>
    <x v="2"/>
    <x v="18"/>
    <x v="23"/>
    <n v="85108"/>
    <x v="0"/>
    <x v="0"/>
  </r>
  <r>
    <x v="2"/>
    <x v="19"/>
    <x v="23"/>
    <n v="167601"/>
    <x v="5"/>
    <x v="0"/>
  </r>
  <r>
    <x v="2"/>
    <x v="22"/>
    <x v="23"/>
    <n v="16399"/>
    <x v="6"/>
    <x v="0"/>
  </r>
  <r>
    <x v="3"/>
    <x v="24"/>
    <x v="23"/>
    <n v="53.98"/>
    <x v="3"/>
    <x v="2"/>
  </r>
  <r>
    <x v="3"/>
    <x v="0"/>
    <x v="23"/>
    <n v="42.08"/>
    <x v="7"/>
    <x v="3"/>
  </r>
  <r>
    <x v="3"/>
    <x v="18"/>
    <x v="23"/>
    <n v="-1210.6099999999999"/>
    <x v="8"/>
    <x v="4"/>
  </r>
  <r>
    <x v="0"/>
    <x v="23"/>
    <x v="0"/>
    <n v="0"/>
    <x v="1"/>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3">
  <r>
    <x v="0"/>
    <x v="0"/>
    <s v="3Degrees Group, Inc."/>
    <x v="0"/>
    <x v="0"/>
    <x v="0"/>
    <m/>
    <x v="0"/>
  </r>
  <r>
    <x v="0"/>
    <x v="0"/>
    <s v="CleanFuture, Inc."/>
    <x v="1"/>
    <x v="1"/>
    <x v="1"/>
    <n v="850000"/>
    <x v="1"/>
  </r>
  <r>
    <x v="0"/>
    <x v="0"/>
    <s v="CleanFuture, Inc."/>
    <x v="2"/>
    <x v="2"/>
    <x v="1"/>
    <n v="3500000"/>
    <x v="2"/>
  </r>
  <r>
    <x v="0"/>
    <x v="0"/>
    <s v="CleanFuture, Inc."/>
    <x v="3"/>
    <x v="0"/>
    <x v="1"/>
    <n v="450000"/>
    <x v="3"/>
  </r>
  <r>
    <x v="0"/>
    <x v="0"/>
    <s v="Degrees3 Transportation Solutions, LLC"/>
    <x v="4"/>
    <x v="3"/>
    <x v="1"/>
    <n v="17520000"/>
    <x v="4"/>
  </r>
  <r>
    <x v="0"/>
    <x v="0"/>
    <s v="Degrees3 Transportation Solutions, LLC"/>
    <x v="5"/>
    <x v="4"/>
    <x v="1"/>
    <n v="14016000"/>
    <x v="5"/>
  </r>
  <r>
    <x v="0"/>
    <x v="0"/>
    <s v="River Birch Landfill"/>
    <x v="6"/>
    <x v="5"/>
    <x v="2"/>
    <n v="525600000"/>
    <x v="6"/>
  </r>
  <r>
    <x v="0"/>
    <x v="1"/>
    <s v="Dakota Prairie Refining"/>
    <x v="7"/>
    <x v="6"/>
    <x v="3"/>
    <n v="184000000"/>
    <x v="7"/>
  </r>
  <r>
    <x v="0"/>
    <x v="2"/>
    <s v="Canary Biofuels Inc."/>
    <x v="8"/>
    <x v="7"/>
    <x v="4"/>
    <n v="20000000"/>
    <x v="8"/>
  </r>
  <r>
    <x v="0"/>
    <x v="2"/>
    <s v="Canary Biofuels Inc."/>
    <x v="8"/>
    <x v="7"/>
    <x v="3"/>
    <n v="20000000"/>
    <x v="9"/>
  </r>
  <r>
    <x v="0"/>
    <x v="3"/>
    <s v="REG Newton, LLC"/>
    <x v="9"/>
    <x v="8"/>
    <x v="4"/>
    <n v="55300000"/>
    <x v="10"/>
  </r>
  <r>
    <x v="0"/>
    <x v="4"/>
    <s v="REG Seneca"/>
    <x v="10"/>
    <x v="9"/>
    <x v="4"/>
    <n v="60000000"/>
    <x v="11"/>
  </r>
  <r>
    <x v="0"/>
    <x v="5"/>
    <s v="Cargill Biodiesel"/>
    <x v="11"/>
    <x v="8"/>
    <x v="4"/>
    <n v="69350000"/>
    <x v="12"/>
  </r>
  <r>
    <x v="0"/>
    <x v="6"/>
    <s v="Pacific Ethanol Holding Co LLC"/>
    <x v="12"/>
    <x v="1"/>
    <x v="5"/>
    <n v="40000000"/>
    <x v="13"/>
  </r>
  <r>
    <x v="0"/>
    <x v="7"/>
    <s v="REG DANVILLE, LLC"/>
    <x v="13"/>
    <x v="9"/>
    <x v="4"/>
    <n v="60000000"/>
    <x v="14"/>
  </r>
  <r>
    <x v="0"/>
    <x v="8"/>
    <s v="Thumb BioEnergy, LLC"/>
    <x v="14"/>
    <x v="10"/>
    <x v="4"/>
    <n v="750000"/>
    <x v="15"/>
  </r>
  <r>
    <x v="0"/>
    <x v="9"/>
    <s v="Consolidated Biofuels Ltd."/>
    <x v="15"/>
    <x v="11"/>
    <x v="4"/>
    <n v="51038199"/>
    <x v="16"/>
  </r>
  <r>
    <x v="0"/>
    <x v="10"/>
    <s v="Sinclair Wyoming Refining Company"/>
    <x v="16"/>
    <x v="12"/>
    <x v="3"/>
    <n v="70000000"/>
    <x v="17"/>
  </r>
  <r>
    <x v="0"/>
    <x v="11"/>
    <s v="Siouxland Energy Cooperative"/>
    <x v="17"/>
    <x v="8"/>
    <x v="5"/>
    <n v="290756447"/>
    <x v="18"/>
  </r>
  <r>
    <x v="0"/>
    <x v="12"/>
    <s v="Redfield Energy,"/>
    <x v="18"/>
    <x v="13"/>
    <x v="5"/>
    <n v="70000000"/>
    <x v="19"/>
  </r>
  <r>
    <x v="0"/>
    <x v="13"/>
    <s v="Bushmills Ethanol, Inc."/>
    <x v="19"/>
    <x v="14"/>
    <x v="5"/>
    <n v="65000000"/>
    <x v="20"/>
  </r>
  <r>
    <x v="0"/>
    <x v="14"/>
    <s v="Neste Singapore Pte Ltd"/>
    <x v="20"/>
    <x v="15"/>
    <x v="3"/>
    <n v="116000000"/>
    <x v="21"/>
  </r>
  <r>
    <x v="0"/>
    <x v="15"/>
    <s v="REG Albert Lea"/>
    <x v="21"/>
    <x v="14"/>
    <x v="4"/>
    <n v="130000000"/>
    <x v="22"/>
  </r>
  <r>
    <x v="0"/>
    <x v="16"/>
    <s v="BP Products North America Inc."/>
    <x v="22"/>
    <x v="2"/>
    <x v="3"/>
    <n v="34675000"/>
    <x v="23"/>
  </r>
  <r>
    <x v="0"/>
    <x v="17"/>
    <s v="Phillips 66"/>
    <x v="23"/>
    <x v="0"/>
    <x v="3"/>
    <n v="180000000"/>
    <x v="24"/>
  </r>
  <r>
    <x v="0"/>
    <x v="18"/>
    <s v="Ag Processing, Inc."/>
    <x v="24"/>
    <x v="8"/>
    <x v="4"/>
    <n v="75508819"/>
    <x v="25"/>
  </r>
  <r>
    <x v="0"/>
    <x v="18"/>
    <s v="Ag Processing, Inc."/>
    <x v="25"/>
    <x v="16"/>
    <x v="4"/>
    <n v="41601085"/>
    <x v="26"/>
  </r>
  <r>
    <x v="0"/>
    <x v="19"/>
    <s v="FutureFuel Chemical Company"/>
    <x v="26"/>
    <x v="17"/>
    <x v="4"/>
    <n v="110000000"/>
    <x v="27"/>
  </r>
  <r>
    <x v="0"/>
    <x v="20"/>
    <s v="Poet Biorefining-Chancellor"/>
    <x v="27"/>
    <x v="13"/>
    <x v="5"/>
    <n v="80000000"/>
    <x v="28"/>
  </r>
  <r>
    <x v="0"/>
    <x v="21"/>
    <s v="Yuma Ethanol, LLC"/>
    <x v="28"/>
    <x v="18"/>
    <x v="5"/>
    <n v="65000000"/>
    <x v="29"/>
  </r>
  <r>
    <x v="0"/>
    <x v="22"/>
    <s v="Poet Biorefining-Big Stone"/>
    <x v="29"/>
    <x v="13"/>
    <x v="5"/>
    <n v="90000000"/>
    <x v="30"/>
  </r>
  <r>
    <x v="0"/>
    <x v="23"/>
    <s v="Trenton Agri Products LLC"/>
    <x v="30"/>
    <x v="19"/>
    <x v="5"/>
    <n v="81555600"/>
    <x v="31"/>
  </r>
  <r>
    <x v="0"/>
    <x v="24"/>
    <s v="Glacial Lakes Corn Processors"/>
    <x v="23"/>
    <x v="13"/>
    <x v="5"/>
    <n v="47000000"/>
    <x v="32"/>
  </r>
  <r>
    <x v="0"/>
    <x v="24"/>
    <s v="Glacial Lakes Corn Processors"/>
    <x v="31"/>
    <x v="13"/>
    <x v="5"/>
    <n v="81555600"/>
    <x v="33"/>
  </r>
  <r>
    <x v="0"/>
    <x v="24"/>
    <s v="Glacial Lakes Corn Processors"/>
    <x v="32"/>
    <x v="13"/>
    <x v="5"/>
    <n v="148000000"/>
    <x v="34"/>
  </r>
  <r>
    <x v="0"/>
    <x v="25"/>
    <s v="Sterling Ethanol, LLC"/>
    <x v="33"/>
    <x v="18"/>
    <x v="5"/>
    <n v="5000000"/>
    <x v="35"/>
  </r>
  <r>
    <x v="0"/>
    <x v="26"/>
    <s v="Poet Biorefining-Coon Rapids"/>
    <x v="34"/>
    <x v="8"/>
    <x v="5"/>
    <n v="60000000"/>
    <x v="36"/>
  </r>
  <r>
    <x v="0"/>
    <x v="27"/>
    <s v="Poet Biorefining-Jewell"/>
    <x v="35"/>
    <x v="8"/>
    <x v="5"/>
    <n v="90000000"/>
    <x v="37"/>
  </r>
  <r>
    <x v="0"/>
    <x v="28"/>
    <s v="Poet Biorefining-Mitchell"/>
    <x v="36"/>
    <x v="13"/>
    <x v="5"/>
    <n v="81555600"/>
    <x v="38"/>
  </r>
  <r>
    <x v="0"/>
    <x v="29"/>
    <s v="Poet Biorefining-Hudson"/>
    <x v="37"/>
    <x v="13"/>
    <x v="5"/>
    <n v="30000000"/>
    <x v="39"/>
  </r>
  <r>
    <x v="0"/>
    <x v="30"/>
    <s v="Poet Biorefining-Groton"/>
    <x v="38"/>
    <x v="13"/>
    <x v="5"/>
    <n v="65000000"/>
    <x v="40"/>
  </r>
  <r>
    <x v="0"/>
    <x v="31"/>
    <s v="Red Trail Energy LLC"/>
    <x v="39"/>
    <x v="13"/>
    <x v="5"/>
    <n v="75000000"/>
    <x v="41"/>
  </r>
  <r>
    <x v="0"/>
    <x v="32"/>
    <s v="Chippewa Valley Ethanol Company LLLP"/>
    <x v="40"/>
    <x v="14"/>
    <x v="5"/>
    <n v="75000000"/>
    <x v="42"/>
  </r>
  <r>
    <x v="0"/>
    <x v="33"/>
    <s v="KAAPA Ethanol Holdings, LLC"/>
    <x v="41"/>
    <x v="19"/>
    <x v="5"/>
    <n v="75000000"/>
    <x v="43"/>
  </r>
  <r>
    <x v="0"/>
    <x v="34"/>
    <s v="Dakota Ethanol, LLC"/>
    <x v="42"/>
    <x v="13"/>
    <x v="5"/>
    <n v="30000000"/>
    <x v="44"/>
  </r>
  <r>
    <x v="0"/>
    <x v="35"/>
    <s v="E Energy Adams, LLC"/>
    <x v="43"/>
    <x v="19"/>
    <x v="5"/>
    <n v="30000000"/>
    <x v="45"/>
  </r>
  <r>
    <x v="0"/>
    <x v="36"/>
    <s v="Archer Daniels Midland Company"/>
    <x v="44"/>
    <x v="6"/>
    <x v="4"/>
    <n v="94500000"/>
    <x v="46"/>
  </r>
  <r>
    <x v="0"/>
    <x v="37"/>
    <s v="SIOUXLAND ETHANOL, LLC"/>
    <x v="45"/>
    <x v="19"/>
    <x v="5"/>
    <n v="105000000"/>
    <x v="47"/>
  </r>
  <r>
    <x v="0"/>
    <x v="38"/>
    <s v="Poet Biorefining-Corning"/>
    <x v="46"/>
    <x v="8"/>
    <x v="5"/>
    <n v="80000000"/>
    <x v="48"/>
  </r>
  <r>
    <x v="0"/>
    <x v="39"/>
    <s v="Husker Ag LLC"/>
    <x v="47"/>
    <x v="19"/>
    <x v="5"/>
    <n v="108983768"/>
    <x v="49"/>
  </r>
  <r>
    <x v="0"/>
    <x v="40"/>
    <s v="Mid America Agri Products/Wheatland, LLC"/>
    <x v="48"/>
    <x v="19"/>
    <x v="5"/>
    <n v="82125000"/>
    <x v="50"/>
  </r>
  <r>
    <x v="0"/>
    <x v="41"/>
    <s v="U.S. Venture, Inc."/>
    <x v="23"/>
    <x v="20"/>
    <x v="2"/>
    <n v="1229728258"/>
    <x v="51"/>
  </r>
  <r>
    <x v="0"/>
    <x v="41"/>
    <s v="U.S. Venture, Inc."/>
    <x v="49"/>
    <x v="21"/>
    <x v="2"/>
    <n v="2680560"/>
    <x v="52"/>
  </r>
  <r>
    <x v="0"/>
    <x v="42"/>
    <s v="Bridgeport Ethanol, LLC"/>
    <x v="50"/>
    <x v="19"/>
    <x v="5"/>
    <n v="82125000"/>
    <x v="53"/>
  </r>
  <r>
    <x v="0"/>
    <x v="43"/>
    <s v="Dansuk Industrial Co., LTD."/>
    <x v="51"/>
    <x v="22"/>
    <x v="4"/>
    <n v="5000000"/>
    <x v="54"/>
  </r>
  <r>
    <x v="0"/>
    <x v="44"/>
    <s v="DELEK RENEWABLES, LLC"/>
    <x v="52"/>
    <x v="20"/>
    <x v="4"/>
    <n v="13000000"/>
    <x v="55"/>
  </r>
  <r>
    <x v="0"/>
    <x v="44"/>
    <s v="DELEK RENEWABLES, LLC"/>
    <x v="53"/>
    <x v="17"/>
    <x v="4"/>
    <n v="14000000"/>
    <x v="56"/>
  </r>
  <r>
    <x v="0"/>
    <x v="44"/>
    <s v="DELEK RENEWABLES, LLC"/>
    <x v="54"/>
    <x v="23"/>
    <x v="4"/>
    <n v="12000000"/>
    <x v="57"/>
  </r>
  <r>
    <x v="0"/>
    <x v="45"/>
    <s v="SeQuential Pacific Biodiesel"/>
    <x v="55"/>
    <x v="1"/>
    <x v="4"/>
    <n v="17000000"/>
    <x v="58"/>
  </r>
  <r>
    <x v="0"/>
    <x v="46"/>
    <s v="REG Mason City"/>
    <x v="56"/>
    <x v="8"/>
    <x v="4"/>
    <n v="60000000"/>
    <x v="59"/>
  </r>
  <r>
    <x v="0"/>
    <x v="47"/>
    <s v="ADM AGRI-INDUSTRIES COMPANY"/>
    <x v="57"/>
    <x v="7"/>
    <x v="4"/>
    <n v="30000000"/>
    <x v="60"/>
  </r>
  <r>
    <x v="0"/>
    <x v="48"/>
    <s v="Hankinson Renewable Energy, LLC"/>
    <x v="58"/>
    <x v="6"/>
    <x v="5"/>
    <n v="82125000"/>
    <x v="61"/>
  </r>
  <r>
    <x v="0"/>
    <x v="49"/>
    <s v="SENECA ENERGY II, LLC"/>
    <x v="59"/>
    <x v="24"/>
    <x v="2"/>
    <n v="1523953577"/>
    <x v="62"/>
  </r>
  <r>
    <x v="0"/>
    <x v="50"/>
    <s v="REG Geismar, LLC"/>
    <x v="60"/>
    <x v="5"/>
    <x v="3"/>
    <n v="34675000"/>
    <x v="63"/>
  </r>
  <r>
    <x v="0"/>
    <x v="50"/>
    <s v="REG Geismar, LLC"/>
    <x v="60"/>
    <x v="5"/>
    <x v="6"/>
    <n v="34675000"/>
    <x v="64"/>
  </r>
  <r>
    <x v="0"/>
    <x v="51"/>
    <s v="Ring-neck Energy &amp; Feed"/>
    <x v="61"/>
    <x v="13"/>
    <x v="5"/>
    <n v="60000000"/>
    <x v="65"/>
  </r>
  <r>
    <x v="0"/>
    <x v="52"/>
    <s v="WM Renewable Energy, LLC"/>
    <x v="62"/>
    <x v="25"/>
    <x v="2"/>
    <n v="1178801445"/>
    <x v="66"/>
  </r>
  <r>
    <x v="0"/>
    <x v="53"/>
    <s v="REG Grays Harbor LLC"/>
    <x v="63"/>
    <x v="2"/>
    <x v="4"/>
    <n v="84000000"/>
    <x v="67"/>
  </r>
  <r>
    <x v="0"/>
    <x v="54"/>
    <s v="EBI Energie inc."/>
    <x v="64"/>
    <x v="26"/>
    <x v="2"/>
    <n v="1730000000"/>
    <x v="68"/>
  </r>
  <r>
    <x v="0"/>
    <x v="55"/>
    <s v="Trillium Transportation Fuels, LLC"/>
    <x v="65"/>
    <x v="27"/>
    <x v="7"/>
    <n v="1385"/>
    <x v="69"/>
  </r>
  <r>
    <x v="0"/>
    <x v="56"/>
    <s v="Opal Fuels Station Services LLC"/>
    <x v="66"/>
    <x v="28"/>
    <x v="2"/>
    <n v="2102000000"/>
    <x v="70"/>
  </r>
  <r>
    <x v="0"/>
    <x v="56"/>
    <s v="Opal Fuels Station Services LLC"/>
    <x v="67"/>
    <x v="28"/>
    <x v="2"/>
    <n v="2147483647"/>
    <x v="71"/>
  </r>
  <r>
    <x v="1"/>
    <x v="57"/>
    <s v="River Birch Landfill"/>
    <x v="6"/>
    <x v="5"/>
    <x v="2"/>
    <n v="525600000"/>
    <x v="6"/>
  </r>
  <r>
    <x v="1"/>
    <x v="58"/>
    <s v="3Degrees Group, Inc."/>
    <x v="68"/>
    <x v="0"/>
    <x v="0"/>
    <m/>
    <x v="72"/>
  </r>
  <r>
    <x v="1"/>
    <x v="1"/>
    <s v="Dakota Prairie Refining"/>
    <x v="7"/>
    <x v="6"/>
    <x v="3"/>
    <n v="184000000"/>
    <x v="73"/>
  </r>
  <r>
    <x v="1"/>
    <x v="3"/>
    <s v="REG Newton, LLC"/>
    <x v="9"/>
    <x v="8"/>
    <x v="4"/>
    <n v="30000000"/>
    <x v="10"/>
  </r>
  <r>
    <x v="1"/>
    <x v="4"/>
    <s v="REG Seneca"/>
    <x v="10"/>
    <x v="9"/>
    <x v="4"/>
    <n v="60000000"/>
    <x v="74"/>
  </r>
  <r>
    <x v="1"/>
    <x v="5"/>
    <s v="Cargill Biodiesel"/>
    <x v="11"/>
    <x v="8"/>
    <x v="4"/>
    <n v="69350000"/>
    <x v="75"/>
  </r>
  <r>
    <x v="1"/>
    <x v="6"/>
    <s v="Pacific Ethanol Holding Co LLC"/>
    <x v="12"/>
    <x v="1"/>
    <x v="5"/>
    <n v="43045800"/>
    <x v="13"/>
  </r>
  <r>
    <x v="1"/>
    <x v="9"/>
    <s v="Consolidated Biofuels Ltd."/>
    <x v="15"/>
    <x v="11"/>
    <x v="4"/>
    <n v="489175"/>
    <x v="16"/>
  </r>
  <r>
    <x v="1"/>
    <x v="10"/>
    <s v="Sinclair Wyoming Refining Company"/>
    <x v="16"/>
    <x v="12"/>
    <x v="8"/>
    <n v="108983768"/>
    <x v="17"/>
  </r>
  <r>
    <x v="1"/>
    <x v="11"/>
    <s v="Siouxland Energy Cooperative"/>
    <x v="17"/>
    <x v="8"/>
    <x v="5"/>
    <n v="70000000"/>
    <x v="76"/>
  </r>
  <r>
    <x v="1"/>
    <x v="12"/>
    <s v="Redfield Energy,"/>
    <x v="18"/>
    <x v="13"/>
    <x v="5"/>
    <n v="70000000"/>
    <x v="19"/>
  </r>
  <r>
    <x v="1"/>
    <x v="13"/>
    <s v="Bushmills Ethanol, Inc."/>
    <x v="19"/>
    <x v="14"/>
    <x v="5"/>
    <n v="65000000"/>
    <x v="20"/>
  </r>
  <r>
    <x v="1"/>
    <x v="14"/>
    <s v="Neste Singapore Pte Ltd"/>
    <x v="20"/>
    <x v="15"/>
    <x v="3"/>
    <n v="290756447"/>
    <x v="77"/>
  </r>
  <r>
    <x v="1"/>
    <x v="15"/>
    <s v="REG Albert Lea"/>
    <x v="21"/>
    <x v="14"/>
    <x v="4"/>
    <n v="30000000"/>
    <x v="78"/>
  </r>
  <r>
    <x v="1"/>
    <x v="16"/>
    <s v="BP Products North America Inc."/>
    <x v="22"/>
    <x v="2"/>
    <x v="3"/>
    <n v="42438039"/>
    <x v="9"/>
  </r>
  <r>
    <x v="1"/>
    <x v="17"/>
    <s v="Phillips 66"/>
    <x v="69"/>
    <x v="0"/>
    <x v="3"/>
    <n v="180000000"/>
    <x v="9"/>
  </r>
  <r>
    <x v="1"/>
    <x v="19"/>
    <s v="FutureFuel Chemical Company"/>
    <x v="26"/>
    <x v="17"/>
    <x v="4"/>
    <n v="59000000"/>
    <x v="27"/>
  </r>
  <r>
    <x v="1"/>
    <x v="20"/>
    <s v="Poet Biorefining-Chancellor"/>
    <x v="27"/>
    <x v="13"/>
    <x v="5"/>
    <n v="128722000"/>
    <x v="79"/>
  </r>
  <r>
    <x v="1"/>
    <x v="21"/>
    <s v="Yuma Ethanol, LLC"/>
    <x v="28"/>
    <x v="18"/>
    <x v="5"/>
    <n v="60000000"/>
    <x v="29"/>
  </r>
  <r>
    <x v="1"/>
    <x v="23"/>
    <s v="Trenton Agri Products LLC"/>
    <x v="30"/>
    <x v="19"/>
    <x v="5"/>
    <n v="55000000"/>
    <x v="80"/>
  </r>
  <r>
    <x v="1"/>
    <x v="24"/>
    <s v="Glacial Lakes Corn Processors"/>
    <x v="70"/>
    <x v="13"/>
    <x v="5"/>
    <n v="61000000"/>
    <x v="81"/>
  </r>
  <r>
    <x v="1"/>
    <x v="24"/>
    <s v="Glacial Lakes Corn Processors"/>
    <x v="71"/>
    <x v="13"/>
    <x v="5"/>
    <n v="40000000"/>
    <x v="82"/>
  </r>
  <r>
    <x v="1"/>
    <x v="24"/>
    <s v="Glacial Lakes Corn Processors"/>
    <x v="31"/>
    <x v="13"/>
    <x v="5"/>
    <n v="162000000"/>
    <x v="33"/>
  </r>
  <r>
    <x v="1"/>
    <x v="25"/>
    <s v="Sterling Ethanol, LLC"/>
    <x v="33"/>
    <x v="18"/>
    <x v="5"/>
    <n v="60000000"/>
    <x v="35"/>
  </r>
  <r>
    <x v="1"/>
    <x v="29"/>
    <s v="Poet Biorefining-Hudson"/>
    <x v="37"/>
    <x v="13"/>
    <x v="5"/>
    <n v="70000000"/>
    <x v="83"/>
  </r>
  <r>
    <x v="1"/>
    <x v="31"/>
    <s v="Red Trail Energy LLC"/>
    <x v="39"/>
    <x v="6"/>
    <x v="5"/>
    <n v="69949425"/>
    <x v="84"/>
  </r>
  <r>
    <x v="1"/>
    <x v="32"/>
    <s v="Chippewa Valley Ethanol Company LLLP"/>
    <x v="40"/>
    <x v="14"/>
    <x v="5"/>
    <n v="53269178"/>
    <x v="42"/>
  </r>
  <r>
    <x v="1"/>
    <x v="33"/>
    <s v="KAAPA Ethanol Holdings, LLC"/>
    <x v="41"/>
    <x v="19"/>
    <x v="5"/>
    <n v="130000000"/>
    <x v="85"/>
  </r>
  <r>
    <x v="1"/>
    <x v="34"/>
    <s v="Dakota Ethanol, LLC"/>
    <x v="42"/>
    <x v="13"/>
    <x v="5"/>
    <n v="60000000"/>
    <x v="44"/>
  </r>
  <r>
    <x v="1"/>
    <x v="35"/>
    <s v="E Energy Adams, LLC"/>
    <x v="43"/>
    <x v="19"/>
    <x v="5"/>
    <n v="84000000"/>
    <x v="86"/>
  </r>
  <r>
    <x v="1"/>
    <x v="37"/>
    <s v="SIOUXLAND ETHANOL, LLC"/>
    <x v="45"/>
    <x v="19"/>
    <x v="5"/>
    <n v="82125000"/>
    <x v="87"/>
  </r>
  <r>
    <x v="1"/>
    <x v="39"/>
    <s v="Husker Ag LLC"/>
    <x v="47"/>
    <x v="19"/>
    <x v="5"/>
    <n v="109000000"/>
    <x v="88"/>
  </r>
  <r>
    <x v="1"/>
    <x v="40"/>
    <s v="Mid America Agri Products/Wheatland, LLC"/>
    <x v="48"/>
    <x v="19"/>
    <x v="5"/>
    <n v="46000000"/>
    <x v="89"/>
  </r>
  <r>
    <x v="1"/>
    <x v="41"/>
    <s v="U.S. Venture, Inc."/>
    <x v="72"/>
    <x v="21"/>
    <x v="2"/>
    <n v="816730"/>
    <x v="52"/>
  </r>
  <r>
    <x v="1"/>
    <x v="41"/>
    <s v="U.S. Venture, Inc."/>
    <x v="73"/>
    <x v="20"/>
    <x v="2"/>
    <n v="619749837"/>
    <x v="6"/>
  </r>
  <r>
    <x v="1"/>
    <x v="41"/>
    <s v="U.S. Venture, Inc."/>
    <x v="74"/>
    <x v="2"/>
    <x v="2"/>
    <n v="1515785"/>
    <x v="52"/>
  </r>
  <r>
    <x v="1"/>
    <x v="41"/>
    <s v="U.S. Venture, Inc."/>
    <x v="75"/>
    <x v="19"/>
    <x v="2"/>
    <n v="31210800"/>
    <x v="90"/>
  </r>
  <r>
    <x v="1"/>
    <x v="42"/>
    <s v="Bridgeport Ethanol, LLC"/>
    <x v="50"/>
    <x v="19"/>
    <x v="5"/>
    <n v="49000000"/>
    <x v="53"/>
  </r>
  <r>
    <x v="1"/>
    <x v="45"/>
    <s v="SeQuential Pacific Biodiesel"/>
    <x v="55"/>
    <x v="1"/>
    <x v="4"/>
    <n v="17000000"/>
    <x v="91"/>
  </r>
  <r>
    <x v="1"/>
    <x v="46"/>
    <s v="REG Mason City"/>
    <x v="56"/>
    <x v="8"/>
    <x v="4"/>
    <n v="30000000"/>
    <x v="59"/>
  </r>
  <r>
    <x v="1"/>
    <x v="47"/>
    <s v="ADM AGRI-INDUSTRIES COMPANY"/>
    <x v="57"/>
    <x v="7"/>
    <x v="4"/>
    <n v="69960000"/>
    <x v="92"/>
  </r>
  <r>
    <x v="1"/>
    <x v="48"/>
    <s v="Hankinson Renewable Energy, LLC"/>
    <x v="58"/>
    <x v="6"/>
    <x v="5"/>
    <n v="145000000"/>
    <x v="61"/>
  </r>
  <r>
    <x v="1"/>
    <x v="50"/>
    <s v="REG Geismar, LLC"/>
    <x v="60"/>
    <x v="5"/>
    <x v="9"/>
    <n v="75000000"/>
    <x v="93"/>
  </r>
  <r>
    <x v="1"/>
    <x v="50"/>
    <s v="REG Geismar, LLC"/>
    <x v="60"/>
    <x v="5"/>
    <x v="3"/>
    <n v="75000000"/>
    <x v="63"/>
  </r>
  <r>
    <x v="1"/>
    <x v="50"/>
    <s v="REG Geismar, LLC"/>
    <x v="60"/>
    <x v="5"/>
    <x v="6"/>
    <n v="75000000"/>
    <x v="74"/>
  </r>
  <r>
    <x v="1"/>
    <x v="51"/>
    <s v="Ring-neck Energy &amp; Feed"/>
    <x v="61"/>
    <x v="13"/>
    <x v="5"/>
    <n v="105000000"/>
    <x v="65"/>
  </r>
  <r>
    <x v="1"/>
    <x v="53"/>
    <s v="REG Grays Harbor LLC"/>
    <x v="63"/>
    <x v="2"/>
    <x v="4"/>
    <n v="100000000"/>
    <x v="67"/>
  </r>
  <r>
    <x v="1"/>
    <x v="54"/>
    <s v="EBI Energie inc."/>
    <x v="64"/>
    <x v="26"/>
    <x v="2"/>
    <n v="1730000000"/>
    <x v="68"/>
  </r>
  <r>
    <x v="1"/>
    <x v="55"/>
    <s v="Trillium Transportation Fuels, LLC"/>
    <x v="65"/>
    <x v="27"/>
    <x v="2"/>
    <n v="138500000"/>
    <x v="69"/>
  </r>
  <r>
    <x v="1"/>
    <x v="56"/>
    <s v="TRUSTAR ENERGY LLC"/>
    <x v="67"/>
    <x v="28"/>
    <x v="2"/>
    <n v="2147483"/>
    <x v="94"/>
  </r>
  <r>
    <x v="2"/>
    <x v="0"/>
    <s v="3Degrees Group, Inc."/>
    <x v="0"/>
    <x v="0"/>
    <x v="0"/>
    <m/>
    <x v="72"/>
  </r>
  <r>
    <x v="2"/>
    <x v="0"/>
    <s v="River Birch Landfill"/>
    <x v="6"/>
    <x v="5"/>
    <x v="2"/>
    <n v="525600000"/>
    <x v="6"/>
  </r>
  <r>
    <x v="2"/>
    <x v="3"/>
    <s v="REG Newton, LLC"/>
    <x v="9"/>
    <x v="8"/>
    <x v="4"/>
    <n v="55300000"/>
    <x v="10"/>
  </r>
  <r>
    <x v="2"/>
    <x v="5"/>
    <s v="Cargill Biodiesel"/>
    <x v="11"/>
    <x v="8"/>
    <x v="4"/>
    <n v="69350000"/>
    <x v="75"/>
  </r>
  <r>
    <x v="2"/>
    <x v="6"/>
    <s v="Pacific Ethanol Holding Co LLC"/>
    <x v="12"/>
    <x v="1"/>
    <x v="5"/>
    <n v="185000000"/>
    <x v="13"/>
  </r>
  <r>
    <x v="2"/>
    <x v="9"/>
    <s v="Consolidated Biofuels Ltd."/>
    <x v="15"/>
    <x v="11"/>
    <x v="4"/>
    <n v="51038199"/>
    <x v="16"/>
  </r>
  <r>
    <x v="2"/>
    <x v="11"/>
    <s v="Siouxland Energy Cooperative"/>
    <x v="17"/>
    <x v="8"/>
    <x v="5"/>
    <n v="290756447"/>
    <x v="76"/>
  </r>
  <r>
    <x v="2"/>
    <x v="12"/>
    <s v="Redfield Energy,"/>
    <x v="18"/>
    <x v="13"/>
    <x v="5"/>
    <n v="290756447"/>
    <x v="19"/>
  </r>
  <r>
    <x v="2"/>
    <x v="13"/>
    <s v="Bushmills Ethanol, Inc."/>
    <x v="19"/>
    <x v="14"/>
    <x v="5"/>
    <n v="1178801445"/>
    <x v="20"/>
  </r>
  <r>
    <x v="2"/>
    <x v="15"/>
    <s v="REG Albert Lea"/>
    <x v="21"/>
    <x v="14"/>
    <x v="4"/>
    <n v="124083333.33333333"/>
    <x v="78"/>
  </r>
  <r>
    <x v="2"/>
    <x v="19"/>
    <s v="FutureFuel Chemical Company"/>
    <x v="26"/>
    <x v="17"/>
    <x v="4"/>
    <n v="110000000"/>
    <x v="27"/>
  </r>
  <r>
    <x v="2"/>
    <x v="20"/>
    <s v="Poet Biorefining-Chancellor"/>
    <x v="27"/>
    <x v="13"/>
    <x v="5"/>
    <n v="80000000"/>
    <x v="79"/>
  </r>
  <r>
    <x v="2"/>
    <x v="21"/>
    <s v="Yuma Ethanol, LLC"/>
    <x v="28"/>
    <x v="18"/>
    <x v="5"/>
    <n v="65000000"/>
    <x v="29"/>
  </r>
  <r>
    <x v="2"/>
    <x v="23"/>
    <s v="Trenton Agri Products LLC"/>
    <x v="30"/>
    <x v="19"/>
    <x v="5"/>
    <n v="81555600"/>
    <x v="80"/>
  </r>
  <r>
    <x v="2"/>
    <x v="24"/>
    <s v="Glacial Lakes Corn Processors"/>
    <x v="71"/>
    <x v="13"/>
    <x v="5"/>
    <n v="40000000"/>
    <x v="82"/>
  </r>
  <r>
    <x v="2"/>
    <x v="24"/>
    <s v="Glacial Lakes Corn Processors"/>
    <x v="31"/>
    <x v="13"/>
    <x v="5"/>
    <n v="81555600"/>
    <x v="33"/>
  </r>
  <r>
    <x v="2"/>
    <x v="25"/>
    <s v="Sterling Ethanol, LLC"/>
    <x v="33"/>
    <x v="18"/>
    <x v="5"/>
    <n v="5000000"/>
    <x v="35"/>
  </r>
  <r>
    <x v="2"/>
    <x v="29"/>
    <s v="Poet Biorefining-Hudson"/>
    <x v="37"/>
    <x v="13"/>
    <x v="5"/>
    <n v="30000000"/>
    <x v="83"/>
  </r>
  <r>
    <x v="2"/>
    <x v="31"/>
    <s v="Red Trail Energy LLC"/>
    <x v="39"/>
    <x v="6"/>
    <x v="5"/>
    <n v="75000000"/>
    <x v="84"/>
  </r>
  <r>
    <x v="2"/>
    <x v="32"/>
    <s v="Chippewa Valley Ethanol Company LLLP"/>
    <x v="40"/>
    <x v="14"/>
    <x v="5"/>
    <n v="75000000"/>
    <x v="42"/>
  </r>
  <r>
    <x v="2"/>
    <x v="33"/>
    <s v="KAAPA Ethanol Holdings, LLC"/>
    <x v="41"/>
    <x v="19"/>
    <x v="5"/>
    <n v="75000000"/>
    <x v="85"/>
  </r>
  <r>
    <x v="2"/>
    <x v="34"/>
    <s v="Dakota Ethanol, LLC"/>
    <x v="42"/>
    <x v="13"/>
    <x v="5"/>
    <n v="30000000"/>
    <x v="44"/>
  </r>
  <r>
    <x v="2"/>
    <x v="35"/>
    <s v="E Energy Adams, LLC"/>
    <x v="43"/>
    <x v="19"/>
    <x v="5"/>
    <n v="30000000"/>
    <x v="86"/>
  </r>
  <r>
    <x v="2"/>
    <x v="37"/>
    <s v="SIOUXLAND ETHANOL, LLC"/>
    <x v="45"/>
    <x v="19"/>
    <x v="5"/>
    <n v="30000000"/>
    <x v="87"/>
  </r>
  <r>
    <x v="2"/>
    <x v="39"/>
    <s v="Husker Ag LLC"/>
    <x v="47"/>
    <x v="19"/>
    <x v="5"/>
    <n v="108983768"/>
    <x v="88"/>
  </r>
  <r>
    <x v="2"/>
    <x v="40"/>
    <s v="Mid America Agri Products/Wheatland, LLC"/>
    <x v="48"/>
    <x v="19"/>
    <x v="5"/>
    <n v="82125000"/>
    <x v="89"/>
  </r>
  <r>
    <x v="2"/>
    <x v="41"/>
    <s v="U.S. Venture, Inc."/>
    <x v="73"/>
    <x v="20"/>
    <x v="2"/>
    <n v="1229728258"/>
    <x v="6"/>
  </r>
  <r>
    <x v="2"/>
    <x v="41"/>
    <s v="U.S. Venture, Inc."/>
    <x v="75"/>
    <x v="19"/>
    <x v="2"/>
    <n v="31210800"/>
    <x v="90"/>
  </r>
  <r>
    <x v="2"/>
    <x v="42"/>
    <s v="Bridgeport Ethanol, LLC"/>
    <x v="50"/>
    <x v="19"/>
    <x v="5"/>
    <n v="82125000"/>
    <x v="53"/>
  </r>
  <r>
    <x v="2"/>
    <x v="45"/>
    <s v="SeQuential Pacific Biodiesel"/>
    <x v="55"/>
    <x v="1"/>
    <x v="4"/>
    <n v="53269178"/>
    <x v="58"/>
  </r>
  <r>
    <x v="2"/>
    <x v="46"/>
    <s v="REG Mason City"/>
    <x v="56"/>
    <x v="8"/>
    <x v="4"/>
    <n v="60000000"/>
    <x v="59"/>
  </r>
  <r>
    <x v="2"/>
    <x v="47"/>
    <s v="ADM AGRI-INDUSTRIES COMPANY"/>
    <x v="57"/>
    <x v="7"/>
    <x v="4"/>
    <n v="30000000"/>
    <x v="95"/>
  </r>
  <r>
    <x v="2"/>
    <x v="48"/>
    <s v="Hankinson Renewable Energy, LLC"/>
    <x v="58"/>
    <x v="6"/>
    <x v="5"/>
    <n v="82125000"/>
    <x v="61"/>
  </r>
  <r>
    <x v="2"/>
    <x v="50"/>
    <s v="REG Geismar, LLC"/>
    <x v="60"/>
    <x v="5"/>
    <x v="9"/>
    <n v="90000000"/>
    <x v="93"/>
  </r>
  <r>
    <x v="2"/>
    <x v="50"/>
    <s v="REG Geismar, LLC"/>
    <x v="60"/>
    <x v="5"/>
    <x v="3"/>
    <n v="90000000"/>
    <x v="63"/>
  </r>
  <r>
    <x v="2"/>
    <x v="51"/>
    <s v="Ring-neck Energy &amp; Feed"/>
    <x v="61"/>
    <x v="13"/>
    <x v="5"/>
    <n v="60000000"/>
    <x v="65"/>
  </r>
  <r>
    <x v="2"/>
    <x v="53"/>
    <s v="REG Grays Harbor LLC"/>
    <x v="63"/>
    <x v="2"/>
    <x v="4"/>
    <n v="84000000"/>
    <x v="67"/>
  </r>
  <r>
    <x v="2"/>
    <x v="54"/>
    <s v="EBI Energie inc."/>
    <x v="64"/>
    <x v="29"/>
    <x v="2"/>
    <n v="1730000000"/>
    <x v="68"/>
  </r>
  <r>
    <x v="2"/>
    <x v="55"/>
    <s v="Trillium Transportation Fuels, LLC"/>
    <x v="65"/>
    <x v="27"/>
    <x v="2"/>
    <n v="40000000"/>
    <x v="69"/>
  </r>
  <r>
    <x v="3"/>
    <x v="59"/>
    <s v="Green Plains Ord LLC"/>
    <x v="76"/>
    <x v="19"/>
    <x v="10"/>
    <n v="65000000"/>
    <x v="96"/>
  </r>
  <r>
    <x v="3"/>
    <x v="60"/>
    <s v="General Biodiesel Seattle"/>
    <x v="77"/>
    <x v="2"/>
    <x v="11"/>
    <n v="5000000"/>
    <x v="97"/>
  </r>
  <r>
    <x v="3"/>
    <x v="61"/>
    <s v="Green Plains Central City"/>
    <x v="78"/>
    <x v="19"/>
    <x v="10"/>
    <n v="116000000"/>
    <x v="98"/>
  </r>
  <r>
    <x v="3"/>
    <x v="62"/>
    <s v="Guardian Energy Janesville"/>
    <x v="79"/>
    <x v="14"/>
    <x v="10"/>
    <n v="149000000"/>
    <x v="99"/>
  </r>
  <r>
    <x v="3"/>
    <x v="3"/>
    <s v="REG Newton, LLC"/>
    <x v="9"/>
    <x v="8"/>
    <x v="11"/>
    <n v="30000000"/>
    <x v="100"/>
  </r>
  <r>
    <x v="3"/>
    <x v="6"/>
    <s v="Pacific Ethanol Columbia LLC"/>
    <x v="12"/>
    <x v="1"/>
    <x v="10"/>
    <n v="43045800"/>
    <x v="101"/>
  </r>
  <r>
    <x v="3"/>
    <x v="6"/>
    <s v="Pacific Ethanol Magic Valley LLC"/>
    <x v="80"/>
    <x v="3"/>
    <x v="10"/>
    <n v="75330150"/>
    <x v="102"/>
  </r>
  <r>
    <x v="3"/>
    <x v="6"/>
    <s v="Pacific Ethanol Stockton"/>
    <x v="81"/>
    <x v="0"/>
    <x v="10"/>
    <n v="60000000"/>
    <x v="103"/>
  </r>
  <r>
    <x v="3"/>
    <x v="63"/>
    <s v="Açucareira Quatá S.A."/>
    <x v="82"/>
    <x v="30"/>
    <x v="10"/>
    <n v="51038199"/>
    <x v="104"/>
  </r>
  <r>
    <x v="3"/>
    <x v="64"/>
    <s v="BIOX Canada Limited"/>
    <x v="83"/>
    <x v="31"/>
    <x v="11"/>
    <n v="16642847"/>
    <x v="105"/>
  </r>
  <r>
    <x v="3"/>
    <x v="65"/>
    <s v="Raízen Energia S/A - Costa Pinto"/>
    <x v="84"/>
    <x v="30"/>
    <x v="10"/>
    <n v="21662108"/>
    <x v="106"/>
  </r>
  <r>
    <x v="3"/>
    <x v="9"/>
    <s v="Consolidated Biofuels Ltd."/>
    <x v="15"/>
    <x v="11"/>
    <x v="11"/>
    <n v="489175"/>
    <x v="107"/>
  </r>
  <r>
    <x v="3"/>
    <x v="10"/>
    <s v="Sinclair Wyoming Refining Company"/>
    <x v="16"/>
    <x v="12"/>
    <x v="12"/>
    <n v="108983768"/>
    <x v="17"/>
  </r>
  <r>
    <x v="3"/>
    <x v="66"/>
    <s v="Heron Lake BioEnergy"/>
    <x v="85"/>
    <x v="14"/>
    <x v="10"/>
    <n v="59000000"/>
    <x v="108"/>
  </r>
  <r>
    <x v="3"/>
    <x v="67"/>
    <s v="Bonanza BioEnergy, LLC "/>
    <x v="86"/>
    <x v="32"/>
    <x v="10"/>
    <n v="55000000"/>
    <x v="109"/>
  </r>
  <r>
    <x v="3"/>
    <x v="11"/>
    <s v="Siouxland Energy Cooperative"/>
    <x v="17"/>
    <x v="8"/>
    <x v="10"/>
    <n v="70000000"/>
    <x v="110"/>
  </r>
  <r>
    <x v="3"/>
    <x v="12"/>
    <s v="Redfield Energy, LLC"/>
    <x v="18"/>
    <x v="13"/>
    <x v="10"/>
    <n v="70000000"/>
    <x v="111"/>
  </r>
  <r>
    <x v="3"/>
    <x v="13"/>
    <s v="BUSHMILLS ETHANOL, INC."/>
    <x v="19"/>
    <x v="14"/>
    <x v="10"/>
    <n v="65000000"/>
    <x v="112"/>
  </r>
  <r>
    <x v="3"/>
    <x v="68"/>
    <s v="ABE South Dakota, LLC"/>
    <x v="70"/>
    <x v="13"/>
    <x v="10"/>
    <n v="55300000"/>
    <x v="113"/>
  </r>
  <r>
    <x v="3"/>
    <x v="68"/>
    <s v="ABE South Dakota, LLC (Huron)"/>
    <x v="71"/>
    <x v="13"/>
    <x v="10"/>
    <n v="40000000"/>
    <x v="114"/>
  </r>
  <r>
    <x v="3"/>
    <x v="14"/>
    <s v="Neste Singapore"/>
    <x v="20"/>
    <x v="33"/>
    <x v="12"/>
    <n v="290756447"/>
    <x v="115"/>
  </r>
  <r>
    <x v="3"/>
    <x v="69"/>
    <s v="ADM Deerfield"/>
    <x v="87"/>
    <x v="16"/>
    <x v="11"/>
    <n v="33000000"/>
    <x v="116"/>
  </r>
  <r>
    <x v="3"/>
    <x v="15"/>
    <s v="REG Albert Lea"/>
    <x v="21"/>
    <x v="14"/>
    <x v="11"/>
    <n v="30000000"/>
    <x v="117"/>
  </r>
  <r>
    <x v="3"/>
    <x v="16"/>
    <s v="Cherry Point Refinery"/>
    <x v="22"/>
    <x v="2"/>
    <x v="12"/>
    <n v="42438039"/>
    <x v="118"/>
  </r>
  <r>
    <x v="3"/>
    <x v="18"/>
    <s v="Ag Processing, Inc - Sgt. Bluff"/>
    <x v="24"/>
    <x v="8"/>
    <x v="11"/>
    <n v="75508819"/>
    <x v="119"/>
  </r>
  <r>
    <x v="3"/>
    <x v="18"/>
    <s v="Ag Processing, Inc. - St. Joseph"/>
    <x v="25"/>
    <x v="16"/>
    <x v="11"/>
    <n v="41601085"/>
    <x v="120"/>
  </r>
  <r>
    <x v="3"/>
    <x v="19"/>
    <s v="FutureFuel Chemical Company"/>
    <x v="26"/>
    <x v="17"/>
    <x v="11"/>
    <n v="59000000"/>
    <x v="121"/>
  </r>
  <r>
    <x v="3"/>
    <x v="20"/>
    <s v="Poet Biorefining-Chancellor"/>
    <x v="27"/>
    <x v="13"/>
    <x v="10"/>
    <n v="128722000"/>
    <x v="122"/>
  </r>
  <r>
    <x v="3"/>
    <x v="70"/>
    <s v="LSCP, LLLP"/>
    <x v="88"/>
    <x v="8"/>
    <x v="10"/>
    <n v="185000000"/>
    <x v="123"/>
  </r>
  <r>
    <x v="3"/>
    <x v="21"/>
    <s v="Yuma Ethanol"/>
    <x v="28"/>
    <x v="18"/>
    <x v="10"/>
    <n v="40000000"/>
    <x v="124"/>
  </r>
  <r>
    <x v="3"/>
    <x v="22"/>
    <s v="POET Biorefining - Big Stone"/>
    <x v="29"/>
    <x v="13"/>
    <x v="10"/>
    <n v="90000000"/>
    <x v="125"/>
  </r>
  <r>
    <x v="3"/>
    <x v="71"/>
    <s v="Western Plains Energy, LLC"/>
    <x v="89"/>
    <x v="32"/>
    <x v="10"/>
    <n v="54600000"/>
    <x v="126"/>
  </r>
  <r>
    <x v="3"/>
    <x v="23"/>
    <s v="Trenton Agri Products LLC"/>
    <x v="30"/>
    <x v="19"/>
    <x v="10"/>
    <n v="55000000"/>
    <x v="127"/>
  </r>
  <r>
    <x v="3"/>
    <x v="24"/>
    <s v="Glacial Lakes-Aberdeen Energy (Mina)"/>
    <x v="31"/>
    <x v="13"/>
    <x v="10"/>
    <n v="100000000"/>
    <x v="128"/>
  </r>
  <r>
    <x v="3"/>
    <x v="24"/>
    <s v="Glacial Lakes-Watertown"/>
    <x v="32"/>
    <x v="13"/>
    <x v="10"/>
    <n v="100000000"/>
    <x v="129"/>
  </r>
  <r>
    <x v="3"/>
    <x v="25"/>
    <s v="Sterling Ethanol, LLC"/>
    <x v="33"/>
    <x v="18"/>
    <x v="10"/>
    <n v="60000000"/>
    <x v="130"/>
  </r>
  <r>
    <x v="3"/>
    <x v="72"/>
    <s v="Granite Falls Energy, LLC"/>
    <x v="90"/>
    <x v="14"/>
    <x v="10"/>
    <n v="70000000"/>
    <x v="131"/>
  </r>
  <r>
    <x v="3"/>
    <x v="26"/>
    <s v="POET Biorefining - Coon Rapids"/>
    <x v="34"/>
    <x v="8"/>
    <x v="10"/>
    <n v="60000000"/>
    <x v="132"/>
  </r>
  <r>
    <x v="3"/>
    <x v="28"/>
    <s v="Poet Biorefining-Mitchell"/>
    <x v="36"/>
    <x v="13"/>
    <x v="10"/>
    <n v="81555600"/>
    <x v="133"/>
  </r>
  <r>
    <x v="3"/>
    <x v="29"/>
    <s v="POET Biorefining - Hudson"/>
    <x v="37"/>
    <x v="13"/>
    <x v="10"/>
    <n v="70000000"/>
    <x v="134"/>
  </r>
  <r>
    <x v="3"/>
    <x v="73"/>
    <s v="POET Biorefining - Emmetsburg "/>
    <x v="91"/>
    <x v="8"/>
    <x v="10"/>
    <n v="55000000"/>
    <x v="135"/>
  </r>
  <r>
    <x v="3"/>
    <x v="30"/>
    <s v="Poet Biorefining Groton"/>
    <x v="38"/>
    <x v="13"/>
    <x v="10"/>
    <n v="65000000"/>
    <x v="136"/>
  </r>
  <r>
    <x v="3"/>
    <x v="31"/>
    <s v="Red Trail Energy LLC"/>
    <x v="39"/>
    <x v="6"/>
    <x v="10"/>
    <n v="69949425"/>
    <x v="84"/>
  </r>
  <r>
    <x v="3"/>
    <x v="32"/>
    <s v="CVEC"/>
    <x v="40"/>
    <x v="14"/>
    <x v="10"/>
    <n v="53269178"/>
    <x v="42"/>
  </r>
  <r>
    <x v="3"/>
    <x v="33"/>
    <s v="KAAPA Ethanol Ravenna LLC"/>
    <x v="41"/>
    <x v="19"/>
    <x v="10"/>
    <n v="130000000"/>
    <x v="85"/>
  </r>
  <r>
    <x v="3"/>
    <x v="34"/>
    <s v="Dakota Ethanol"/>
    <x v="42"/>
    <x v="13"/>
    <x v="10"/>
    <n v="60000000"/>
    <x v="137"/>
  </r>
  <r>
    <x v="3"/>
    <x v="74"/>
    <s v="Heartland Corn Products"/>
    <x v="92"/>
    <x v="14"/>
    <x v="10"/>
    <n v="100000000"/>
    <x v="138"/>
  </r>
  <r>
    <x v="3"/>
    <x v="35"/>
    <s v="E Energy Adams"/>
    <x v="43"/>
    <x v="19"/>
    <x v="10"/>
    <n v="84000000"/>
    <x v="139"/>
  </r>
  <r>
    <x v="3"/>
    <x v="75"/>
    <s v="High Plains Bioenergy"/>
    <x v="93"/>
    <x v="34"/>
    <x v="11"/>
    <n v="34675000"/>
    <x v="140"/>
  </r>
  <r>
    <x v="3"/>
    <x v="76"/>
    <s v="MID AMERICA BIOFUELS"/>
    <x v="94"/>
    <x v="16"/>
    <x v="11"/>
    <n v="50000000"/>
    <x v="141"/>
  </r>
  <r>
    <x v="3"/>
    <x v="36"/>
    <s v="Archer Daniels Midland"/>
    <x v="44"/>
    <x v="1"/>
    <x v="11"/>
    <n v="94500000"/>
    <x v="142"/>
  </r>
  <r>
    <x v="3"/>
    <x v="36"/>
    <s v="Archer Daniels Midland Company - CLM Dry"/>
    <x v="95"/>
    <x v="19"/>
    <x v="10"/>
    <n v="300000000"/>
    <x v="143"/>
  </r>
  <r>
    <x v="3"/>
    <x v="37"/>
    <s v="Siouxland Ethanol"/>
    <x v="45"/>
    <x v="19"/>
    <x v="10"/>
    <n v="82125000"/>
    <x v="144"/>
  </r>
  <r>
    <x v="3"/>
    <x v="38"/>
    <s v="POET Biorefining - Corning"/>
    <x v="46"/>
    <x v="8"/>
    <x v="10"/>
    <n v="80000000"/>
    <x v="145"/>
  </r>
  <r>
    <x v="3"/>
    <x v="77"/>
    <s v="Absolute Energy, LLC"/>
    <x v="96"/>
    <x v="8"/>
    <x v="10"/>
    <n v="130000000"/>
    <x v="146"/>
  </r>
  <r>
    <x v="3"/>
    <x v="78"/>
    <s v="Green Plains Shenandoah LLC"/>
    <x v="97"/>
    <x v="8"/>
    <x v="10"/>
    <n v="82000000"/>
    <x v="147"/>
  </r>
  <r>
    <x v="3"/>
    <x v="39"/>
    <s v="Husker Ag, LLC"/>
    <x v="47"/>
    <x v="19"/>
    <x v="10"/>
    <n v="109000000"/>
    <x v="148"/>
  </r>
  <r>
    <x v="3"/>
    <x v="40"/>
    <s v="Mid America Agri Products/Wheatland, LLC"/>
    <x v="48"/>
    <x v="19"/>
    <x v="10"/>
    <n v="46000000"/>
    <x v="149"/>
  </r>
  <r>
    <x v="3"/>
    <x v="79"/>
    <s v="Midwest Renewable Energy"/>
    <x v="98"/>
    <x v="19"/>
    <x v="10"/>
    <n v="26500000"/>
    <x v="150"/>
  </r>
  <r>
    <x v="3"/>
    <x v="80"/>
    <s v="Arkalon Ethanol"/>
    <x v="99"/>
    <x v="32"/>
    <x v="10"/>
    <n v="110000000"/>
    <x v="151"/>
  </r>
  <r>
    <x v="3"/>
    <x v="81"/>
    <s v="Paseo Cargill Energy"/>
    <x v="100"/>
    <x v="16"/>
    <x v="11"/>
    <n v="69350000"/>
    <x v="152"/>
  </r>
  <r>
    <x v="3"/>
    <x v="42"/>
    <s v="Bridgeport Ethanol"/>
    <x v="50"/>
    <x v="19"/>
    <x v="10"/>
    <n v="50000000"/>
    <x v="153"/>
  </r>
  <r>
    <x v="3"/>
    <x v="43"/>
    <s v="Dansuk Industrial Ltd- Siwha"/>
    <x v="101"/>
    <x v="35"/>
    <x v="11"/>
    <n v="16706637"/>
    <x v="154"/>
  </r>
  <r>
    <x v="3"/>
    <x v="43"/>
    <s v="PyeongTaek2"/>
    <x v="51"/>
    <x v="22"/>
    <x v="11"/>
    <n v="5000000"/>
    <x v="54"/>
  </r>
  <r>
    <x v="3"/>
    <x v="82"/>
    <s v="Milligan Biofuels Inc"/>
    <x v="102"/>
    <x v="36"/>
    <x v="11"/>
    <n v="5284016"/>
    <x v="155"/>
  </r>
  <r>
    <x v="3"/>
    <x v="83"/>
    <s v="JC CHEMICAL CO., LTD."/>
    <x v="103"/>
    <x v="37"/>
    <x v="11"/>
    <n v="33285679"/>
    <x v="156"/>
  </r>
  <r>
    <x v="3"/>
    <x v="45"/>
    <s v="SeQuential"/>
    <x v="55"/>
    <x v="1"/>
    <x v="11"/>
    <n v="10000000"/>
    <x v="157"/>
  </r>
  <r>
    <x v="3"/>
    <x v="46"/>
    <s v="REG Mason City, LLC"/>
    <x v="56"/>
    <x v="8"/>
    <x v="11"/>
    <n v="30000000"/>
    <x v="158"/>
  </r>
  <r>
    <x v="3"/>
    <x v="47"/>
    <s v="ADM Agri Industries"/>
    <x v="57"/>
    <x v="7"/>
    <x v="11"/>
    <n v="70000000"/>
    <x v="95"/>
  </r>
  <r>
    <x v="3"/>
    <x v="48"/>
    <s v="Hankinson Renewable Energy, LLC"/>
    <x v="58"/>
    <x v="6"/>
    <x v="10"/>
    <n v="145000000"/>
    <x v="159"/>
  </r>
  <r>
    <x v="3"/>
    <x v="50"/>
    <s v="REG Geismar, LLC"/>
    <x v="60"/>
    <x v="5"/>
    <x v="12"/>
    <n v="75000000"/>
    <x v="160"/>
  </r>
  <r>
    <x v="3"/>
    <x v="51"/>
    <s v="RING-NECK ENERGY &amp; FEED, LLC"/>
    <x v="61"/>
    <x v="13"/>
    <x v="10"/>
    <n v="105000000"/>
    <x v="65"/>
  </r>
  <r>
    <x v="3"/>
    <x v="52"/>
    <s v="Outer Loop High Btu Gas Plant"/>
    <x v="62"/>
    <x v="25"/>
    <x v="13"/>
    <n v="9306082"/>
    <x v="161"/>
  </r>
  <r>
    <x v="3"/>
    <x v="52"/>
    <s v="WM Renewable Energy of Ohio - American"/>
    <x v="104"/>
    <x v="38"/>
    <x v="13"/>
    <n v="7817109"/>
    <x v="162"/>
  </r>
  <r>
    <x v="3"/>
    <x v="84"/>
    <s v="Beatrice"/>
    <x v="105"/>
    <x v="19"/>
    <x v="11"/>
    <n v="62500000"/>
    <x v="163"/>
  </r>
  <r>
    <x v="3"/>
    <x v="53"/>
    <s v="REG Grays Harbor, LLC"/>
    <x v="63"/>
    <x v="2"/>
    <x v="11"/>
    <n v="100000000"/>
    <x v="67"/>
  </r>
  <r>
    <x v="3"/>
    <x v="85"/>
    <s v="HPB St Joe Biodiesel LLC"/>
    <x v="106"/>
    <x v="16"/>
    <x v="11"/>
    <n v="30000000"/>
    <x v="164"/>
  </r>
  <r>
    <x v="3"/>
    <x v="85"/>
    <s v="HPB St Joe Biodiesel LLC"/>
    <x v="25"/>
    <x v="16"/>
    <x v="11"/>
    <n v="30000000"/>
    <x v="164"/>
  </r>
  <r>
    <x v="3"/>
    <x v="55"/>
    <s v="Meadow Branch"/>
    <x v="65"/>
    <x v="27"/>
    <x v="13"/>
    <n v="8600000"/>
    <x v="165"/>
  </r>
  <r>
    <x v="3"/>
    <x v="86"/>
    <s v="Global Alternative Fuels LLC/Rio Valley Biofuels"/>
    <x v="107"/>
    <x v="20"/>
    <x v="11"/>
    <n v="15000000"/>
    <x v="166"/>
  </r>
  <r>
    <x v="4"/>
    <x v="59"/>
    <s v="Green Plains Ord LLC"/>
    <x v="76"/>
    <x v="19"/>
    <x v="10"/>
    <m/>
    <x v="96"/>
  </r>
  <r>
    <x v="4"/>
    <x v="60"/>
    <s v="General Biodiesel Seattle, LLC"/>
    <x v="77"/>
    <x v="2"/>
    <x v="11"/>
    <n v="5000000"/>
    <x v="97"/>
  </r>
  <r>
    <x v="4"/>
    <x v="61"/>
    <s v="Green Plains Central City LLC"/>
    <x v="78"/>
    <x v="19"/>
    <x v="10"/>
    <m/>
    <x v="98"/>
  </r>
  <r>
    <x v="4"/>
    <x v="62"/>
    <s v="Guardian Energy Janesville"/>
    <x v="79"/>
    <x v="14"/>
    <x v="10"/>
    <m/>
    <x v="99"/>
  </r>
  <r>
    <x v="4"/>
    <x v="6"/>
    <s v="Pacific Ethanol Holding Co LLC"/>
    <x v="12"/>
    <x v="1"/>
    <x v="10"/>
    <n v="43045800"/>
    <x v="167"/>
  </r>
  <r>
    <x v="4"/>
    <x v="6"/>
    <s v="Pacific Ethanol Holding Co LLC"/>
    <x v="80"/>
    <x v="3"/>
    <x v="10"/>
    <n v="75330150"/>
    <x v="102"/>
  </r>
  <r>
    <x v="4"/>
    <x v="6"/>
    <s v="Pacific Ethanol Holding Co LLC"/>
    <x v="81"/>
    <x v="0"/>
    <x v="10"/>
    <m/>
    <x v="103"/>
  </r>
  <r>
    <x v="4"/>
    <x v="63"/>
    <s v="Copersucar S.A."/>
    <x v="108"/>
    <x v="39"/>
    <x v="10"/>
    <n v="51038199"/>
    <x v="104"/>
  </r>
  <r>
    <x v="4"/>
    <x v="64"/>
    <s v="BIOX Canada Limited"/>
    <x v="83"/>
    <x v="40"/>
    <x v="11"/>
    <n v="16642847"/>
    <x v="105"/>
  </r>
  <r>
    <x v="4"/>
    <x v="65"/>
    <s v="Raízen Energia S/A – Serra"/>
    <x v="109"/>
    <x v="39"/>
    <x v="10"/>
    <m/>
    <x v="106"/>
  </r>
  <r>
    <x v="4"/>
    <x v="9"/>
    <s v="Consolidated Biofuels Ltd."/>
    <x v="15"/>
    <x v="40"/>
    <x v="11"/>
    <n v="489175"/>
    <x v="107"/>
  </r>
  <r>
    <x v="4"/>
    <x v="10"/>
    <s v="Sinclair Wyoming Refining Company"/>
    <x v="16"/>
    <x v="12"/>
    <x v="12"/>
    <n v="108983768"/>
    <x v="168"/>
  </r>
  <r>
    <x v="4"/>
    <x v="66"/>
    <s v="Heron Lake BioEnergy"/>
    <x v="85"/>
    <x v="14"/>
    <x v="10"/>
    <m/>
    <x v="108"/>
  </r>
  <r>
    <x v="4"/>
    <x v="67"/>
    <s v="Bonanza BioEnergy, LLC "/>
    <x v="86"/>
    <x v="32"/>
    <x v="10"/>
    <m/>
    <x v="109"/>
  </r>
  <r>
    <x v="4"/>
    <x v="12"/>
    <s v="Redfield Energy,"/>
    <x v="18"/>
    <x v="13"/>
    <x v="10"/>
    <n v="70000000"/>
    <x v="169"/>
  </r>
  <r>
    <x v="4"/>
    <x v="13"/>
    <s v="Bushmills Ethanol, Inc."/>
    <x v="19"/>
    <x v="14"/>
    <x v="10"/>
    <n v="65000000"/>
    <x v="170"/>
  </r>
  <r>
    <x v="4"/>
    <x v="68"/>
    <s v="ABE South Dakota, LLC"/>
    <x v="70"/>
    <x v="13"/>
    <x v="10"/>
    <m/>
    <x v="113"/>
  </r>
  <r>
    <x v="4"/>
    <x v="68"/>
    <s v="ABE South Dakota, LLC"/>
    <x v="71"/>
    <x v="13"/>
    <x v="10"/>
    <n v="40000000"/>
    <x v="114"/>
  </r>
  <r>
    <x v="4"/>
    <x v="14"/>
    <s v="Neste Singapore Pte Ltd"/>
    <x v="20"/>
    <x v="15"/>
    <x v="12"/>
    <n v="290756447"/>
    <x v="171"/>
  </r>
  <r>
    <x v="4"/>
    <x v="69"/>
    <s v="ADM Deerfield Energy"/>
    <x v="87"/>
    <x v="16"/>
    <x v="11"/>
    <n v="33000000"/>
    <x v="116"/>
  </r>
  <r>
    <x v="4"/>
    <x v="15"/>
    <s v="REG Albert Lea"/>
    <x v="21"/>
    <x v="14"/>
    <x v="11"/>
    <n v="30000000"/>
    <x v="172"/>
  </r>
  <r>
    <x v="4"/>
    <x v="18"/>
    <s v="Ag Processing, Inc."/>
    <x v="24"/>
    <x v="8"/>
    <x v="11"/>
    <n v="75508819"/>
    <x v="119"/>
  </r>
  <r>
    <x v="4"/>
    <x v="18"/>
    <s v="Ag Processing, Inc."/>
    <x v="25"/>
    <x v="16"/>
    <x v="11"/>
    <n v="41601085"/>
    <x v="120"/>
  </r>
  <r>
    <x v="4"/>
    <x v="19"/>
    <s v="FutureFuel Chemical Company"/>
    <x v="26"/>
    <x v="17"/>
    <x v="11"/>
    <n v="59000000"/>
    <x v="121"/>
  </r>
  <r>
    <x v="4"/>
    <x v="20"/>
    <s v="Poet Biorefining-Chancellor"/>
    <x v="27"/>
    <x v="13"/>
    <x v="10"/>
    <n v="128722000"/>
    <x v="173"/>
  </r>
  <r>
    <x v="4"/>
    <x v="70"/>
    <s v="LSCP, LLLP"/>
    <x v="88"/>
    <x v="8"/>
    <x v="10"/>
    <n v="185000000"/>
    <x v="123"/>
  </r>
  <r>
    <x v="4"/>
    <x v="21"/>
    <s v="Yuma Ethanol, LLC"/>
    <x v="28"/>
    <x v="18"/>
    <x v="10"/>
    <m/>
    <x v="124"/>
  </r>
  <r>
    <x v="4"/>
    <x v="22"/>
    <s v="Poet Biorefining-Big Stone"/>
    <x v="29"/>
    <x v="13"/>
    <x v="10"/>
    <n v="90000000"/>
    <x v="125"/>
  </r>
  <r>
    <x v="4"/>
    <x v="71"/>
    <s v="Western Plains Energy, LLC"/>
    <x v="89"/>
    <x v="32"/>
    <x v="10"/>
    <n v="54600000"/>
    <x v="126"/>
  </r>
  <r>
    <x v="4"/>
    <x v="23"/>
    <s v="Trenton Agri Products LLC"/>
    <x v="30"/>
    <x v="19"/>
    <x v="10"/>
    <m/>
    <x v="127"/>
  </r>
  <r>
    <x v="4"/>
    <x v="87"/>
    <s v="Green Plains Holdings II LLC - Lakota"/>
    <x v="110"/>
    <x v="8"/>
    <x v="10"/>
    <m/>
    <x v="174"/>
  </r>
  <r>
    <x v="4"/>
    <x v="24"/>
    <s v="Glacial Lakes-Watertown"/>
    <x v="31"/>
    <x v="13"/>
    <x v="10"/>
    <m/>
    <x v="128"/>
  </r>
  <r>
    <x v="4"/>
    <x v="24"/>
    <s v="Glacial Lakes-Watertown"/>
    <x v="32"/>
    <x v="13"/>
    <x v="10"/>
    <m/>
    <x v="129"/>
  </r>
  <r>
    <x v="4"/>
    <x v="25"/>
    <s v="Sterling Ethanol, LLC"/>
    <x v="33"/>
    <x v="18"/>
    <x v="10"/>
    <n v="60000000"/>
    <x v="130"/>
  </r>
  <r>
    <x v="4"/>
    <x v="72"/>
    <s v="Granite Falls Energy, LLC"/>
    <x v="90"/>
    <x v="14"/>
    <x v="10"/>
    <m/>
    <x v="131"/>
  </r>
  <r>
    <x v="4"/>
    <x v="26"/>
    <s v="Poet Biorefining-Coon Rapids"/>
    <x v="34"/>
    <x v="8"/>
    <x v="10"/>
    <n v="60000000"/>
    <x v="132"/>
  </r>
  <r>
    <x v="4"/>
    <x v="28"/>
    <s v="Poet Biorefining-Mitchell"/>
    <x v="36"/>
    <x v="13"/>
    <x v="10"/>
    <n v="81555600"/>
    <x v="175"/>
  </r>
  <r>
    <x v="4"/>
    <x v="29"/>
    <s v="Poet Biorefining-Hudson"/>
    <x v="37"/>
    <x v="13"/>
    <x v="10"/>
    <n v="70000000"/>
    <x v="134"/>
  </r>
  <r>
    <x v="4"/>
    <x v="73"/>
    <s v="Poet Biorefining-Emmetsburg"/>
    <x v="91"/>
    <x v="8"/>
    <x v="10"/>
    <m/>
    <x v="135"/>
  </r>
  <r>
    <x v="4"/>
    <x v="30"/>
    <s v="Poet Biorefining-Groton"/>
    <x v="111"/>
    <x v="13"/>
    <x v="10"/>
    <n v="65000000"/>
    <x v="176"/>
  </r>
  <r>
    <x v="4"/>
    <x v="31"/>
    <s v="Red Trail Energy LLC"/>
    <x v="39"/>
    <x v="6"/>
    <x v="10"/>
    <n v="170000000"/>
    <x v="177"/>
  </r>
  <r>
    <x v="4"/>
    <x v="32"/>
    <s v="Chippewa Valley Ethanol Company LLLP"/>
    <x v="40"/>
    <x v="14"/>
    <x v="10"/>
    <n v="53269178"/>
    <x v="178"/>
  </r>
  <r>
    <x v="4"/>
    <x v="34"/>
    <s v="Dakota Ethanol, LLC"/>
    <x v="42"/>
    <x v="13"/>
    <x v="10"/>
    <n v="60000000"/>
    <x v="179"/>
  </r>
  <r>
    <x v="4"/>
    <x v="74"/>
    <s v="Heartland Corn Products"/>
    <x v="92"/>
    <x v="14"/>
    <x v="10"/>
    <m/>
    <x v="138"/>
  </r>
  <r>
    <x v="4"/>
    <x v="35"/>
    <s v="E Energy Adams, LLC"/>
    <x v="43"/>
    <x v="19"/>
    <x v="10"/>
    <n v="84000000"/>
    <x v="139"/>
  </r>
  <r>
    <x v="4"/>
    <x v="75"/>
    <s v="High Plains Bioenergy"/>
    <x v="93"/>
    <x v="34"/>
    <x v="11"/>
    <n v="34675000"/>
    <x v="180"/>
  </r>
  <r>
    <x v="4"/>
    <x v="76"/>
    <s v="ADM Mexico"/>
    <x v="94"/>
    <x v="16"/>
    <x v="11"/>
    <n v="50000000"/>
    <x v="141"/>
  </r>
  <r>
    <x v="4"/>
    <x v="36"/>
    <s v="Archer Daniels Midland Company"/>
    <x v="95"/>
    <x v="19"/>
    <x v="10"/>
    <m/>
    <x v="143"/>
  </r>
  <r>
    <x v="4"/>
    <x v="36"/>
    <s v="Archer Daniels Midland Company"/>
    <x v="44"/>
    <x v="1"/>
    <x v="11"/>
    <n v="94500000"/>
    <x v="142"/>
  </r>
  <r>
    <x v="4"/>
    <x v="37"/>
    <s v="SIOUXLAND ETHANOL, LLC"/>
    <x v="45"/>
    <x v="19"/>
    <x v="10"/>
    <n v="82125000"/>
    <x v="144"/>
  </r>
  <r>
    <x v="4"/>
    <x v="38"/>
    <s v="Poet Biorefining-Corning"/>
    <x v="46"/>
    <x v="8"/>
    <x v="10"/>
    <n v="80000000"/>
    <x v="145"/>
  </r>
  <r>
    <x v="4"/>
    <x v="77"/>
    <s v="Absolute Energy, LLC"/>
    <x v="96"/>
    <x v="8"/>
    <x v="10"/>
    <n v="130000000"/>
    <x v="146"/>
  </r>
  <r>
    <x v="4"/>
    <x v="78"/>
    <s v="Green Plains Shenandoah LLC"/>
    <x v="97"/>
    <x v="8"/>
    <x v="10"/>
    <m/>
    <x v="147"/>
  </r>
  <r>
    <x v="4"/>
    <x v="39"/>
    <s v="Husker Ag LLC"/>
    <x v="47"/>
    <x v="19"/>
    <x v="10"/>
    <n v="109000000"/>
    <x v="148"/>
  </r>
  <r>
    <x v="4"/>
    <x v="40"/>
    <s v="Mid America Agri Products/Wheatland, LLC"/>
    <x v="48"/>
    <x v="19"/>
    <x v="10"/>
    <n v="46000000"/>
    <x v="149"/>
  </r>
  <r>
    <x v="4"/>
    <x v="79"/>
    <s v="Midwest Renewable Energy, LLC"/>
    <x v="98"/>
    <x v="19"/>
    <x v="10"/>
    <n v="26500000"/>
    <x v="150"/>
  </r>
  <r>
    <x v="4"/>
    <x v="80"/>
    <s v="Arkalon Ethanol"/>
    <x v="99"/>
    <x v="32"/>
    <x v="10"/>
    <m/>
    <x v="151"/>
  </r>
  <r>
    <x v="4"/>
    <x v="42"/>
    <s v="Bridgeport Ethanol, LLC"/>
    <x v="50"/>
    <x v="19"/>
    <x v="10"/>
    <m/>
    <x v="153"/>
  </r>
  <r>
    <x v="4"/>
    <x v="43"/>
    <s v="Dansuk Industrial Co., LTD."/>
    <x v="101"/>
    <x v="41"/>
    <x v="11"/>
    <n v="16706637"/>
    <x v="154"/>
  </r>
  <r>
    <x v="4"/>
    <x v="82"/>
    <s v="Milligan Biofuels Inc"/>
    <x v="102"/>
    <x v="40"/>
    <x v="11"/>
    <n v="5284016"/>
    <x v="155"/>
  </r>
  <r>
    <x v="4"/>
    <x v="83"/>
    <s v="JC Chemical Co., Ltd."/>
    <x v="112"/>
    <x v="41"/>
    <x v="11"/>
    <n v="33285679"/>
    <x v="156"/>
  </r>
  <r>
    <x v="4"/>
    <x v="45"/>
    <s v="SeQuential Pacific Biodiesel"/>
    <x v="55"/>
    <x v="1"/>
    <x v="11"/>
    <n v="10000000"/>
    <x v="157"/>
  </r>
  <r>
    <x v="4"/>
    <x v="46"/>
    <s v="REG Mason City"/>
    <x v="56"/>
    <x v="8"/>
    <x v="11"/>
    <n v="30000000"/>
    <x v="181"/>
  </r>
  <r>
    <x v="4"/>
    <x v="47"/>
    <s v="ADM Agri Industries"/>
    <x v="57"/>
    <x v="40"/>
    <x v="11"/>
    <m/>
    <x v="95"/>
  </r>
  <r>
    <x v="4"/>
    <x v="48"/>
    <s v="Guardian Energy Hankinson"/>
    <x v="58"/>
    <x v="6"/>
    <x v="10"/>
    <m/>
    <x v="159"/>
  </r>
  <r>
    <x v="4"/>
    <x v="50"/>
    <s v="REG Geismar, LLC"/>
    <x v="60"/>
    <x v="5"/>
    <x v="12"/>
    <n v="75000000"/>
    <x v="182"/>
  </r>
  <r>
    <x v="4"/>
    <x v="52"/>
    <s v="WM Renewable Energy, LLC"/>
    <x v="62"/>
    <x v="25"/>
    <x v="13"/>
    <n v="9306082"/>
    <x v="183"/>
  </r>
  <r>
    <x v="4"/>
    <x v="52"/>
    <s v="WM Renewable Energy, LLC"/>
    <x v="104"/>
    <x v="38"/>
    <x v="13"/>
    <n v="7817109"/>
    <x v="162"/>
  </r>
  <r>
    <x v="4"/>
    <x v="84"/>
    <s v="Duonix Beatrice"/>
    <x v="105"/>
    <x v="19"/>
    <x v="11"/>
    <n v="62500000"/>
    <x v="163"/>
  </r>
  <r>
    <x v="4"/>
    <x v="53"/>
    <s v="REG Grays Harbor LLC"/>
    <x v="63"/>
    <x v="2"/>
    <x v="11"/>
    <n v="100000000"/>
    <x v="184"/>
  </r>
  <r>
    <x v="4"/>
    <x v="85"/>
    <s v="HPB St Joe Biodiesel, LLC"/>
    <x v="106"/>
    <x v="16"/>
    <x v="11"/>
    <n v="30000000"/>
    <x v="185"/>
  </r>
  <r>
    <x v="4"/>
    <x v="86"/>
    <s v="Global Alternative Fuels LLC"/>
    <x v="107"/>
    <x v="20"/>
    <x v="11"/>
    <n v="15000000"/>
    <x v="166"/>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5">
  <r>
    <x v="0"/>
    <x v="0"/>
    <x v="0"/>
    <x v="0"/>
    <n v="45.230000000000004"/>
  </r>
  <r>
    <x v="0"/>
    <x v="0"/>
    <x v="0"/>
    <x v="1"/>
    <n v="119.55"/>
  </r>
  <r>
    <x v="0"/>
    <x v="0"/>
    <x v="1"/>
    <x v="0"/>
    <n v="35"/>
  </r>
  <r>
    <x v="0"/>
    <x v="0"/>
    <x v="2"/>
    <x v="0"/>
    <n v="100.77"/>
  </r>
  <r>
    <x v="0"/>
    <x v="0"/>
    <x v="3"/>
    <x v="0"/>
    <n v="99.64"/>
  </r>
  <r>
    <x v="0"/>
    <x v="0"/>
    <x v="3"/>
    <x v="2"/>
    <n v="98.64"/>
  </r>
  <r>
    <x v="0"/>
    <x v="0"/>
    <x v="3"/>
    <x v="1"/>
    <n v="129.49"/>
  </r>
  <r>
    <x v="0"/>
    <x v="0"/>
    <x v="4"/>
    <x v="0"/>
    <n v="39.380000000000003"/>
  </r>
  <r>
    <x v="0"/>
    <x v="0"/>
    <x v="4"/>
    <x v="1"/>
    <n v="129.65"/>
  </r>
  <r>
    <x v="0"/>
    <x v="0"/>
    <x v="5"/>
    <x v="3"/>
    <n v="3.4"/>
  </r>
  <r>
    <x v="0"/>
    <x v="0"/>
    <x v="6"/>
    <x v="3"/>
    <n v="0.9"/>
  </r>
  <r>
    <x v="0"/>
    <x v="0"/>
    <x v="7"/>
    <x v="0"/>
    <n v="120.27"/>
  </r>
  <r>
    <x v="0"/>
    <x v="0"/>
    <x v="7"/>
    <x v="1"/>
    <n v="3.6"/>
  </r>
  <r>
    <x v="0"/>
    <x v="0"/>
    <x v="8"/>
    <x v="0"/>
    <n v="60.877499999999998"/>
  </r>
  <r>
    <x v="0"/>
    <x v="0"/>
    <x v="8"/>
    <x v="1"/>
    <n v="81.510000000000005"/>
  </r>
  <r>
    <x v="0"/>
    <x v="0"/>
    <x v="9"/>
    <x v="0"/>
    <n v="79.930000000000007"/>
  </r>
  <r>
    <x v="0"/>
    <x v="0"/>
    <x v="9"/>
    <x v="1"/>
    <n v="0.98"/>
  </r>
  <r>
    <x v="0"/>
    <x v="0"/>
    <x v="10"/>
    <x v="1"/>
    <n v="76.84"/>
  </r>
  <r>
    <x v="0"/>
    <x v="0"/>
    <x v="11"/>
    <x v="0"/>
    <n v="98.62"/>
  </r>
  <r>
    <x v="0"/>
    <x v="0"/>
    <x v="11"/>
    <x v="2"/>
    <n v="97.63"/>
  </r>
  <r>
    <x v="0"/>
    <x v="0"/>
    <x v="11"/>
    <x v="1"/>
    <n v="116.09"/>
  </r>
  <r>
    <x v="0"/>
    <x v="0"/>
    <x v="12"/>
    <x v="0"/>
    <n v="100.77"/>
  </r>
  <r>
    <x v="0"/>
    <x v="0"/>
    <x v="12"/>
    <x v="1"/>
    <n v="116.09"/>
  </r>
  <r>
    <x v="0"/>
    <x v="0"/>
    <x v="13"/>
    <x v="1"/>
    <n v="123"/>
  </r>
  <r>
    <x v="0"/>
    <x v="0"/>
    <x v="14"/>
    <x v="2"/>
    <m/>
  </r>
  <r>
    <x v="0"/>
    <x v="0"/>
    <x v="14"/>
    <x v="1"/>
    <n v="0"/>
  </r>
  <r>
    <x v="0"/>
    <x v="0"/>
    <x v="15"/>
    <x v="3"/>
    <n v="3470"/>
  </r>
  <r>
    <x v="0"/>
    <x v="0"/>
    <x v="16"/>
    <x v="0"/>
    <n v="83.05"/>
  </r>
  <r>
    <x v="0"/>
    <x v="0"/>
    <x v="16"/>
    <x v="1"/>
    <n v="96.5"/>
  </r>
  <r>
    <x v="1"/>
    <x v="1"/>
    <x v="0"/>
    <x v="0"/>
    <n v="47.09"/>
  </r>
  <r>
    <x v="1"/>
    <x v="1"/>
    <x v="0"/>
    <x v="1"/>
    <n v="126.13"/>
  </r>
  <r>
    <x v="1"/>
    <x v="1"/>
    <x v="1"/>
    <x v="0"/>
    <n v="35"/>
  </r>
  <r>
    <x v="1"/>
    <x v="1"/>
    <x v="2"/>
    <x v="0"/>
    <n v="100.77"/>
  </r>
  <r>
    <x v="1"/>
    <x v="1"/>
    <x v="3"/>
    <x v="0"/>
    <n v="101.65"/>
  </r>
  <r>
    <x v="1"/>
    <x v="1"/>
    <x v="3"/>
    <x v="2"/>
    <n v="98.12"/>
  </r>
  <r>
    <x v="1"/>
    <x v="1"/>
    <x v="3"/>
    <x v="1"/>
    <n v="134.47999999999999"/>
  </r>
  <r>
    <x v="1"/>
    <x v="1"/>
    <x v="4"/>
    <x v="0"/>
    <n v="45.752499999999998"/>
  </r>
  <r>
    <x v="1"/>
    <x v="1"/>
    <x v="4"/>
    <x v="1"/>
    <n v="129.65"/>
  </r>
  <r>
    <x v="1"/>
    <x v="1"/>
    <x v="5"/>
    <x v="3"/>
    <n v="3.4"/>
  </r>
  <r>
    <x v="1"/>
    <x v="1"/>
    <x v="6"/>
    <x v="3"/>
    <n v="0.9"/>
  </r>
  <r>
    <x v="1"/>
    <x v="1"/>
    <x v="7"/>
    <x v="0"/>
    <n v="120.27"/>
  </r>
  <r>
    <x v="1"/>
    <x v="1"/>
    <x v="7"/>
    <x v="1"/>
    <n v="3.6"/>
  </r>
  <r>
    <x v="1"/>
    <x v="1"/>
    <x v="8"/>
    <x v="0"/>
    <n v="59.01863095238096"/>
  </r>
  <r>
    <x v="1"/>
    <x v="1"/>
    <x v="8"/>
    <x v="1"/>
    <n v="81.510000000000005"/>
  </r>
  <r>
    <x v="1"/>
    <x v="1"/>
    <x v="9"/>
    <x v="0"/>
    <n v="79.930000000000007"/>
  </r>
  <r>
    <x v="1"/>
    <x v="1"/>
    <x v="9"/>
    <x v="1"/>
    <n v="0.98"/>
  </r>
  <r>
    <x v="1"/>
    <x v="1"/>
    <x v="10"/>
    <x v="1"/>
    <n v="78.83"/>
  </r>
  <r>
    <x v="1"/>
    <x v="1"/>
    <x v="11"/>
    <x v="0"/>
    <n v="98.64"/>
  </r>
  <r>
    <x v="1"/>
    <x v="1"/>
    <x v="11"/>
    <x v="2"/>
    <n v="97.16"/>
  </r>
  <r>
    <x v="1"/>
    <x v="1"/>
    <x v="11"/>
    <x v="1"/>
    <n v="118.383"/>
  </r>
  <r>
    <x v="1"/>
    <x v="1"/>
    <x v="12"/>
    <x v="0"/>
    <n v="100.77"/>
  </r>
  <r>
    <x v="1"/>
    <x v="1"/>
    <x v="12"/>
    <x v="1"/>
    <n v="122.48"/>
  </r>
  <r>
    <x v="1"/>
    <x v="1"/>
    <x v="13"/>
    <x v="1"/>
    <n v="123"/>
  </r>
  <r>
    <x v="1"/>
    <x v="1"/>
    <x v="14"/>
    <x v="2"/>
    <m/>
  </r>
  <r>
    <x v="1"/>
    <x v="1"/>
    <x v="14"/>
    <x v="1"/>
    <n v="0"/>
  </r>
  <r>
    <x v="1"/>
    <x v="1"/>
    <x v="15"/>
    <x v="3"/>
    <n v="3470"/>
  </r>
  <r>
    <x v="1"/>
    <x v="1"/>
    <x v="16"/>
    <x v="0"/>
    <n v="83.05"/>
  </r>
  <r>
    <x v="1"/>
    <x v="1"/>
    <x v="16"/>
    <x v="1"/>
    <n v="89.63"/>
  </r>
  <r>
    <x v="2"/>
    <x v="1"/>
    <x v="3"/>
    <x v="4"/>
    <n v="-1.556351194E-2"/>
  </r>
  <r>
    <x v="2"/>
    <x v="1"/>
    <x v="17"/>
    <x v="4"/>
    <n v="0.01"/>
  </r>
  <r>
    <x v="2"/>
    <x v="1"/>
    <x v="11"/>
    <x v="4"/>
    <n v="4.5776239147999999E-3"/>
  </r>
  <r>
    <x v="2"/>
    <x v="1"/>
    <x v="16"/>
    <x v="4"/>
    <n v="2"/>
  </r>
  <r>
    <x v="2"/>
    <x v="1"/>
    <x v="18"/>
    <x v="4"/>
    <n v="0.14299109235999999"/>
  </r>
  <r>
    <x v="2"/>
    <x v="2"/>
    <x v="0"/>
    <x v="5"/>
    <n v="6.9000000000000006E-2"/>
  </r>
  <r>
    <x v="2"/>
    <x v="2"/>
    <x v="0"/>
    <x v="0"/>
    <n v="35.4"/>
  </r>
  <r>
    <x v="2"/>
    <x v="2"/>
    <x v="0"/>
    <x v="1"/>
    <n v="126.13"/>
  </r>
  <r>
    <x v="2"/>
    <x v="2"/>
    <x v="1"/>
    <x v="5"/>
    <n v="0.7"/>
  </r>
  <r>
    <x v="2"/>
    <x v="2"/>
    <x v="1"/>
    <x v="0"/>
    <n v="50"/>
  </r>
  <r>
    <x v="2"/>
    <x v="2"/>
    <x v="2"/>
    <x v="0"/>
    <n v="100.14"/>
  </r>
  <r>
    <x v="2"/>
    <x v="2"/>
    <x v="3"/>
    <x v="0"/>
    <n v="100.74"/>
  </r>
  <r>
    <x v="2"/>
    <x v="2"/>
    <x v="3"/>
    <x v="2"/>
    <n v="96.27"/>
  </r>
  <r>
    <x v="2"/>
    <x v="2"/>
    <x v="3"/>
    <x v="1"/>
    <n v="134.47999999999999"/>
  </r>
  <r>
    <x v="2"/>
    <x v="2"/>
    <x v="3"/>
    <x v="4"/>
    <n v="4.4104026435999996E-3"/>
  </r>
  <r>
    <x v="2"/>
    <x v="2"/>
    <x v="4"/>
    <x v="0"/>
    <n v="29.165339245815588"/>
  </r>
  <r>
    <x v="2"/>
    <x v="2"/>
    <x v="4"/>
    <x v="1"/>
    <n v="129.65"/>
  </r>
  <r>
    <x v="2"/>
    <x v="2"/>
    <x v="5"/>
    <x v="3"/>
    <n v="3.4"/>
  </r>
  <r>
    <x v="2"/>
    <x v="2"/>
    <x v="6"/>
    <x v="3"/>
    <n v="0.9"/>
  </r>
  <r>
    <x v="2"/>
    <x v="2"/>
    <x v="17"/>
    <x v="4"/>
    <n v="0.01"/>
  </r>
  <r>
    <x v="2"/>
    <x v="2"/>
    <x v="7"/>
    <x v="0"/>
    <n v="109.31"/>
  </r>
  <r>
    <x v="2"/>
    <x v="2"/>
    <x v="7"/>
    <x v="1"/>
    <n v="3.6"/>
  </r>
  <r>
    <x v="2"/>
    <x v="2"/>
    <x v="8"/>
    <x v="5"/>
    <n v="0.10100000000000001"/>
  </r>
  <r>
    <x v="2"/>
    <x v="2"/>
    <x v="8"/>
    <x v="0"/>
    <n v="57.76"/>
  </r>
  <r>
    <x v="2"/>
    <x v="2"/>
    <x v="8"/>
    <x v="1"/>
    <n v="81.510000000000005"/>
  </r>
  <r>
    <x v="2"/>
    <x v="2"/>
    <x v="9"/>
    <x v="0"/>
    <n v="79.98"/>
  </r>
  <r>
    <x v="2"/>
    <x v="2"/>
    <x v="9"/>
    <x v="1"/>
    <n v="0.98"/>
  </r>
  <r>
    <x v="2"/>
    <x v="2"/>
    <x v="10"/>
    <x v="1"/>
    <n v="78.83"/>
  </r>
  <r>
    <x v="2"/>
    <x v="2"/>
    <x v="11"/>
    <x v="0"/>
    <n v="100.14"/>
  </r>
  <r>
    <x v="2"/>
    <x v="2"/>
    <x v="11"/>
    <x v="2"/>
    <n v="95.61"/>
  </r>
  <r>
    <x v="2"/>
    <x v="2"/>
    <x v="11"/>
    <x v="1"/>
    <n v="122.48"/>
  </r>
  <r>
    <x v="2"/>
    <x v="2"/>
    <x v="11"/>
    <x v="4"/>
    <n v="4.8945290938999996E-3"/>
  </r>
  <r>
    <x v="2"/>
    <x v="2"/>
    <x v="12"/>
    <x v="0"/>
    <n v="100.14"/>
  </r>
  <r>
    <x v="2"/>
    <x v="2"/>
    <x v="12"/>
    <x v="1"/>
    <n v="122.48"/>
  </r>
  <r>
    <x v="2"/>
    <x v="2"/>
    <x v="13"/>
    <x v="1"/>
    <n v="120"/>
  </r>
  <r>
    <x v="2"/>
    <x v="2"/>
    <x v="14"/>
    <x v="2"/>
    <n v="90.8"/>
  </r>
  <r>
    <x v="2"/>
    <x v="2"/>
    <x v="14"/>
    <x v="1"/>
    <n v="126.37"/>
  </r>
  <r>
    <x v="2"/>
    <x v="2"/>
    <x v="15"/>
    <x v="3"/>
    <n v="3621"/>
  </r>
  <r>
    <x v="2"/>
    <x v="2"/>
    <x v="16"/>
    <x v="0"/>
    <n v="80.88"/>
  </r>
  <r>
    <x v="2"/>
    <x v="2"/>
    <x v="16"/>
    <x v="1"/>
    <n v="89.63"/>
  </r>
  <r>
    <x v="2"/>
    <x v="2"/>
    <x v="16"/>
    <x v="4"/>
    <n v="1"/>
  </r>
  <r>
    <x v="2"/>
    <x v="2"/>
    <x v="18"/>
    <x v="4"/>
    <n v="6.5668580803999996E-2"/>
  </r>
  <r>
    <x v="2"/>
    <x v="2"/>
    <x v="19"/>
    <x v="5"/>
    <n v="3.5000000000000003E-2"/>
  </r>
  <r>
    <x v="3"/>
    <x v="2"/>
    <x v="0"/>
    <x v="5"/>
    <n v="8.5999999999999993E-2"/>
  </r>
  <r>
    <x v="3"/>
    <x v="2"/>
    <x v="0"/>
    <x v="0"/>
    <n v="32.596249999999998"/>
  </r>
  <r>
    <x v="3"/>
    <x v="2"/>
    <x v="1"/>
    <x v="5"/>
    <n v="0.67500000000000004"/>
  </r>
  <r>
    <x v="3"/>
    <x v="2"/>
    <x v="1"/>
    <x v="0"/>
    <n v="49"/>
  </r>
  <r>
    <x v="3"/>
    <x v="2"/>
    <x v="3"/>
    <x v="4"/>
    <n v="-3.1046501075563837E-2"/>
  </r>
  <r>
    <x v="3"/>
    <x v="2"/>
    <x v="4"/>
    <x v="0"/>
    <n v="33.181249999999999"/>
  </r>
  <r>
    <x v="3"/>
    <x v="2"/>
    <x v="17"/>
    <x v="4"/>
    <n v="0.5"/>
  </r>
  <r>
    <x v="3"/>
    <x v="2"/>
    <x v="8"/>
    <x v="5"/>
    <n v="0.10100000000000001"/>
  </r>
  <r>
    <x v="3"/>
    <x v="2"/>
    <x v="8"/>
    <x v="0"/>
    <n v="52.83"/>
  </r>
  <r>
    <x v="3"/>
    <x v="2"/>
    <x v="11"/>
    <x v="4"/>
    <n v="-0.106"/>
  </r>
  <r>
    <x v="3"/>
    <x v="2"/>
    <x v="15"/>
    <x v="3"/>
    <n v="3021.0776345659137"/>
  </r>
  <r>
    <x v="3"/>
    <x v="2"/>
    <x v="16"/>
    <x v="4"/>
    <n v="1"/>
  </r>
  <r>
    <x v="3"/>
    <x v="2"/>
    <x v="18"/>
    <x v="4"/>
    <n v="0.1"/>
  </r>
  <r>
    <x v="3"/>
    <x v="2"/>
    <x v="19"/>
    <x v="5"/>
    <n v="4.2000000000000003E-2"/>
  </r>
  <r>
    <x v="3"/>
    <x v="3"/>
    <x v="0"/>
    <x v="5"/>
    <n v="9.6000000000000002E-2"/>
  </r>
  <r>
    <x v="3"/>
    <x v="3"/>
    <x v="0"/>
    <x v="0"/>
    <n v="26.5"/>
  </r>
  <r>
    <x v="3"/>
    <x v="3"/>
    <x v="0"/>
    <x v="1"/>
    <n v="126.13"/>
  </r>
  <r>
    <x v="3"/>
    <x v="3"/>
    <x v="1"/>
    <x v="5"/>
    <n v="0.75"/>
  </r>
  <r>
    <x v="3"/>
    <x v="3"/>
    <x v="1"/>
    <x v="0"/>
    <n v="49"/>
  </r>
  <r>
    <x v="3"/>
    <x v="3"/>
    <x v="2"/>
    <x v="0"/>
    <n v="100.14"/>
  </r>
  <r>
    <x v="3"/>
    <x v="3"/>
    <x v="3"/>
    <x v="0"/>
    <n v="100.74"/>
  </r>
  <r>
    <x v="3"/>
    <x v="3"/>
    <x v="3"/>
    <x v="2"/>
    <n v="95.29"/>
  </r>
  <r>
    <x v="3"/>
    <x v="3"/>
    <x v="3"/>
    <x v="1"/>
    <n v="134.47999999999999"/>
  </r>
  <r>
    <x v="3"/>
    <x v="3"/>
    <x v="3"/>
    <x v="4"/>
    <n v="4.6262661114707893E-2"/>
  </r>
  <r>
    <x v="3"/>
    <x v="3"/>
    <x v="4"/>
    <x v="0"/>
    <n v="27.2"/>
  </r>
  <r>
    <x v="3"/>
    <x v="3"/>
    <x v="4"/>
    <x v="1"/>
    <n v="129.65"/>
  </r>
  <r>
    <x v="3"/>
    <x v="3"/>
    <x v="5"/>
    <x v="3"/>
    <n v="3.4"/>
  </r>
  <r>
    <x v="3"/>
    <x v="3"/>
    <x v="6"/>
    <x v="3"/>
    <n v="0.9"/>
  </r>
  <r>
    <x v="3"/>
    <x v="3"/>
    <x v="17"/>
    <x v="4"/>
    <n v="0.75"/>
  </r>
  <r>
    <x v="3"/>
    <x v="3"/>
    <x v="7"/>
    <x v="0"/>
    <n v="92"/>
  </r>
  <r>
    <x v="3"/>
    <x v="3"/>
    <x v="7"/>
    <x v="1"/>
    <n v="3.6"/>
  </r>
  <r>
    <x v="3"/>
    <x v="3"/>
    <x v="8"/>
    <x v="5"/>
    <n v="0.10100000000000001"/>
  </r>
  <r>
    <x v="3"/>
    <x v="3"/>
    <x v="8"/>
    <x v="0"/>
    <n v="47.5"/>
  </r>
  <r>
    <x v="3"/>
    <x v="3"/>
    <x v="8"/>
    <x v="1"/>
    <n v="81.510000000000005"/>
  </r>
  <r>
    <x v="3"/>
    <x v="3"/>
    <x v="9"/>
    <x v="0"/>
    <n v="79.98"/>
  </r>
  <r>
    <x v="3"/>
    <x v="3"/>
    <x v="9"/>
    <x v="1"/>
    <n v="105.5"/>
  </r>
  <r>
    <x v="3"/>
    <x v="3"/>
    <x v="10"/>
    <x v="1"/>
    <n v="78.83"/>
  </r>
  <r>
    <x v="3"/>
    <x v="3"/>
    <x v="11"/>
    <x v="0"/>
    <n v="100.14"/>
  </r>
  <r>
    <x v="3"/>
    <x v="3"/>
    <x v="11"/>
    <x v="2"/>
    <n v="94.63"/>
  </r>
  <r>
    <x v="3"/>
    <x v="3"/>
    <x v="11"/>
    <x v="1"/>
    <n v="122.48"/>
  </r>
  <r>
    <x v="3"/>
    <x v="3"/>
    <x v="11"/>
    <x v="4"/>
    <n v="0.10299999999999999"/>
  </r>
  <r>
    <x v="3"/>
    <x v="3"/>
    <x v="12"/>
    <x v="0"/>
    <n v="98.16"/>
  </r>
  <r>
    <x v="3"/>
    <x v="3"/>
    <x v="12"/>
    <x v="1"/>
    <n v="122.48"/>
  </r>
  <r>
    <x v="3"/>
    <x v="3"/>
    <x v="13"/>
    <x v="1"/>
    <n v="120"/>
  </r>
  <r>
    <x v="3"/>
    <x v="3"/>
    <x v="14"/>
    <x v="2"/>
    <n v="90.8"/>
  </r>
  <r>
    <x v="3"/>
    <x v="3"/>
    <x v="14"/>
    <x v="1"/>
    <n v="126.37"/>
  </r>
  <r>
    <x v="3"/>
    <x v="3"/>
    <x v="15"/>
    <x v="3"/>
    <n v="3506.0776345659137"/>
  </r>
  <r>
    <x v="3"/>
    <x v="3"/>
    <x v="16"/>
    <x v="0"/>
    <n v="66.010000000000005"/>
  </r>
  <r>
    <x v="3"/>
    <x v="3"/>
    <x v="16"/>
    <x v="1"/>
    <n v="89.63"/>
  </r>
  <r>
    <x v="3"/>
    <x v="3"/>
    <x v="16"/>
    <x v="4"/>
    <n v="0.7"/>
  </r>
  <r>
    <x v="3"/>
    <x v="3"/>
    <x v="18"/>
    <x v="4"/>
    <n v="7.0000000000000007E-2"/>
  </r>
  <r>
    <x v="3"/>
    <x v="3"/>
    <x v="19"/>
    <x v="5"/>
    <n v="7.2999999999999995E-2"/>
  </r>
  <r>
    <x v="4"/>
    <x v="3"/>
    <x v="0"/>
    <x v="5"/>
    <n v="9.8000000000000004E-2"/>
  </r>
  <r>
    <x v="4"/>
    <x v="3"/>
    <x v="0"/>
    <x v="0"/>
    <n v="36"/>
  </r>
  <r>
    <x v="4"/>
    <x v="3"/>
    <x v="1"/>
    <x v="5"/>
    <n v="0.875"/>
  </r>
  <r>
    <x v="4"/>
    <x v="3"/>
    <x v="1"/>
    <x v="0"/>
    <n v="49"/>
  </r>
  <r>
    <x v="4"/>
    <x v="3"/>
    <x v="3"/>
    <x v="4"/>
    <m/>
  </r>
  <r>
    <x v="4"/>
    <x v="3"/>
    <x v="4"/>
    <x v="0"/>
    <n v="37.5"/>
  </r>
  <r>
    <x v="4"/>
    <x v="3"/>
    <x v="17"/>
    <x v="4"/>
    <n v="0.5"/>
  </r>
  <r>
    <x v="4"/>
    <x v="3"/>
    <x v="8"/>
    <x v="5"/>
    <n v="0.10100000000000001"/>
  </r>
  <r>
    <x v="4"/>
    <x v="3"/>
    <x v="8"/>
    <x v="0"/>
    <n v="49"/>
  </r>
  <r>
    <x v="4"/>
    <x v="3"/>
    <x v="11"/>
    <x v="4"/>
    <m/>
  </r>
  <r>
    <x v="4"/>
    <x v="3"/>
    <x v="15"/>
    <x v="3"/>
    <n v="4374.2066983916566"/>
  </r>
  <r>
    <x v="4"/>
    <x v="3"/>
    <x v="16"/>
    <x v="4"/>
    <n v="0.5"/>
  </r>
  <r>
    <x v="4"/>
    <x v="3"/>
    <x v="18"/>
    <x v="4"/>
    <n v="0.25"/>
  </r>
  <r>
    <x v="4"/>
    <x v="3"/>
    <x v="19"/>
    <x v="5"/>
    <n v="0.03"/>
  </r>
  <r>
    <x v="4"/>
    <x v="4"/>
    <x v="0"/>
    <x v="5"/>
    <n v="0.105"/>
  </r>
  <r>
    <x v="4"/>
    <x v="4"/>
    <x v="0"/>
    <x v="0"/>
    <n v="31.5"/>
  </r>
  <r>
    <x v="4"/>
    <x v="4"/>
    <x v="0"/>
    <x v="1"/>
    <n v="126.13"/>
  </r>
  <r>
    <x v="4"/>
    <x v="4"/>
    <x v="1"/>
    <x v="5"/>
    <n v="0.9"/>
  </r>
  <r>
    <x v="4"/>
    <x v="4"/>
    <x v="1"/>
    <x v="0"/>
    <n v="49"/>
  </r>
  <r>
    <x v="4"/>
    <x v="4"/>
    <x v="3"/>
    <x v="0"/>
    <n v="100.74"/>
  </r>
  <r>
    <x v="4"/>
    <x v="4"/>
    <x v="3"/>
    <x v="2"/>
    <n v="93.81"/>
  </r>
  <r>
    <x v="4"/>
    <x v="4"/>
    <x v="3"/>
    <x v="1"/>
    <n v="134.47999999999999"/>
  </r>
  <r>
    <x v="4"/>
    <x v="4"/>
    <x v="3"/>
    <x v="4"/>
    <m/>
  </r>
  <r>
    <x v="4"/>
    <x v="4"/>
    <x v="4"/>
    <x v="0"/>
    <n v="34.75"/>
  </r>
  <r>
    <x v="4"/>
    <x v="4"/>
    <x v="4"/>
    <x v="1"/>
    <n v="129.65"/>
  </r>
  <r>
    <x v="4"/>
    <x v="4"/>
    <x v="5"/>
    <x v="3"/>
    <n v="3.4"/>
  </r>
  <r>
    <x v="4"/>
    <x v="4"/>
    <x v="6"/>
    <x v="3"/>
    <n v="0.9"/>
  </r>
  <r>
    <x v="4"/>
    <x v="4"/>
    <x v="17"/>
    <x v="4"/>
    <n v="0.65"/>
  </r>
  <r>
    <x v="4"/>
    <x v="4"/>
    <x v="7"/>
    <x v="0"/>
    <n v="0"/>
  </r>
  <r>
    <x v="4"/>
    <x v="4"/>
    <x v="7"/>
    <x v="1"/>
    <n v="3.6"/>
  </r>
  <r>
    <x v="4"/>
    <x v="4"/>
    <x v="8"/>
    <x v="5"/>
    <n v="0.10100000000000001"/>
  </r>
  <r>
    <x v="4"/>
    <x v="4"/>
    <x v="8"/>
    <x v="0"/>
    <n v="46.5"/>
  </r>
  <r>
    <x v="4"/>
    <x v="4"/>
    <x v="8"/>
    <x v="1"/>
    <n v="81.510000000000005"/>
  </r>
  <r>
    <x v="4"/>
    <x v="4"/>
    <x v="9"/>
    <x v="0"/>
    <n v="79.98"/>
  </r>
  <r>
    <x v="4"/>
    <x v="4"/>
    <x v="9"/>
    <x v="1"/>
    <n v="105.5"/>
  </r>
  <r>
    <x v="4"/>
    <x v="4"/>
    <x v="10"/>
    <x v="1"/>
    <n v="78.83"/>
  </r>
  <r>
    <x v="4"/>
    <x v="4"/>
    <x v="11"/>
    <x v="0"/>
    <n v="100.14"/>
  </r>
  <r>
    <x v="4"/>
    <x v="4"/>
    <x v="11"/>
    <x v="2"/>
    <n v="93.15"/>
  </r>
  <r>
    <x v="4"/>
    <x v="4"/>
    <x v="11"/>
    <x v="1"/>
    <n v="122.48"/>
  </r>
  <r>
    <x v="4"/>
    <x v="4"/>
    <x v="11"/>
    <x v="4"/>
    <m/>
  </r>
  <r>
    <x v="4"/>
    <x v="4"/>
    <x v="12"/>
    <x v="0"/>
    <n v="98.06"/>
  </r>
  <r>
    <x v="4"/>
    <x v="4"/>
    <x v="12"/>
    <x v="1"/>
    <n v="122.48"/>
  </r>
  <r>
    <x v="4"/>
    <x v="4"/>
    <x v="13"/>
    <x v="1"/>
    <n v="120"/>
  </r>
  <r>
    <x v="4"/>
    <x v="4"/>
    <x v="14"/>
    <x v="2"/>
    <n v="90.8"/>
  </r>
  <r>
    <x v="4"/>
    <x v="4"/>
    <x v="14"/>
    <x v="1"/>
    <n v="126.37"/>
  </r>
  <r>
    <x v="4"/>
    <x v="4"/>
    <x v="15"/>
    <x v="3"/>
    <n v="4474.2066983916566"/>
  </r>
  <r>
    <x v="4"/>
    <x v="4"/>
    <x v="16"/>
    <x v="0"/>
    <n v="48"/>
  </r>
  <r>
    <x v="4"/>
    <x v="4"/>
    <x v="16"/>
    <x v="1"/>
    <n v="89.63"/>
  </r>
  <r>
    <x v="4"/>
    <x v="4"/>
    <x v="16"/>
    <x v="4"/>
    <n v="0.7"/>
  </r>
  <r>
    <x v="4"/>
    <x v="4"/>
    <x v="18"/>
    <x v="4"/>
    <n v="0.35"/>
  </r>
  <r>
    <x v="4"/>
    <x v="4"/>
    <x v="19"/>
    <x v="5"/>
    <n v="0.06"/>
  </r>
  <r>
    <x v="5"/>
    <x v="4"/>
    <x v="0"/>
    <x v="5"/>
    <n v="0.1"/>
  </r>
  <r>
    <x v="5"/>
    <x v="4"/>
    <x v="0"/>
    <x v="0"/>
    <n v="40"/>
  </r>
  <r>
    <x v="5"/>
    <x v="4"/>
    <x v="1"/>
    <x v="5"/>
    <n v="0.92500000000000004"/>
  </r>
  <r>
    <x v="5"/>
    <x v="4"/>
    <x v="1"/>
    <x v="0"/>
    <n v="12"/>
  </r>
  <r>
    <x v="5"/>
    <x v="4"/>
    <x v="3"/>
    <x v="4"/>
    <m/>
  </r>
  <r>
    <x v="5"/>
    <x v="4"/>
    <x v="4"/>
    <x v="0"/>
    <n v="36"/>
  </r>
  <r>
    <x v="5"/>
    <x v="4"/>
    <x v="17"/>
    <x v="4"/>
    <n v="0.5"/>
  </r>
  <r>
    <x v="5"/>
    <x v="4"/>
    <x v="8"/>
    <x v="5"/>
    <n v="0.10199999999999999"/>
  </r>
  <r>
    <x v="5"/>
    <x v="4"/>
    <x v="8"/>
    <x v="0"/>
    <n v="52"/>
  </r>
  <r>
    <x v="5"/>
    <x v="4"/>
    <x v="11"/>
    <x v="4"/>
    <m/>
  </r>
  <r>
    <x v="5"/>
    <x v="4"/>
    <x v="15"/>
    <x v="3"/>
    <n v="4062.4281992024216"/>
  </r>
  <r>
    <x v="5"/>
    <x v="4"/>
    <x v="16"/>
    <x v="4"/>
    <n v="0.25"/>
  </r>
  <r>
    <x v="5"/>
    <x v="4"/>
    <x v="18"/>
    <x v="4"/>
    <n v="0.1"/>
  </r>
  <r>
    <x v="5"/>
    <x v="4"/>
    <x v="19"/>
    <x v="5"/>
    <n v="0.02"/>
  </r>
  <r>
    <x v="5"/>
    <x v="5"/>
    <x v="0"/>
    <x v="5"/>
    <n v="0.11"/>
  </r>
  <r>
    <x v="5"/>
    <x v="5"/>
    <x v="0"/>
    <x v="0"/>
    <n v="39"/>
  </r>
  <r>
    <x v="5"/>
    <x v="5"/>
    <x v="0"/>
    <x v="1"/>
    <n v="126.13"/>
  </r>
  <r>
    <x v="5"/>
    <x v="5"/>
    <x v="1"/>
    <x v="5"/>
    <n v="0.95"/>
  </r>
  <r>
    <x v="5"/>
    <x v="5"/>
    <x v="1"/>
    <x v="0"/>
    <n v="0"/>
  </r>
  <r>
    <x v="5"/>
    <x v="5"/>
    <x v="3"/>
    <x v="0"/>
    <n v="100.74"/>
  </r>
  <r>
    <x v="5"/>
    <x v="5"/>
    <x v="3"/>
    <x v="2"/>
    <n v="92.32"/>
  </r>
  <r>
    <x v="5"/>
    <x v="5"/>
    <x v="3"/>
    <x v="1"/>
    <n v="134.47999999999999"/>
  </r>
  <r>
    <x v="5"/>
    <x v="5"/>
    <x v="3"/>
    <x v="4"/>
    <m/>
  </r>
  <r>
    <x v="5"/>
    <x v="5"/>
    <x v="4"/>
    <x v="0"/>
    <n v="34"/>
  </r>
  <r>
    <x v="5"/>
    <x v="5"/>
    <x v="4"/>
    <x v="1"/>
    <n v="129.65"/>
  </r>
  <r>
    <x v="5"/>
    <x v="5"/>
    <x v="5"/>
    <x v="3"/>
    <n v="3.4"/>
  </r>
  <r>
    <x v="5"/>
    <x v="5"/>
    <x v="6"/>
    <x v="3"/>
    <n v="0.9"/>
  </r>
  <r>
    <x v="5"/>
    <x v="5"/>
    <x v="17"/>
    <x v="4"/>
    <n v="0.5"/>
  </r>
  <r>
    <x v="5"/>
    <x v="5"/>
    <x v="7"/>
    <x v="0"/>
    <n v="0"/>
  </r>
  <r>
    <x v="5"/>
    <x v="5"/>
    <x v="7"/>
    <x v="1"/>
    <n v="3.6"/>
  </r>
  <r>
    <x v="5"/>
    <x v="5"/>
    <x v="8"/>
    <x v="5"/>
    <n v="0.10199999999999999"/>
  </r>
  <r>
    <x v="5"/>
    <x v="5"/>
    <x v="8"/>
    <x v="0"/>
    <n v="50"/>
  </r>
  <r>
    <x v="5"/>
    <x v="5"/>
    <x v="8"/>
    <x v="1"/>
    <n v="81.510000000000005"/>
  </r>
  <r>
    <x v="5"/>
    <x v="5"/>
    <x v="9"/>
    <x v="0"/>
    <n v="79.98"/>
  </r>
  <r>
    <x v="5"/>
    <x v="5"/>
    <x v="9"/>
    <x v="1"/>
    <n v="105.5"/>
  </r>
  <r>
    <x v="5"/>
    <x v="5"/>
    <x v="10"/>
    <x v="1"/>
    <n v="78.83"/>
  </r>
  <r>
    <x v="5"/>
    <x v="5"/>
    <x v="11"/>
    <x v="0"/>
    <n v="100.14"/>
  </r>
  <r>
    <x v="5"/>
    <x v="5"/>
    <x v="11"/>
    <x v="2"/>
    <n v="91.68"/>
  </r>
  <r>
    <x v="5"/>
    <x v="5"/>
    <x v="11"/>
    <x v="1"/>
    <n v="122.48"/>
  </r>
  <r>
    <x v="5"/>
    <x v="5"/>
    <x v="11"/>
    <x v="4"/>
    <m/>
  </r>
  <r>
    <x v="5"/>
    <x v="5"/>
    <x v="12"/>
    <x v="0"/>
    <n v="98.06"/>
  </r>
  <r>
    <x v="5"/>
    <x v="5"/>
    <x v="12"/>
    <x v="1"/>
    <n v="122.48"/>
  </r>
  <r>
    <x v="5"/>
    <x v="5"/>
    <x v="13"/>
    <x v="1"/>
    <n v="120"/>
  </r>
  <r>
    <x v="5"/>
    <x v="5"/>
    <x v="14"/>
    <x v="2"/>
    <n v="90.8"/>
  </r>
  <r>
    <x v="5"/>
    <x v="5"/>
    <x v="14"/>
    <x v="1"/>
    <n v="126.37"/>
  </r>
  <r>
    <x v="5"/>
    <x v="5"/>
    <x v="15"/>
    <x v="3"/>
    <n v="4242.4281992024216"/>
  </r>
  <r>
    <x v="5"/>
    <x v="5"/>
    <x v="16"/>
    <x v="0"/>
    <n v="35"/>
  </r>
  <r>
    <x v="5"/>
    <x v="5"/>
    <x v="16"/>
    <x v="1"/>
    <n v="89.63"/>
  </r>
  <r>
    <x v="5"/>
    <x v="5"/>
    <x v="16"/>
    <x v="4"/>
    <n v="0.25"/>
  </r>
  <r>
    <x v="5"/>
    <x v="5"/>
    <x v="18"/>
    <x v="4"/>
    <n v="0.12"/>
  </r>
  <r>
    <x v="5"/>
    <x v="5"/>
    <x v="19"/>
    <x v="5"/>
    <n v="3.5000000000000003E-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75">
  <r>
    <x v="0"/>
    <x v="0"/>
    <x v="0"/>
    <n v="0"/>
    <x v="0"/>
    <x v="0"/>
  </r>
  <r>
    <x v="0"/>
    <x v="1"/>
    <x v="0"/>
    <n v="58529"/>
    <x v="1"/>
    <x v="0"/>
  </r>
  <r>
    <x v="0"/>
    <x v="2"/>
    <x v="0"/>
    <n v="474"/>
    <x v="0"/>
    <x v="0"/>
  </r>
  <r>
    <x v="0"/>
    <x v="3"/>
    <x v="0"/>
    <n v="230"/>
    <x v="1"/>
    <x v="1"/>
  </r>
  <r>
    <x v="0"/>
    <x v="4"/>
    <x v="0"/>
    <n v="0"/>
    <x v="1"/>
    <x v="1"/>
  </r>
  <r>
    <x v="0"/>
    <x v="5"/>
    <x v="0"/>
    <n v="129"/>
    <x v="1"/>
    <x v="1"/>
  </r>
  <r>
    <x v="0"/>
    <x v="6"/>
    <x v="0"/>
    <n v="0"/>
    <x v="2"/>
    <x v="0"/>
  </r>
  <r>
    <x v="0"/>
    <x v="7"/>
    <x v="0"/>
    <n v="0"/>
    <x v="2"/>
    <x v="0"/>
  </r>
  <r>
    <x v="0"/>
    <x v="8"/>
    <x v="0"/>
    <n v="0"/>
    <x v="2"/>
    <x v="0"/>
  </r>
  <r>
    <x v="0"/>
    <x v="9"/>
    <x v="0"/>
    <n v="321"/>
    <x v="2"/>
    <x v="0"/>
  </r>
  <r>
    <x v="0"/>
    <x v="10"/>
    <x v="0"/>
    <n v="35773"/>
    <x v="3"/>
    <x v="0"/>
  </r>
  <r>
    <x v="0"/>
    <x v="11"/>
    <x v="0"/>
    <n v="2223"/>
    <x v="3"/>
    <x v="0"/>
  </r>
  <r>
    <x v="0"/>
    <x v="12"/>
    <x v="0"/>
    <n v="40263"/>
    <x v="3"/>
    <x v="0"/>
  </r>
  <r>
    <x v="0"/>
    <x v="13"/>
    <x v="0"/>
    <n v="60400"/>
    <x v="3"/>
    <x v="0"/>
  </r>
  <r>
    <x v="0"/>
    <x v="14"/>
    <x v="0"/>
    <n v="61"/>
    <x v="0"/>
    <x v="0"/>
  </r>
  <r>
    <x v="0"/>
    <x v="15"/>
    <x v="0"/>
    <n v="0"/>
    <x v="0"/>
    <x v="0"/>
  </r>
  <r>
    <x v="0"/>
    <x v="16"/>
    <x v="0"/>
    <n v="0"/>
    <x v="4"/>
    <x v="1"/>
  </r>
  <r>
    <x v="0"/>
    <x v="17"/>
    <x v="0"/>
    <n v="351"/>
    <x v="4"/>
    <x v="1"/>
  </r>
  <r>
    <x v="0"/>
    <x v="18"/>
    <x v="0"/>
    <n v="28"/>
    <x v="5"/>
    <x v="0"/>
  </r>
  <r>
    <x v="0"/>
    <x v="19"/>
    <x v="0"/>
    <n v="0"/>
    <x v="1"/>
    <x v="0"/>
  </r>
  <r>
    <x v="0"/>
    <x v="20"/>
    <x v="0"/>
    <n v="0"/>
    <x v="5"/>
    <x v="0"/>
  </r>
  <r>
    <x v="0"/>
    <x v="21"/>
    <x v="0"/>
    <n v="8573"/>
    <x v="2"/>
    <x v="0"/>
  </r>
  <r>
    <x v="0"/>
    <x v="22"/>
    <x v="0"/>
    <n v="0"/>
    <x v="2"/>
    <x v="0"/>
  </r>
  <r>
    <x v="0"/>
    <x v="23"/>
    <x v="0"/>
    <n v="0"/>
    <x v="6"/>
    <x v="0"/>
  </r>
  <r>
    <x v="1"/>
    <x v="0"/>
    <x v="0"/>
    <n v="0"/>
    <x v="0"/>
    <x v="0"/>
  </r>
  <r>
    <x v="1"/>
    <x v="1"/>
    <x v="0"/>
    <n v="148"/>
    <x v="1"/>
    <x v="0"/>
  </r>
  <r>
    <x v="1"/>
    <x v="2"/>
    <x v="0"/>
    <n v="0"/>
    <x v="0"/>
    <x v="0"/>
  </r>
  <r>
    <x v="1"/>
    <x v="3"/>
    <x v="0"/>
    <n v="56065"/>
    <x v="1"/>
    <x v="1"/>
  </r>
  <r>
    <x v="1"/>
    <x v="4"/>
    <x v="0"/>
    <n v="0"/>
    <x v="1"/>
    <x v="1"/>
  </r>
  <r>
    <x v="1"/>
    <x v="5"/>
    <x v="0"/>
    <n v="455"/>
    <x v="1"/>
    <x v="1"/>
  </r>
  <r>
    <x v="1"/>
    <x v="6"/>
    <x v="0"/>
    <n v="0"/>
    <x v="2"/>
    <x v="0"/>
  </r>
  <r>
    <x v="1"/>
    <x v="7"/>
    <x v="0"/>
    <n v="0"/>
    <x v="2"/>
    <x v="0"/>
  </r>
  <r>
    <x v="1"/>
    <x v="8"/>
    <x v="0"/>
    <n v="0"/>
    <x v="2"/>
    <x v="0"/>
  </r>
  <r>
    <x v="1"/>
    <x v="9"/>
    <x v="0"/>
    <n v="0"/>
    <x v="2"/>
    <x v="0"/>
  </r>
  <r>
    <x v="1"/>
    <x v="10"/>
    <x v="0"/>
    <n v="0"/>
    <x v="3"/>
    <x v="0"/>
  </r>
  <r>
    <x v="1"/>
    <x v="11"/>
    <x v="0"/>
    <n v="0"/>
    <x v="3"/>
    <x v="0"/>
  </r>
  <r>
    <x v="1"/>
    <x v="12"/>
    <x v="0"/>
    <n v="0"/>
    <x v="3"/>
    <x v="0"/>
  </r>
  <r>
    <x v="1"/>
    <x v="13"/>
    <x v="0"/>
    <n v="0"/>
    <x v="3"/>
    <x v="0"/>
  </r>
  <r>
    <x v="1"/>
    <x v="14"/>
    <x v="0"/>
    <n v="0"/>
    <x v="0"/>
    <x v="0"/>
  </r>
  <r>
    <x v="1"/>
    <x v="15"/>
    <x v="0"/>
    <n v="0"/>
    <x v="0"/>
    <x v="0"/>
  </r>
  <r>
    <x v="1"/>
    <x v="16"/>
    <x v="0"/>
    <n v="104547"/>
    <x v="4"/>
    <x v="1"/>
  </r>
  <r>
    <x v="1"/>
    <x v="17"/>
    <x v="0"/>
    <n v="484"/>
    <x v="4"/>
    <x v="1"/>
  </r>
  <r>
    <x v="1"/>
    <x v="18"/>
    <x v="0"/>
    <n v="0"/>
    <x v="5"/>
    <x v="0"/>
  </r>
  <r>
    <x v="1"/>
    <x v="19"/>
    <x v="0"/>
    <n v="0"/>
    <x v="1"/>
    <x v="0"/>
  </r>
  <r>
    <x v="1"/>
    <x v="20"/>
    <x v="0"/>
    <n v="0"/>
    <x v="5"/>
    <x v="0"/>
  </r>
  <r>
    <x v="1"/>
    <x v="23"/>
    <x v="0"/>
    <n v="0"/>
    <x v="6"/>
    <x v="0"/>
  </r>
  <r>
    <x v="2"/>
    <x v="0"/>
    <x v="0"/>
    <n v="0"/>
    <x v="0"/>
    <x v="0"/>
  </r>
  <r>
    <x v="2"/>
    <x v="1"/>
    <x v="0"/>
    <n v="11353817"/>
    <x v="1"/>
    <x v="0"/>
  </r>
  <r>
    <x v="2"/>
    <x v="2"/>
    <x v="0"/>
    <n v="88727"/>
    <x v="0"/>
    <x v="0"/>
  </r>
  <r>
    <x v="2"/>
    <x v="3"/>
    <x v="0"/>
    <n v="190787754"/>
    <x v="1"/>
    <x v="1"/>
  </r>
  <r>
    <x v="2"/>
    <x v="4"/>
    <x v="0"/>
    <n v="0"/>
    <x v="1"/>
    <x v="1"/>
  </r>
  <r>
    <x v="2"/>
    <x v="5"/>
    <x v="0"/>
    <n v="10272272"/>
    <x v="1"/>
    <x v="1"/>
  </r>
  <r>
    <x v="2"/>
    <x v="6"/>
    <x v="0"/>
    <n v="0"/>
    <x v="2"/>
    <x v="0"/>
  </r>
  <r>
    <x v="2"/>
    <x v="7"/>
    <x v="0"/>
    <n v="0"/>
    <x v="2"/>
    <x v="0"/>
  </r>
  <r>
    <x v="2"/>
    <x v="8"/>
    <x v="0"/>
    <n v="0"/>
    <x v="2"/>
    <x v="0"/>
  </r>
  <r>
    <x v="2"/>
    <x v="9"/>
    <x v="0"/>
    <n v="7061"/>
    <x v="2"/>
    <x v="0"/>
  </r>
  <r>
    <x v="2"/>
    <x v="10"/>
    <x v="0"/>
    <n v="10084584"/>
    <x v="3"/>
    <x v="0"/>
  </r>
  <r>
    <x v="2"/>
    <x v="11"/>
    <x v="0"/>
    <n v="1219304"/>
    <x v="3"/>
    <x v="0"/>
  </r>
  <r>
    <x v="2"/>
    <x v="12"/>
    <x v="0"/>
    <n v="14139186"/>
    <x v="3"/>
    <x v="0"/>
  </r>
  <r>
    <x v="2"/>
    <x v="13"/>
    <x v="0"/>
    <n v="24779263"/>
    <x v="3"/>
    <x v="0"/>
  </r>
  <r>
    <x v="2"/>
    <x v="14"/>
    <x v="0"/>
    <n v="47944"/>
    <x v="0"/>
    <x v="0"/>
  </r>
  <r>
    <x v="2"/>
    <x v="15"/>
    <x v="0"/>
    <n v="0"/>
    <x v="0"/>
    <x v="0"/>
  </r>
  <r>
    <x v="2"/>
    <x v="16"/>
    <x v="0"/>
    <n v="375239852"/>
    <x v="4"/>
    <x v="1"/>
  </r>
  <r>
    <x v="2"/>
    <x v="17"/>
    <x v="0"/>
    <n v="6826453"/>
    <x v="4"/>
    <x v="1"/>
  </r>
  <r>
    <x v="2"/>
    <x v="18"/>
    <x v="0"/>
    <n v="18821"/>
    <x v="5"/>
    <x v="0"/>
  </r>
  <r>
    <x v="2"/>
    <x v="19"/>
    <x v="0"/>
    <n v="0"/>
    <x v="1"/>
    <x v="0"/>
  </r>
  <r>
    <x v="2"/>
    <x v="20"/>
    <x v="0"/>
    <n v="0"/>
    <x v="5"/>
    <x v="0"/>
  </r>
  <r>
    <x v="2"/>
    <x v="23"/>
    <x v="0"/>
    <n v="0"/>
    <x v="6"/>
    <x v="0"/>
  </r>
  <r>
    <x v="3"/>
    <x v="24"/>
    <x v="0"/>
    <n v="64.5"/>
    <x v="3"/>
    <x v="2"/>
  </r>
  <r>
    <x v="3"/>
    <x v="1"/>
    <x v="0"/>
    <n v="56.38"/>
    <x v="7"/>
    <x v="3"/>
  </r>
  <r>
    <x v="3"/>
    <x v="19"/>
    <x v="0"/>
    <m/>
    <x v="8"/>
    <x v="4"/>
  </r>
  <r>
    <x v="0"/>
    <x v="0"/>
    <x v="1"/>
    <n v="0"/>
    <x v="0"/>
    <x v="0"/>
  </r>
  <r>
    <x v="0"/>
    <x v="1"/>
    <x v="1"/>
    <n v="65175"/>
    <x v="1"/>
    <x v="0"/>
  </r>
  <r>
    <x v="0"/>
    <x v="2"/>
    <x v="1"/>
    <n v="315"/>
    <x v="0"/>
    <x v="0"/>
  </r>
  <r>
    <x v="0"/>
    <x v="3"/>
    <x v="1"/>
    <n v="998"/>
    <x v="1"/>
    <x v="1"/>
  </r>
  <r>
    <x v="0"/>
    <x v="4"/>
    <x v="1"/>
    <n v="0"/>
    <x v="1"/>
    <x v="1"/>
  </r>
  <r>
    <x v="0"/>
    <x v="5"/>
    <x v="1"/>
    <n v="185"/>
    <x v="1"/>
    <x v="1"/>
  </r>
  <r>
    <x v="0"/>
    <x v="6"/>
    <x v="1"/>
    <n v="0"/>
    <x v="2"/>
    <x v="0"/>
  </r>
  <r>
    <x v="0"/>
    <x v="7"/>
    <x v="1"/>
    <n v="0"/>
    <x v="2"/>
    <x v="0"/>
  </r>
  <r>
    <x v="0"/>
    <x v="8"/>
    <x v="1"/>
    <n v="0"/>
    <x v="2"/>
    <x v="0"/>
  </r>
  <r>
    <x v="0"/>
    <x v="9"/>
    <x v="1"/>
    <n v="500"/>
    <x v="2"/>
    <x v="0"/>
  </r>
  <r>
    <x v="0"/>
    <x v="10"/>
    <x v="1"/>
    <n v="40149"/>
    <x v="3"/>
    <x v="0"/>
  </r>
  <r>
    <x v="0"/>
    <x v="11"/>
    <x v="1"/>
    <n v="0"/>
    <x v="3"/>
    <x v="0"/>
  </r>
  <r>
    <x v="0"/>
    <x v="12"/>
    <x v="1"/>
    <n v="40120"/>
    <x v="3"/>
    <x v="0"/>
  </r>
  <r>
    <x v="0"/>
    <x v="13"/>
    <x v="1"/>
    <n v="42330"/>
    <x v="3"/>
    <x v="0"/>
  </r>
  <r>
    <x v="0"/>
    <x v="14"/>
    <x v="1"/>
    <n v="112"/>
    <x v="0"/>
    <x v="0"/>
  </r>
  <r>
    <x v="0"/>
    <x v="15"/>
    <x v="1"/>
    <n v="0"/>
    <x v="0"/>
    <x v="0"/>
  </r>
  <r>
    <x v="0"/>
    <x v="16"/>
    <x v="1"/>
    <n v="703"/>
    <x v="4"/>
    <x v="1"/>
  </r>
  <r>
    <x v="0"/>
    <x v="17"/>
    <x v="1"/>
    <n v="388"/>
    <x v="4"/>
    <x v="1"/>
  </r>
  <r>
    <x v="0"/>
    <x v="18"/>
    <x v="1"/>
    <n v="28"/>
    <x v="5"/>
    <x v="0"/>
  </r>
  <r>
    <x v="0"/>
    <x v="19"/>
    <x v="1"/>
    <n v="0"/>
    <x v="1"/>
    <x v="0"/>
  </r>
  <r>
    <x v="0"/>
    <x v="20"/>
    <x v="1"/>
    <n v="0"/>
    <x v="5"/>
    <x v="0"/>
  </r>
  <r>
    <x v="0"/>
    <x v="21"/>
    <x v="1"/>
    <n v="8574"/>
    <x v="2"/>
    <x v="0"/>
  </r>
  <r>
    <x v="0"/>
    <x v="22"/>
    <x v="1"/>
    <n v="0"/>
    <x v="2"/>
    <x v="0"/>
  </r>
  <r>
    <x v="0"/>
    <x v="23"/>
    <x v="1"/>
    <n v="0"/>
    <x v="6"/>
    <x v="0"/>
  </r>
  <r>
    <x v="1"/>
    <x v="0"/>
    <x v="1"/>
    <n v="0"/>
    <x v="0"/>
    <x v="0"/>
  </r>
  <r>
    <x v="1"/>
    <x v="1"/>
    <x v="1"/>
    <n v="1256"/>
    <x v="1"/>
    <x v="0"/>
  </r>
  <r>
    <x v="1"/>
    <x v="2"/>
    <x v="1"/>
    <n v="0"/>
    <x v="0"/>
    <x v="0"/>
  </r>
  <r>
    <x v="1"/>
    <x v="3"/>
    <x v="1"/>
    <n v="47111"/>
    <x v="1"/>
    <x v="1"/>
  </r>
  <r>
    <x v="1"/>
    <x v="4"/>
    <x v="1"/>
    <n v="0"/>
    <x v="1"/>
    <x v="1"/>
  </r>
  <r>
    <x v="1"/>
    <x v="5"/>
    <x v="1"/>
    <n v="213"/>
    <x v="1"/>
    <x v="1"/>
  </r>
  <r>
    <x v="1"/>
    <x v="6"/>
    <x v="1"/>
    <n v="0"/>
    <x v="2"/>
    <x v="0"/>
  </r>
  <r>
    <x v="1"/>
    <x v="7"/>
    <x v="1"/>
    <n v="0"/>
    <x v="2"/>
    <x v="0"/>
  </r>
  <r>
    <x v="1"/>
    <x v="8"/>
    <x v="1"/>
    <n v="0"/>
    <x v="2"/>
    <x v="0"/>
  </r>
  <r>
    <x v="1"/>
    <x v="9"/>
    <x v="1"/>
    <n v="0"/>
    <x v="2"/>
    <x v="0"/>
  </r>
  <r>
    <x v="1"/>
    <x v="10"/>
    <x v="1"/>
    <n v="1516"/>
    <x v="3"/>
    <x v="0"/>
  </r>
  <r>
    <x v="1"/>
    <x v="11"/>
    <x v="1"/>
    <n v="0"/>
    <x v="3"/>
    <x v="0"/>
  </r>
  <r>
    <x v="1"/>
    <x v="12"/>
    <x v="1"/>
    <n v="1817"/>
    <x v="3"/>
    <x v="0"/>
  </r>
  <r>
    <x v="1"/>
    <x v="13"/>
    <x v="1"/>
    <n v="480"/>
    <x v="3"/>
    <x v="0"/>
  </r>
  <r>
    <x v="1"/>
    <x v="14"/>
    <x v="1"/>
    <n v="0"/>
    <x v="0"/>
    <x v="0"/>
  </r>
  <r>
    <x v="1"/>
    <x v="15"/>
    <x v="1"/>
    <n v="0"/>
    <x v="0"/>
    <x v="0"/>
  </r>
  <r>
    <x v="1"/>
    <x v="16"/>
    <x v="1"/>
    <n v="91755"/>
    <x v="4"/>
    <x v="1"/>
  </r>
  <r>
    <x v="1"/>
    <x v="17"/>
    <x v="1"/>
    <n v="414"/>
    <x v="4"/>
    <x v="1"/>
  </r>
  <r>
    <x v="1"/>
    <x v="18"/>
    <x v="1"/>
    <n v="0"/>
    <x v="5"/>
    <x v="0"/>
  </r>
  <r>
    <x v="1"/>
    <x v="19"/>
    <x v="1"/>
    <n v="0"/>
    <x v="1"/>
    <x v="0"/>
  </r>
  <r>
    <x v="1"/>
    <x v="20"/>
    <x v="1"/>
    <n v="0"/>
    <x v="5"/>
    <x v="0"/>
  </r>
  <r>
    <x v="1"/>
    <x v="23"/>
    <x v="1"/>
    <n v="0"/>
    <x v="6"/>
    <x v="0"/>
  </r>
  <r>
    <x v="2"/>
    <x v="0"/>
    <x v="1"/>
    <n v="0"/>
    <x v="0"/>
    <x v="0"/>
  </r>
  <r>
    <x v="2"/>
    <x v="1"/>
    <x v="1"/>
    <n v="11119753"/>
    <x v="1"/>
    <x v="0"/>
  </r>
  <r>
    <x v="2"/>
    <x v="2"/>
    <x v="1"/>
    <n v="81346"/>
    <x v="0"/>
    <x v="0"/>
  </r>
  <r>
    <x v="2"/>
    <x v="3"/>
    <x v="1"/>
    <n v="157566921"/>
    <x v="1"/>
    <x v="1"/>
  </r>
  <r>
    <x v="2"/>
    <x v="4"/>
    <x v="1"/>
    <n v="0"/>
    <x v="1"/>
    <x v="1"/>
  </r>
  <r>
    <x v="2"/>
    <x v="5"/>
    <x v="1"/>
    <n v="921340"/>
    <x v="1"/>
    <x v="1"/>
  </r>
  <r>
    <x v="2"/>
    <x v="6"/>
    <x v="1"/>
    <n v="0"/>
    <x v="2"/>
    <x v="0"/>
  </r>
  <r>
    <x v="2"/>
    <x v="7"/>
    <x v="1"/>
    <n v="0"/>
    <x v="2"/>
    <x v="0"/>
  </r>
  <r>
    <x v="2"/>
    <x v="8"/>
    <x v="1"/>
    <n v="0"/>
    <x v="2"/>
    <x v="0"/>
  </r>
  <r>
    <x v="2"/>
    <x v="9"/>
    <x v="1"/>
    <n v="10979"/>
    <x v="2"/>
    <x v="0"/>
  </r>
  <r>
    <x v="2"/>
    <x v="10"/>
    <x v="1"/>
    <n v="10636624"/>
    <x v="3"/>
    <x v="0"/>
  </r>
  <r>
    <x v="2"/>
    <x v="11"/>
    <x v="1"/>
    <n v="0"/>
    <x v="3"/>
    <x v="0"/>
  </r>
  <r>
    <x v="2"/>
    <x v="12"/>
    <x v="1"/>
    <n v="13543571"/>
    <x v="3"/>
    <x v="0"/>
  </r>
  <r>
    <x v="2"/>
    <x v="13"/>
    <x v="1"/>
    <n v="16846719"/>
    <x v="3"/>
    <x v="0"/>
  </r>
  <r>
    <x v="2"/>
    <x v="14"/>
    <x v="1"/>
    <n v="83529"/>
    <x v="0"/>
    <x v="0"/>
  </r>
  <r>
    <x v="2"/>
    <x v="15"/>
    <x v="1"/>
    <n v="0"/>
    <x v="0"/>
    <x v="0"/>
  </r>
  <r>
    <x v="2"/>
    <x v="16"/>
    <x v="1"/>
    <n v="326790235"/>
    <x v="4"/>
    <x v="1"/>
  </r>
  <r>
    <x v="2"/>
    <x v="17"/>
    <x v="1"/>
    <n v="1428586"/>
    <x v="4"/>
    <x v="1"/>
  </r>
  <r>
    <x v="2"/>
    <x v="18"/>
    <x v="1"/>
    <n v="18876"/>
    <x v="5"/>
    <x v="0"/>
  </r>
  <r>
    <x v="2"/>
    <x v="19"/>
    <x v="1"/>
    <n v="0"/>
    <x v="1"/>
    <x v="0"/>
  </r>
  <r>
    <x v="2"/>
    <x v="20"/>
    <x v="1"/>
    <n v="0"/>
    <x v="5"/>
    <x v="0"/>
  </r>
  <r>
    <x v="2"/>
    <x v="23"/>
    <x v="1"/>
    <n v="0"/>
    <x v="6"/>
    <x v="0"/>
  </r>
  <r>
    <x v="3"/>
    <x v="24"/>
    <x v="1"/>
    <n v="62.85"/>
    <x v="3"/>
    <x v="2"/>
  </r>
  <r>
    <x v="3"/>
    <x v="1"/>
    <x v="1"/>
    <n v="51.31"/>
    <x v="7"/>
    <x v="3"/>
  </r>
  <r>
    <x v="3"/>
    <x v="19"/>
    <x v="1"/>
    <m/>
    <x v="8"/>
    <x v="4"/>
  </r>
  <r>
    <x v="0"/>
    <x v="0"/>
    <x v="2"/>
    <n v="1655"/>
    <x v="0"/>
    <x v="0"/>
  </r>
  <r>
    <x v="0"/>
    <x v="1"/>
    <x v="2"/>
    <n v="76526"/>
    <x v="1"/>
    <x v="0"/>
  </r>
  <r>
    <x v="0"/>
    <x v="2"/>
    <x v="2"/>
    <n v="379"/>
    <x v="0"/>
    <x v="0"/>
  </r>
  <r>
    <x v="0"/>
    <x v="3"/>
    <x v="2"/>
    <n v="102"/>
    <x v="1"/>
    <x v="1"/>
  </r>
  <r>
    <x v="0"/>
    <x v="4"/>
    <x v="2"/>
    <n v="0"/>
    <x v="1"/>
    <x v="1"/>
  </r>
  <r>
    <x v="0"/>
    <x v="5"/>
    <x v="2"/>
    <n v="213"/>
    <x v="1"/>
    <x v="1"/>
  </r>
  <r>
    <x v="0"/>
    <x v="6"/>
    <x v="2"/>
    <n v="0"/>
    <x v="2"/>
    <x v="0"/>
  </r>
  <r>
    <x v="0"/>
    <x v="7"/>
    <x v="2"/>
    <n v="0"/>
    <x v="2"/>
    <x v="0"/>
  </r>
  <r>
    <x v="0"/>
    <x v="8"/>
    <x v="2"/>
    <n v="0"/>
    <x v="2"/>
    <x v="0"/>
  </r>
  <r>
    <x v="0"/>
    <x v="9"/>
    <x v="2"/>
    <n v="684"/>
    <x v="2"/>
    <x v="0"/>
  </r>
  <r>
    <x v="0"/>
    <x v="10"/>
    <x v="2"/>
    <n v="37633"/>
    <x v="3"/>
    <x v="0"/>
  </r>
  <r>
    <x v="0"/>
    <x v="11"/>
    <x v="2"/>
    <n v="622"/>
    <x v="3"/>
    <x v="0"/>
  </r>
  <r>
    <x v="0"/>
    <x v="12"/>
    <x v="2"/>
    <n v="51501"/>
    <x v="3"/>
    <x v="0"/>
  </r>
  <r>
    <x v="0"/>
    <x v="13"/>
    <x v="2"/>
    <n v="51234"/>
    <x v="3"/>
    <x v="0"/>
  </r>
  <r>
    <x v="0"/>
    <x v="14"/>
    <x v="2"/>
    <n v="346"/>
    <x v="0"/>
    <x v="0"/>
  </r>
  <r>
    <x v="0"/>
    <x v="15"/>
    <x v="2"/>
    <n v="0"/>
    <x v="0"/>
    <x v="0"/>
  </r>
  <r>
    <x v="0"/>
    <x v="16"/>
    <x v="2"/>
    <n v="123"/>
    <x v="4"/>
    <x v="1"/>
  </r>
  <r>
    <x v="0"/>
    <x v="17"/>
    <x v="2"/>
    <n v="415"/>
    <x v="4"/>
    <x v="1"/>
  </r>
  <r>
    <x v="0"/>
    <x v="18"/>
    <x v="2"/>
    <n v="13"/>
    <x v="5"/>
    <x v="0"/>
  </r>
  <r>
    <x v="0"/>
    <x v="19"/>
    <x v="2"/>
    <n v="0"/>
    <x v="1"/>
    <x v="0"/>
  </r>
  <r>
    <x v="0"/>
    <x v="20"/>
    <x v="2"/>
    <n v="0"/>
    <x v="5"/>
    <x v="0"/>
  </r>
  <r>
    <x v="0"/>
    <x v="21"/>
    <x v="2"/>
    <n v="8573"/>
    <x v="2"/>
    <x v="0"/>
  </r>
  <r>
    <x v="0"/>
    <x v="22"/>
    <x v="2"/>
    <n v="0"/>
    <x v="2"/>
    <x v="0"/>
  </r>
  <r>
    <x v="0"/>
    <x v="23"/>
    <x v="2"/>
    <n v="0"/>
    <x v="6"/>
    <x v="0"/>
  </r>
  <r>
    <x v="1"/>
    <x v="0"/>
    <x v="2"/>
    <n v="0"/>
    <x v="0"/>
    <x v="0"/>
  </r>
  <r>
    <x v="1"/>
    <x v="1"/>
    <x v="2"/>
    <n v="1287"/>
    <x v="1"/>
    <x v="0"/>
  </r>
  <r>
    <x v="1"/>
    <x v="2"/>
    <x v="2"/>
    <n v="0"/>
    <x v="0"/>
    <x v="0"/>
  </r>
  <r>
    <x v="1"/>
    <x v="3"/>
    <x v="2"/>
    <n v="54209"/>
    <x v="1"/>
    <x v="1"/>
  </r>
  <r>
    <x v="1"/>
    <x v="4"/>
    <x v="2"/>
    <n v="0"/>
    <x v="1"/>
    <x v="1"/>
  </r>
  <r>
    <x v="1"/>
    <x v="5"/>
    <x v="2"/>
    <n v="194"/>
    <x v="1"/>
    <x v="1"/>
  </r>
  <r>
    <x v="1"/>
    <x v="6"/>
    <x v="2"/>
    <n v="0"/>
    <x v="2"/>
    <x v="0"/>
  </r>
  <r>
    <x v="1"/>
    <x v="7"/>
    <x v="2"/>
    <n v="0"/>
    <x v="2"/>
    <x v="0"/>
  </r>
  <r>
    <x v="1"/>
    <x v="8"/>
    <x v="2"/>
    <n v="0"/>
    <x v="2"/>
    <x v="0"/>
  </r>
  <r>
    <x v="1"/>
    <x v="9"/>
    <x v="2"/>
    <n v="0"/>
    <x v="2"/>
    <x v="0"/>
  </r>
  <r>
    <x v="1"/>
    <x v="10"/>
    <x v="2"/>
    <n v="2383"/>
    <x v="3"/>
    <x v="0"/>
  </r>
  <r>
    <x v="1"/>
    <x v="11"/>
    <x v="2"/>
    <n v="0"/>
    <x v="3"/>
    <x v="0"/>
  </r>
  <r>
    <x v="1"/>
    <x v="12"/>
    <x v="2"/>
    <n v="1447"/>
    <x v="3"/>
    <x v="0"/>
  </r>
  <r>
    <x v="1"/>
    <x v="13"/>
    <x v="2"/>
    <n v="2618"/>
    <x v="3"/>
    <x v="0"/>
  </r>
  <r>
    <x v="1"/>
    <x v="14"/>
    <x v="2"/>
    <n v="0"/>
    <x v="0"/>
    <x v="0"/>
  </r>
  <r>
    <x v="1"/>
    <x v="15"/>
    <x v="2"/>
    <n v="0"/>
    <x v="0"/>
    <x v="0"/>
  </r>
  <r>
    <x v="1"/>
    <x v="16"/>
    <x v="2"/>
    <n v="105333"/>
    <x v="4"/>
    <x v="1"/>
  </r>
  <r>
    <x v="1"/>
    <x v="17"/>
    <x v="2"/>
    <n v="451"/>
    <x v="4"/>
    <x v="1"/>
  </r>
  <r>
    <x v="1"/>
    <x v="18"/>
    <x v="2"/>
    <n v="0"/>
    <x v="5"/>
    <x v="0"/>
  </r>
  <r>
    <x v="1"/>
    <x v="19"/>
    <x v="2"/>
    <n v="0"/>
    <x v="1"/>
    <x v="0"/>
  </r>
  <r>
    <x v="1"/>
    <x v="20"/>
    <x v="2"/>
    <n v="0"/>
    <x v="5"/>
    <x v="0"/>
  </r>
  <r>
    <x v="1"/>
    <x v="23"/>
    <x v="2"/>
    <n v="0"/>
    <x v="6"/>
    <x v="0"/>
  </r>
  <r>
    <x v="2"/>
    <x v="0"/>
    <x v="2"/>
    <n v="218045"/>
    <x v="0"/>
    <x v="0"/>
  </r>
  <r>
    <x v="2"/>
    <x v="1"/>
    <x v="2"/>
    <n v="13040561"/>
    <x v="1"/>
    <x v="0"/>
  </r>
  <r>
    <x v="2"/>
    <x v="2"/>
    <x v="2"/>
    <n v="98006"/>
    <x v="0"/>
    <x v="0"/>
  </r>
  <r>
    <x v="2"/>
    <x v="3"/>
    <x v="2"/>
    <n v="184886343"/>
    <x v="1"/>
    <x v="1"/>
  </r>
  <r>
    <x v="2"/>
    <x v="4"/>
    <x v="2"/>
    <n v="0"/>
    <x v="1"/>
    <x v="1"/>
  </r>
  <r>
    <x v="2"/>
    <x v="5"/>
    <x v="2"/>
    <n v="-556919"/>
    <x v="1"/>
    <x v="1"/>
  </r>
  <r>
    <x v="2"/>
    <x v="6"/>
    <x v="2"/>
    <n v="0"/>
    <x v="2"/>
    <x v="0"/>
  </r>
  <r>
    <x v="2"/>
    <x v="7"/>
    <x v="2"/>
    <n v="0"/>
    <x v="2"/>
    <x v="0"/>
  </r>
  <r>
    <x v="2"/>
    <x v="8"/>
    <x v="2"/>
    <n v="0"/>
    <x v="2"/>
    <x v="0"/>
  </r>
  <r>
    <x v="2"/>
    <x v="9"/>
    <x v="2"/>
    <n v="15031"/>
    <x v="2"/>
    <x v="0"/>
  </r>
  <r>
    <x v="2"/>
    <x v="10"/>
    <x v="2"/>
    <n v="9704693"/>
    <x v="3"/>
    <x v="0"/>
  </r>
  <r>
    <x v="2"/>
    <x v="11"/>
    <x v="2"/>
    <n v="341382"/>
    <x v="3"/>
    <x v="0"/>
  </r>
  <r>
    <x v="2"/>
    <x v="12"/>
    <x v="2"/>
    <n v="16763834"/>
    <x v="3"/>
    <x v="0"/>
  </r>
  <r>
    <x v="2"/>
    <x v="13"/>
    <x v="2"/>
    <n v="19851146"/>
    <x v="3"/>
    <x v="0"/>
  </r>
  <r>
    <x v="2"/>
    <x v="14"/>
    <x v="2"/>
    <n v="253637"/>
    <x v="0"/>
    <x v="0"/>
  </r>
  <r>
    <x v="2"/>
    <x v="15"/>
    <x v="2"/>
    <n v="0"/>
    <x v="0"/>
    <x v="0"/>
  </r>
  <r>
    <x v="2"/>
    <x v="16"/>
    <x v="2"/>
    <n v="377613067"/>
    <x v="4"/>
    <x v="1"/>
  </r>
  <r>
    <x v="2"/>
    <x v="17"/>
    <x v="2"/>
    <n v="1836989"/>
    <x v="4"/>
    <x v="1"/>
  </r>
  <r>
    <x v="2"/>
    <x v="18"/>
    <x v="2"/>
    <n v="7995"/>
    <x v="5"/>
    <x v="0"/>
  </r>
  <r>
    <x v="2"/>
    <x v="19"/>
    <x v="2"/>
    <n v="0"/>
    <x v="1"/>
    <x v="0"/>
  </r>
  <r>
    <x v="2"/>
    <x v="20"/>
    <x v="2"/>
    <n v="0"/>
    <x v="5"/>
    <x v="0"/>
  </r>
  <r>
    <x v="2"/>
    <x v="23"/>
    <x v="2"/>
    <n v="0"/>
    <x v="6"/>
    <x v="0"/>
  </r>
  <r>
    <x v="3"/>
    <x v="24"/>
    <x v="2"/>
    <n v="63"/>
    <x v="3"/>
    <x v="2"/>
  </r>
  <r>
    <x v="3"/>
    <x v="1"/>
    <x v="2"/>
    <n v="51.13"/>
    <x v="7"/>
    <x v="3"/>
  </r>
  <r>
    <x v="3"/>
    <x v="19"/>
    <x v="2"/>
    <m/>
    <x v="8"/>
    <x v="4"/>
  </r>
  <r>
    <x v="0"/>
    <x v="0"/>
    <x v="3"/>
    <n v="2486"/>
    <x v="0"/>
    <x v="0"/>
  </r>
  <r>
    <x v="0"/>
    <x v="1"/>
    <x v="3"/>
    <n v="69420"/>
    <x v="1"/>
    <x v="0"/>
  </r>
  <r>
    <x v="0"/>
    <x v="2"/>
    <x v="3"/>
    <n v="357"/>
    <x v="0"/>
    <x v="0"/>
  </r>
  <r>
    <x v="0"/>
    <x v="3"/>
    <x v="3"/>
    <n v="495"/>
    <x v="1"/>
    <x v="1"/>
  </r>
  <r>
    <x v="0"/>
    <x v="4"/>
    <x v="3"/>
    <n v="0"/>
    <x v="1"/>
    <x v="1"/>
  </r>
  <r>
    <x v="0"/>
    <x v="5"/>
    <x v="3"/>
    <n v="100"/>
    <x v="1"/>
    <x v="1"/>
  </r>
  <r>
    <x v="0"/>
    <x v="6"/>
    <x v="3"/>
    <n v="0"/>
    <x v="2"/>
    <x v="0"/>
  </r>
  <r>
    <x v="0"/>
    <x v="7"/>
    <x v="3"/>
    <n v="0"/>
    <x v="2"/>
    <x v="0"/>
  </r>
  <r>
    <x v="0"/>
    <x v="8"/>
    <x v="3"/>
    <n v="0"/>
    <x v="2"/>
    <x v="0"/>
  </r>
  <r>
    <x v="0"/>
    <x v="9"/>
    <x v="3"/>
    <n v="640"/>
    <x v="2"/>
    <x v="0"/>
  </r>
  <r>
    <x v="0"/>
    <x v="10"/>
    <x v="3"/>
    <n v="37148"/>
    <x v="3"/>
    <x v="0"/>
  </r>
  <r>
    <x v="0"/>
    <x v="11"/>
    <x v="3"/>
    <n v="0"/>
    <x v="3"/>
    <x v="0"/>
  </r>
  <r>
    <x v="0"/>
    <x v="12"/>
    <x v="3"/>
    <n v="36170"/>
    <x v="3"/>
    <x v="0"/>
  </r>
  <r>
    <x v="0"/>
    <x v="13"/>
    <x v="3"/>
    <n v="38364"/>
    <x v="3"/>
    <x v="0"/>
  </r>
  <r>
    <x v="0"/>
    <x v="14"/>
    <x v="3"/>
    <n v="292"/>
    <x v="0"/>
    <x v="0"/>
  </r>
  <r>
    <x v="0"/>
    <x v="15"/>
    <x v="3"/>
    <n v="0"/>
    <x v="0"/>
    <x v="0"/>
  </r>
  <r>
    <x v="0"/>
    <x v="16"/>
    <x v="3"/>
    <n v="122"/>
    <x v="4"/>
    <x v="1"/>
  </r>
  <r>
    <x v="0"/>
    <x v="17"/>
    <x v="3"/>
    <n v="39"/>
    <x v="4"/>
    <x v="1"/>
  </r>
  <r>
    <x v="0"/>
    <x v="18"/>
    <x v="3"/>
    <n v="31"/>
    <x v="5"/>
    <x v="0"/>
  </r>
  <r>
    <x v="0"/>
    <x v="19"/>
    <x v="3"/>
    <n v="0"/>
    <x v="1"/>
    <x v="0"/>
  </r>
  <r>
    <x v="0"/>
    <x v="20"/>
    <x v="3"/>
    <n v="0"/>
    <x v="5"/>
    <x v="0"/>
  </r>
  <r>
    <x v="0"/>
    <x v="21"/>
    <x v="3"/>
    <n v="8574"/>
    <x v="2"/>
    <x v="0"/>
  </r>
  <r>
    <x v="0"/>
    <x v="22"/>
    <x v="3"/>
    <n v="0"/>
    <x v="2"/>
    <x v="0"/>
  </r>
  <r>
    <x v="0"/>
    <x v="23"/>
    <x v="3"/>
    <n v="0"/>
    <x v="6"/>
    <x v="0"/>
  </r>
  <r>
    <x v="1"/>
    <x v="0"/>
    <x v="3"/>
    <n v="0"/>
    <x v="0"/>
    <x v="0"/>
  </r>
  <r>
    <x v="1"/>
    <x v="1"/>
    <x v="3"/>
    <n v="483"/>
    <x v="1"/>
    <x v="0"/>
  </r>
  <r>
    <x v="1"/>
    <x v="2"/>
    <x v="3"/>
    <n v="0"/>
    <x v="0"/>
    <x v="0"/>
  </r>
  <r>
    <x v="1"/>
    <x v="3"/>
    <x v="3"/>
    <n v="48337"/>
    <x v="1"/>
    <x v="1"/>
  </r>
  <r>
    <x v="1"/>
    <x v="4"/>
    <x v="3"/>
    <n v="0"/>
    <x v="1"/>
    <x v="1"/>
  </r>
  <r>
    <x v="1"/>
    <x v="5"/>
    <x v="3"/>
    <n v="169"/>
    <x v="1"/>
    <x v="1"/>
  </r>
  <r>
    <x v="1"/>
    <x v="6"/>
    <x v="3"/>
    <n v="0"/>
    <x v="2"/>
    <x v="0"/>
  </r>
  <r>
    <x v="1"/>
    <x v="7"/>
    <x v="3"/>
    <n v="0"/>
    <x v="2"/>
    <x v="0"/>
  </r>
  <r>
    <x v="1"/>
    <x v="8"/>
    <x v="3"/>
    <n v="0"/>
    <x v="2"/>
    <x v="0"/>
  </r>
  <r>
    <x v="1"/>
    <x v="9"/>
    <x v="3"/>
    <n v="0"/>
    <x v="2"/>
    <x v="0"/>
  </r>
  <r>
    <x v="1"/>
    <x v="10"/>
    <x v="3"/>
    <n v="0"/>
    <x v="3"/>
    <x v="0"/>
  </r>
  <r>
    <x v="1"/>
    <x v="11"/>
    <x v="3"/>
    <n v="0"/>
    <x v="3"/>
    <x v="0"/>
  </r>
  <r>
    <x v="1"/>
    <x v="12"/>
    <x v="3"/>
    <n v="2771"/>
    <x v="3"/>
    <x v="0"/>
  </r>
  <r>
    <x v="1"/>
    <x v="13"/>
    <x v="3"/>
    <n v="905"/>
    <x v="3"/>
    <x v="0"/>
  </r>
  <r>
    <x v="1"/>
    <x v="14"/>
    <x v="3"/>
    <n v="0"/>
    <x v="0"/>
    <x v="0"/>
  </r>
  <r>
    <x v="1"/>
    <x v="15"/>
    <x v="3"/>
    <n v="0"/>
    <x v="0"/>
    <x v="0"/>
  </r>
  <r>
    <x v="1"/>
    <x v="16"/>
    <x v="3"/>
    <n v="89375"/>
    <x v="4"/>
    <x v="1"/>
  </r>
  <r>
    <x v="1"/>
    <x v="17"/>
    <x v="3"/>
    <n v="387"/>
    <x v="4"/>
    <x v="1"/>
  </r>
  <r>
    <x v="1"/>
    <x v="18"/>
    <x v="3"/>
    <n v="0"/>
    <x v="5"/>
    <x v="0"/>
  </r>
  <r>
    <x v="1"/>
    <x v="19"/>
    <x v="3"/>
    <n v="0"/>
    <x v="1"/>
    <x v="0"/>
  </r>
  <r>
    <x v="1"/>
    <x v="20"/>
    <x v="3"/>
    <n v="0"/>
    <x v="5"/>
    <x v="0"/>
  </r>
  <r>
    <x v="1"/>
    <x v="23"/>
    <x v="3"/>
    <n v="0"/>
    <x v="6"/>
    <x v="0"/>
  </r>
  <r>
    <x v="2"/>
    <x v="0"/>
    <x v="3"/>
    <n v="336127"/>
    <x v="0"/>
    <x v="0"/>
  </r>
  <r>
    <x v="2"/>
    <x v="1"/>
    <x v="3"/>
    <n v="11380628"/>
    <x v="1"/>
    <x v="0"/>
  </r>
  <r>
    <x v="2"/>
    <x v="2"/>
    <x v="3"/>
    <n v="92354"/>
    <x v="0"/>
    <x v="0"/>
  </r>
  <r>
    <x v="2"/>
    <x v="3"/>
    <x v="3"/>
    <n v="163486021"/>
    <x v="1"/>
    <x v="1"/>
  </r>
  <r>
    <x v="2"/>
    <x v="4"/>
    <x v="3"/>
    <n v="0"/>
    <x v="1"/>
    <x v="1"/>
  </r>
  <r>
    <x v="2"/>
    <x v="5"/>
    <x v="3"/>
    <n v="2169583"/>
    <x v="1"/>
    <x v="1"/>
  </r>
  <r>
    <x v="2"/>
    <x v="6"/>
    <x v="3"/>
    <n v="0"/>
    <x v="2"/>
    <x v="0"/>
  </r>
  <r>
    <x v="2"/>
    <x v="7"/>
    <x v="3"/>
    <n v="0"/>
    <x v="2"/>
    <x v="0"/>
  </r>
  <r>
    <x v="2"/>
    <x v="8"/>
    <x v="3"/>
    <n v="0"/>
    <x v="2"/>
    <x v="0"/>
  </r>
  <r>
    <x v="2"/>
    <x v="9"/>
    <x v="3"/>
    <n v="14084"/>
    <x v="2"/>
    <x v="0"/>
  </r>
  <r>
    <x v="2"/>
    <x v="10"/>
    <x v="3"/>
    <n v="10227805"/>
    <x v="3"/>
    <x v="0"/>
  </r>
  <r>
    <x v="2"/>
    <x v="11"/>
    <x v="3"/>
    <n v="0"/>
    <x v="3"/>
    <x v="0"/>
  </r>
  <r>
    <x v="2"/>
    <x v="12"/>
    <x v="3"/>
    <n v="11612820"/>
    <x v="3"/>
    <x v="0"/>
  </r>
  <r>
    <x v="2"/>
    <x v="13"/>
    <x v="3"/>
    <n v="15078450"/>
    <x v="3"/>
    <x v="0"/>
  </r>
  <r>
    <x v="2"/>
    <x v="14"/>
    <x v="3"/>
    <n v="212524"/>
    <x v="0"/>
    <x v="0"/>
  </r>
  <r>
    <x v="2"/>
    <x v="15"/>
    <x v="3"/>
    <n v="0"/>
    <x v="0"/>
    <x v="0"/>
  </r>
  <r>
    <x v="2"/>
    <x v="16"/>
    <x v="3"/>
    <n v="320334675"/>
    <x v="4"/>
    <x v="1"/>
  </r>
  <r>
    <x v="2"/>
    <x v="17"/>
    <x v="3"/>
    <n v="17687671"/>
    <x v="4"/>
    <x v="1"/>
  </r>
  <r>
    <x v="2"/>
    <x v="18"/>
    <x v="3"/>
    <n v="19358"/>
    <x v="5"/>
    <x v="0"/>
  </r>
  <r>
    <x v="2"/>
    <x v="19"/>
    <x v="3"/>
    <n v="0"/>
    <x v="1"/>
    <x v="0"/>
  </r>
  <r>
    <x v="2"/>
    <x v="20"/>
    <x v="3"/>
    <n v="0"/>
    <x v="5"/>
    <x v="0"/>
  </r>
  <r>
    <x v="2"/>
    <x v="23"/>
    <x v="3"/>
    <n v="0"/>
    <x v="6"/>
    <x v="0"/>
  </r>
  <r>
    <x v="3"/>
    <x v="24"/>
    <x v="3"/>
    <n v="62.48"/>
    <x v="3"/>
    <x v="2"/>
  </r>
  <r>
    <x v="3"/>
    <x v="1"/>
    <x v="3"/>
    <n v="48.72"/>
    <x v="7"/>
    <x v="3"/>
  </r>
  <r>
    <x v="3"/>
    <x v="19"/>
    <x v="3"/>
    <m/>
    <x v="8"/>
    <x v="4"/>
  </r>
  <r>
    <x v="0"/>
    <x v="0"/>
    <x v="4"/>
    <n v="1673"/>
    <x v="0"/>
    <x v="0"/>
  </r>
  <r>
    <x v="0"/>
    <x v="1"/>
    <x v="4"/>
    <n v="57466"/>
    <x v="1"/>
    <x v="0"/>
  </r>
  <r>
    <x v="0"/>
    <x v="2"/>
    <x v="4"/>
    <n v="383"/>
    <x v="0"/>
    <x v="0"/>
  </r>
  <r>
    <x v="0"/>
    <x v="3"/>
    <x v="4"/>
    <n v="322"/>
    <x v="1"/>
    <x v="1"/>
  </r>
  <r>
    <x v="0"/>
    <x v="4"/>
    <x v="4"/>
    <n v="0"/>
    <x v="1"/>
    <x v="1"/>
  </r>
  <r>
    <x v="0"/>
    <x v="5"/>
    <x v="4"/>
    <n v="158"/>
    <x v="1"/>
    <x v="1"/>
  </r>
  <r>
    <x v="0"/>
    <x v="6"/>
    <x v="4"/>
    <n v="0"/>
    <x v="2"/>
    <x v="0"/>
  </r>
  <r>
    <x v="0"/>
    <x v="7"/>
    <x v="4"/>
    <n v="0"/>
    <x v="2"/>
    <x v="0"/>
  </r>
  <r>
    <x v="0"/>
    <x v="8"/>
    <x v="4"/>
    <n v="0"/>
    <x v="2"/>
    <x v="0"/>
  </r>
  <r>
    <x v="0"/>
    <x v="9"/>
    <x v="4"/>
    <n v="649"/>
    <x v="2"/>
    <x v="0"/>
  </r>
  <r>
    <x v="0"/>
    <x v="10"/>
    <x v="4"/>
    <n v="35320"/>
    <x v="3"/>
    <x v="0"/>
  </r>
  <r>
    <x v="0"/>
    <x v="11"/>
    <x v="4"/>
    <n v="0"/>
    <x v="3"/>
    <x v="0"/>
  </r>
  <r>
    <x v="0"/>
    <x v="12"/>
    <x v="4"/>
    <n v="44266"/>
    <x v="3"/>
    <x v="0"/>
  </r>
  <r>
    <x v="0"/>
    <x v="13"/>
    <x v="4"/>
    <n v="41545"/>
    <x v="3"/>
    <x v="0"/>
  </r>
  <r>
    <x v="0"/>
    <x v="14"/>
    <x v="4"/>
    <n v="308"/>
    <x v="0"/>
    <x v="0"/>
  </r>
  <r>
    <x v="0"/>
    <x v="15"/>
    <x v="4"/>
    <n v="0"/>
    <x v="0"/>
    <x v="0"/>
  </r>
  <r>
    <x v="0"/>
    <x v="16"/>
    <x v="4"/>
    <n v="194"/>
    <x v="4"/>
    <x v="1"/>
  </r>
  <r>
    <x v="0"/>
    <x v="17"/>
    <x v="4"/>
    <n v="86"/>
    <x v="4"/>
    <x v="1"/>
  </r>
  <r>
    <x v="0"/>
    <x v="18"/>
    <x v="4"/>
    <n v="32"/>
    <x v="5"/>
    <x v="0"/>
  </r>
  <r>
    <x v="0"/>
    <x v="19"/>
    <x v="4"/>
    <n v="0"/>
    <x v="1"/>
    <x v="0"/>
  </r>
  <r>
    <x v="0"/>
    <x v="20"/>
    <x v="4"/>
    <n v="0"/>
    <x v="5"/>
    <x v="0"/>
  </r>
  <r>
    <x v="0"/>
    <x v="21"/>
    <x v="4"/>
    <n v="10301"/>
    <x v="2"/>
    <x v="0"/>
  </r>
  <r>
    <x v="0"/>
    <x v="22"/>
    <x v="4"/>
    <n v="0"/>
    <x v="2"/>
    <x v="0"/>
  </r>
  <r>
    <x v="0"/>
    <x v="23"/>
    <x v="4"/>
    <n v="0"/>
    <x v="6"/>
    <x v="0"/>
  </r>
  <r>
    <x v="1"/>
    <x v="0"/>
    <x v="4"/>
    <n v="0"/>
    <x v="0"/>
    <x v="0"/>
  </r>
  <r>
    <x v="1"/>
    <x v="1"/>
    <x v="4"/>
    <n v="514"/>
    <x v="1"/>
    <x v="0"/>
  </r>
  <r>
    <x v="1"/>
    <x v="2"/>
    <x v="4"/>
    <n v="0"/>
    <x v="0"/>
    <x v="0"/>
  </r>
  <r>
    <x v="1"/>
    <x v="3"/>
    <x v="4"/>
    <n v="45529"/>
    <x v="1"/>
    <x v="1"/>
  </r>
  <r>
    <x v="1"/>
    <x v="4"/>
    <x v="4"/>
    <n v="0"/>
    <x v="1"/>
    <x v="1"/>
  </r>
  <r>
    <x v="1"/>
    <x v="5"/>
    <x v="4"/>
    <n v="262"/>
    <x v="1"/>
    <x v="1"/>
  </r>
  <r>
    <x v="1"/>
    <x v="6"/>
    <x v="4"/>
    <n v="0"/>
    <x v="2"/>
    <x v="0"/>
  </r>
  <r>
    <x v="1"/>
    <x v="7"/>
    <x v="4"/>
    <n v="0"/>
    <x v="2"/>
    <x v="0"/>
  </r>
  <r>
    <x v="1"/>
    <x v="8"/>
    <x v="4"/>
    <n v="0"/>
    <x v="2"/>
    <x v="0"/>
  </r>
  <r>
    <x v="1"/>
    <x v="9"/>
    <x v="4"/>
    <n v="0"/>
    <x v="2"/>
    <x v="0"/>
  </r>
  <r>
    <x v="1"/>
    <x v="10"/>
    <x v="4"/>
    <n v="0"/>
    <x v="3"/>
    <x v="0"/>
  </r>
  <r>
    <x v="1"/>
    <x v="11"/>
    <x v="4"/>
    <n v="0"/>
    <x v="3"/>
    <x v="0"/>
  </r>
  <r>
    <x v="1"/>
    <x v="12"/>
    <x v="4"/>
    <n v="7370"/>
    <x v="3"/>
    <x v="0"/>
  </r>
  <r>
    <x v="1"/>
    <x v="13"/>
    <x v="4"/>
    <n v="3234"/>
    <x v="3"/>
    <x v="0"/>
  </r>
  <r>
    <x v="1"/>
    <x v="14"/>
    <x v="4"/>
    <n v="0"/>
    <x v="0"/>
    <x v="0"/>
  </r>
  <r>
    <x v="1"/>
    <x v="15"/>
    <x v="4"/>
    <n v="0"/>
    <x v="0"/>
    <x v="0"/>
  </r>
  <r>
    <x v="1"/>
    <x v="16"/>
    <x v="4"/>
    <n v="81068"/>
    <x v="4"/>
    <x v="1"/>
  </r>
  <r>
    <x v="1"/>
    <x v="17"/>
    <x v="4"/>
    <n v="823"/>
    <x v="4"/>
    <x v="1"/>
  </r>
  <r>
    <x v="1"/>
    <x v="18"/>
    <x v="4"/>
    <n v="0"/>
    <x v="5"/>
    <x v="0"/>
  </r>
  <r>
    <x v="1"/>
    <x v="19"/>
    <x v="4"/>
    <n v="0"/>
    <x v="1"/>
    <x v="0"/>
  </r>
  <r>
    <x v="1"/>
    <x v="20"/>
    <x v="4"/>
    <n v="0"/>
    <x v="5"/>
    <x v="0"/>
  </r>
  <r>
    <x v="1"/>
    <x v="23"/>
    <x v="4"/>
    <n v="0"/>
    <x v="6"/>
    <x v="0"/>
  </r>
  <r>
    <x v="2"/>
    <x v="0"/>
    <x v="4"/>
    <n v="319232"/>
    <x v="0"/>
    <x v="0"/>
  </r>
  <r>
    <x v="2"/>
    <x v="1"/>
    <x v="4"/>
    <n v="9024384"/>
    <x v="1"/>
    <x v="0"/>
  </r>
  <r>
    <x v="2"/>
    <x v="2"/>
    <x v="4"/>
    <n v="99904"/>
    <x v="0"/>
    <x v="0"/>
  </r>
  <r>
    <x v="2"/>
    <x v="3"/>
    <x v="4"/>
    <n v="139086543"/>
    <x v="1"/>
    <x v="1"/>
  </r>
  <r>
    <x v="2"/>
    <x v="4"/>
    <x v="4"/>
    <n v="0"/>
    <x v="1"/>
    <x v="1"/>
  </r>
  <r>
    <x v="2"/>
    <x v="5"/>
    <x v="4"/>
    <n v="1604260"/>
    <x v="1"/>
    <x v="1"/>
  </r>
  <r>
    <x v="2"/>
    <x v="6"/>
    <x v="4"/>
    <n v="0"/>
    <x v="2"/>
    <x v="0"/>
  </r>
  <r>
    <x v="2"/>
    <x v="7"/>
    <x v="4"/>
    <n v="0"/>
    <x v="2"/>
    <x v="0"/>
  </r>
  <r>
    <x v="2"/>
    <x v="8"/>
    <x v="4"/>
    <n v="0"/>
    <x v="2"/>
    <x v="0"/>
  </r>
  <r>
    <x v="2"/>
    <x v="9"/>
    <x v="4"/>
    <n v="14322"/>
    <x v="2"/>
    <x v="0"/>
  </r>
  <r>
    <x v="2"/>
    <x v="10"/>
    <x v="4"/>
    <n v="9776863"/>
    <x v="3"/>
    <x v="0"/>
  </r>
  <r>
    <x v="2"/>
    <x v="11"/>
    <x v="4"/>
    <n v="0"/>
    <x v="3"/>
    <x v="0"/>
  </r>
  <r>
    <x v="2"/>
    <x v="12"/>
    <x v="4"/>
    <n v="12743468"/>
    <x v="3"/>
    <x v="0"/>
  </r>
  <r>
    <x v="2"/>
    <x v="13"/>
    <x v="4"/>
    <n v="15727391"/>
    <x v="3"/>
    <x v="0"/>
  </r>
  <r>
    <x v="2"/>
    <x v="14"/>
    <x v="4"/>
    <n v="234492"/>
    <x v="0"/>
    <x v="0"/>
  </r>
  <r>
    <x v="2"/>
    <x v="15"/>
    <x v="4"/>
    <n v="0"/>
    <x v="0"/>
    <x v="0"/>
  </r>
  <r>
    <x v="2"/>
    <x v="16"/>
    <x v="4"/>
    <n v="263889421"/>
    <x v="4"/>
    <x v="1"/>
  </r>
  <r>
    <x v="2"/>
    <x v="17"/>
    <x v="4"/>
    <n v="15472789"/>
    <x v="4"/>
    <x v="1"/>
  </r>
  <r>
    <x v="2"/>
    <x v="18"/>
    <x v="4"/>
    <n v="20826"/>
    <x v="5"/>
    <x v="0"/>
  </r>
  <r>
    <x v="2"/>
    <x v="19"/>
    <x v="4"/>
    <n v="0"/>
    <x v="1"/>
    <x v="0"/>
  </r>
  <r>
    <x v="2"/>
    <x v="20"/>
    <x v="4"/>
    <n v="0"/>
    <x v="5"/>
    <x v="0"/>
  </r>
  <r>
    <x v="2"/>
    <x v="23"/>
    <x v="4"/>
    <n v="0"/>
    <x v="6"/>
    <x v="0"/>
  </r>
  <r>
    <x v="3"/>
    <x v="24"/>
    <x v="4"/>
    <n v="62.68"/>
    <x v="3"/>
    <x v="2"/>
  </r>
  <r>
    <x v="3"/>
    <x v="1"/>
    <x v="4"/>
    <n v="46.35"/>
    <x v="7"/>
    <x v="3"/>
  </r>
  <r>
    <x v="3"/>
    <x v="19"/>
    <x v="4"/>
    <m/>
    <x v="8"/>
    <x v="4"/>
  </r>
  <r>
    <x v="0"/>
    <x v="0"/>
    <x v="5"/>
    <n v="2277"/>
    <x v="0"/>
    <x v="0"/>
  </r>
  <r>
    <x v="0"/>
    <x v="1"/>
    <x v="5"/>
    <n v="83384"/>
    <x v="1"/>
    <x v="0"/>
  </r>
  <r>
    <x v="0"/>
    <x v="2"/>
    <x v="5"/>
    <n v="442"/>
    <x v="0"/>
    <x v="0"/>
  </r>
  <r>
    <x v="0"/>
    <x v="3"/>
    <x v="5"/>
    <n v="690"/>
    <x v="1"/>
    <x v="1"/>
  </r>
  <r>
    <x v="0"/>
    <x v="4"/>
    <x v="5"/>
    <n v="0"/>
    <x v="1"/>
    <x v="1"/>
  </r>
  <r>
    <x v="0"/>
    <x v="5"/>
    <x v="5"/>
    <n v="311"/>
    <x v="1"/>
    <x v="1"/>
  </r>
  <r>
    <x v="0"/>
    <x v="6"/>
    <x v="5"/>
    <n v="0"/>
    <x v="2"/>
    <x v="0"/>
  </r>
  <r>
    <x v="0"/>
    <x v="7"/>
    <x v="5"/>
    <n v="0"/>
    <x v="2"/>
    <x v="0"/>
  </r>
  <r>
    <x v="0"/>
    <x v="8"/>
    <x v="5"/>
    <n v="0"/>
    <x v="2"/>
    <x v="0"/>
  </r>
  <r>
    <x v="0"/>
    <x v="9"/>
    <x v="5"/>
    <n v="822"/>
    <x v="2"/>
    <x v="0"/>
  </r>
  <r>
    <x v="0"/>
    <x v="10"/>
    <x v="5"/>
    <n v="41860"/>
    <x v="3"/>
    <x v="0"/>
  </r>
  <r>
    <x v="0"/>
    <x v="11"/>
    <x v="5"/>
    <n v="0"/>
    <x v="3"/>
    <x v="0"/>
  </r>
  <r>
    <x v="0"/>
    <x v="12"/>
    <x v="5"/>
    <n v="52398"/>
    <x v="3"/>
    <x v="0"/>
  </r>
  <r>
    <x v="0"/>
    <x v="13"/>
    <x v="5"/>
    <n v="36241"/>
    <x v="3"/>
    <x v="0"/>
  </r>
  <r>
    <x v="0"/>
    <x v="14"/>
    <x v="5"/>
    <n v="297"/>
    <x v="0"/>
    <x v="0"/>
  </r>
  <r>
    <x v="0"/>
    <x v="15"/>
    <x v="5"/>
    <n v="0"/>
    <x v="0"/>
    <x v="0"/>
  </r>
  <r>
    <x v="0"/>
    <x v="16"/>
    <x v="5"/>
    <n v="841"/>
    <x v="4"/>
    <x v="1"/>
  </r>
  <r>
    <x v="0"/>
    <x v="17"/>
    <x v="5"/>
    <n v="113"/>
    <x v="4"/>
    <x v="1"/>
  </r>
  <r>
    <x v="0"/>
    <x v="18"/>
    <x v="5"/>
    <n v="68"/>
    <x v="5"/>
    <x v="0"/>
  </r>
  <r>
    <x v="0"/>
    <x v="19"/>
    <x v="5"/>
    <n v="0"/>
    <x v="1"/>
    <x v="0"/>
  </r>
  <r>
    <x v="0"/>
    <x v="20"/>
    <x v="5"/>
    <n v="0"/>
    <x v="5"/>
    <x v="0"/>
  </r>
  <r>
    <x v="0"/>
    <x v="21"/>
    <x v="5"/>
    <n v="10301"/>
    <x v="2"/>
    <x v="0"/>
  </r>
  <r>
    <x v="0"/>
    <x v="22"/>
    <x v="5"/>
    <n v="0"/>
    <x v="2"/>
    <x v="0"/>
  </r>
  <r>
    <x v="0"/>
    <x v="23"/>
    <x v="5"/>
    <n v="0"/>
    <x v="6"/>
    <x v="0"/>
  </r>
  <r>
    <x v="1"/>
    <x v="0"/>
    <x v="5"/>
    <n v="0"/>
    <x v="0"/>
    <x v="0"/>
  </r>
  <r>
    <x v="1"/>
    <x v="1"/>
    <x v="5"/>
    <n v="906"/>
    <x v="1"/>
    <x v="0"/>
  </r>
  <r>
    <x v="1"/>
    <x v="2"/>
    <x v="5"/>
    <n v="0"/>
    <x v="0"/>
    <x v="0"/>
  </r>
  <r>
    <x v="1"/>
    <x v="3"/>
    <x v="5"/>
    <n v="60739"/>
    <x v="1"/>
    <x v="1"/>
  </r>
  <r>
    <x v="1"/>
    <x v="4"/>
    <x v="5"/>
    <n v="0"/>
    <x v="1"/>
    <x v="1"/>
  </r>
  <r>
    <x v="1"/>
    <x v="5"/>
    <x v="5"/>
    <n v="335"/>
    <x v="1"/>
    <x v="1"/>
  </r>
  <r>
    <x v="1"/>
    <x v="6"/>
    <x v="5"/>
    <n v="0"/>
    <x v="2"/>
    <x v="0"/>
  </r>
  <r>
    <x v="1"/>
    <x v="7"/>
    <x v="5"/>
    <n v="0"/>
    <x v="2"/>
    <x v="0"/>
  </r>
  <r>
    <x v="1"/>
    <x v="8"/>
    <x v="5"/>
    <n v="0"/>
    <x v="2"/>
    <x v="0"/>
  </r>
  <r>
    <x v="1"/>
    <x v="9"/>
    <x v="5"/>
    <n v="0"/>
    <x v="2"/>
    <x v="0"/>
  </r>
  <r>
    <x v="1"/>
    <x v="10"/>
    <x v="5"/>
    <n v="8226"/>
    <x v="3"/>
    <x v="0"/>
  </r>
  <r>
    <x v="1"/>
    <x v="11"/>
    <x v="5"/>
    <n v="0"/>
    <x v="3"/>
    <x v="0"/>
  </r>
  <r>
    <x v="1"/>
    <x v="12"/>
    <x v="5"/>
    <n v="2800"/>
    <x v="3"/>
    <x v="0"/>
  </r>
  <r>
    <x v="1"/>
    <x v="13"/>
    <x v="5"/>
    <n v="2470"/>
    <x v="3"/>
    <x v="0"/>
  </r>
  <r>
    <x v="1"/>
    <x v="14"/>
    <x v="5"/>
    <n v="0"/>
    <x v="0"/>
    <x v="0"/>
  </r>
  <r>
    <x v="1"/>
    <x v="15"/>
    <x v="5"/>
    <n v="0"/>
    <x v="0"/>
    <x v="0"/>
  </r>
  <r>
    <x v="1"/>
    <x v="16"/>
    <x v="5"/>
    <n v="108298"/>
    <x v="4"/>
    <x v="1"/>
  </r>
  <r>
    <x v="1"/>
    <x v="17"/>
    <x v="5"/>
    <n v="1039"/>
    <x v="4"/>
    <x v="1"/>
  </r>
  <r>
    <x v="1"/>
    <x v="18"/>
    <x v="5"/>
    <n v="0"/>
    <x v="5"/>
    <x v="0"/>
  </r>
  <r>
    <x v="1"/>
    <x v="19"/>
    <x v="5"/>
    <n v="0"/>
    <x v="1"/>
    <x v="0"/>
  </r>
  <r>
    <x v="1"/>
    <x v="20"/>
    <x v="5"/>
    <n v="0"/>
    <x v="5"/>
    <x v="0"/>
  </r>
  <r>
    <x v="1"/>
    <x v="23"/>
    <x v="5"/>
    <n v="0"/>
    <x v="6"/>
    <x v="0"/>
  </r>
  <r>
    <x v="2"/>
    <x v="0"/>
    <x v="5"/>
    <n v="423939"/>
    <x v="0"/>
    <x v="0"/>
  </r>
  <r>
    <x v="2"/>
    <x v="1"/>
    <x v="5"/>
    <n v="13381643"/>
    <x v="1"/>
    <x v="0"/>
  </r>
  <r>
    <x v="2"/>
    <x v="2"/>
    <x v="5"/>
    <n v="115353"/>
    <x v="0"/>
    <x v="0"/>
  </r>
  <r>
    <x v="2"/>
    <x v="3"/>
    <x v="5"/>
    <n v="184749867"/>
    <x v="1"/>
    <x v="1"/>
  </r>
  <r>
    <x v="2"/>
    <x v="4"/>
    <x v="5"/>
    <n v="0"/>
    <x v="1"/>
    <x v="1"/>
  </r>
  <r>
    <x v="2"/>
    <x v="5"/>
    <x v="5"/>
    <n v="369644"/>
    <x v="1"/>
    <x v="1"/>
  </r>
  <r>
    <x v="2"/>
    <x v="6"/>
    <x v="5"/>
    <n v="0"/>
    <x v="2"/>
    <x v="0"/>
  </r>
  <r>
    <x v="2"/>
    <x v="7"/>
    <x v="5"/>
    <n v="0"/>
    <x v="2"/>
    <x v="0"/>
  </r>
  <r>
    <x v="2"/>
    <x v="8"/>
    <x v="5"/>
    <n v="0"/>
    <x v="2"/>
    <x v="0"/>
  </r>
  <r>
    <x v="2"/>
    <x v="9"/>
    <x v="5"/>
    <n v="18144"/>
    <x v="2"/>
    <x v="0"/>
  </r>
  <r>
    <x v="2"/>
    <x v="10"/>
    <x v="5"/>
    <n v="9310276"/>
    <x v="3"/>
    <x v="0"/>
  </r>
  <r>
    <x v="2"/>
    <x v="11"/>
    <x v="5"/>
    <n v="0"/>
    <x v="3"/>
    <x v="0"/>
  </r>
  <r>
    <x v="2"/>
    <x v="12"/>
    <x v="5"/>
    <n v="17354390"/>
    <x v="3"/>
    <x v="0"/>
  </r>
  <r>
    <x v="2"/>
    <x v="13"/>
    <x v="5"/>
    <n v="14239785"/>
    <x v="3"/>
    <x v="0"/>
  </r>
  <r>
    <x v="2"/>
    <x v="14"/>
    <x v="5"/>
    <n v="224761"/>
    <x v="0"/>
    <x v="0"/>
  </r>
  <r>
    <x v="2"/>
    <x v="15"/>
    <x v="5"/>
    <n v="0"/>
    <x v="0"/>
    <x v="0"/>
  </r>
  <r>
    <x v="2"/>
    <x v="16"/>
    <x v="5"/>
    <n v="350623417"/>
    <x v="4"/>
    <x v="1"/>
  </r>
  <r>
    <x v="2"/>
    <x v="17"/>
    <x v="5"/>
    <n v="19442225"/>
    <x v="4"/>
    <x v="1"/>
  </r>
  <r>
    <x v="2"/>
    <x v="18"/>
    <x v="5"/>
    <n v="43505"/>
    <x v="5"/>
    <x v="0"/>
  </r>
  <r>
    <x v="2"/>
    <x v="19"/>
    <x v="5"/>
    <n v="0"/>
    <x v="1"/>
    <x v="0"/>
  </r>
  <r>
    <x v="2"/>
    <x v="20"/>
    <x v="5"/>
    <n v="0"/>
    <x v="5"/>
    <x v="0"/>
  </r>
  <r>
    <x v="2"/>
    <x v="23"/>
    <x v="5"/>
    <n v="0"/>
    <x v="6"/>
    <x v="0"/>
  </r>
  <r>
    <x v="3"/>
    <x v="24"/>
    <x v="5"/>
    <n v="63.04"/>
    <x v="3"/>
    <x v="2"/>
  </r>
  <r>
    <x v="3"/>
    <x v="1"/>
    <x v="5"/>
    <n v="47.58"/>
    <x v="7"/>
    <x v="3"/>
  </r>
  <r>
    <x v="3"/>
    <x v="19"/>
    <x v="5"/>
    <m/>
    <x v="8"/>
    <x v="4"/>
  </r>
  <r>
    <x v="0"/>
    <x v="0"/>
    <x v="6"/>
    <n v="2237"/>
    <x v="0"/>
    <x v="0"/>
  </r>
  <r>
    <x v="0"/>
    <x v="1"/>
    <x v="6"/>
    <n v="92219"/>
    <x v="1"/>
    <x v="0"/>
  </r>
  <r>
    <x v="0"/>
    <x v="2"/>
    <x v="6"/>
    <n v="397"/>
    <x v="0"/>
    <x v="0"/>
  </r>
  <r>
    <x v="0"/>
    <x v="3"/>
    <x v="6"/>
    <n v="489"/>
    <x v="1"/>
    <x v="1"/>
  </r>
  <r>
    <x v="0"/>
    <x v="4"/>
    <x v="6"/>
    <n v="0"/>
    <x v="1"/>
    <x v="1"/>
  </r>
  <r>
    <x v="0"/>
    <x v="5"/>
    <x v="6"/>
    <n v="306"/>
    <x v="1"/>
    <x v="1"/>
  </r>
  <r>
    <x v="0"/>
    <x v="6"/>
    <x v="6"/>
    <n v="0"/>
    <x v="2"/>
    <x v="0"/>
  </r>
  <r>
    <x v="0"/>
    <x v="7"/>
    <x v="6"/>
    <n v="0"/>
    <x v="2"/>
    <x v="0"/>
  </r>
  <r>
    <x v="0"/>
    <x v="8"/>
    <x v="6"/>
    <n v="0"/>
    <x v="2"/>
    <x v="0"/>
  </r>
  <r>
    <x v="0"/>
    <x v="9"/>
    <x v="6"/>
    <n v="1095"/>
    <x v="2"/>
    <x v="0"/>
  </r>
  <r>
    <x v="0"/>
    <x v="10"/>
    <x v="6"/>
    <n v="33280"/>
    <x v="3"/>
    <x v="0"/>
  </r>
  <r>
    <x v="0"/>
    <x v="11"/>
    <x v="6"/>
    <n v="0"/>
    <x v="3"/>
    <x v="0"/>
  </r>
  <r>
    <x v="0"/>
    <x v="12"/>
    <x v="6"/>
    <n v="47958"/>
    <x v="3"/>
    <x v="0"/>
  </r>
  <r>
    <x v="0"/>
    <x v="13"/>
    <x v="6"/>
    <n v="65353"/>
    <x v="3"/>
    <x v="0"/>
  </r>
  <r>
    <x v="0"/>
    <x v="14"/>
    <x v="6"/>
    <n v="327"/>
    <x v="0"/>
    <x v="0"/>
  </r>
  <r>
    <x v="0"/>
    <x v="15"/>
    <x v="6"/>
    <n v="0"/>
    <x v="0"/>
    <x v="0"/>
  </r>
  <r>
    <x v="0"/>
    <x v="16"/>
    <x v="6"/>
    <n v="677"/>
    <x v="4"/>
    <x v="1"/>
  </r>
  <r>
    <x v="0"/>
    <x v="17"/>
    <x v="6"/>
    <n v="80"/>
    <x v="4"/>
    <x v="1"/>
  </r>
  <r>
    <x v="0"/>
    <x v="18"/>
    <x v="6"/>
    <n v="38"/>
    <x v="5"/>
    <x v="0"/>
  </r>
  <r>
    <x v="0"/>
    <x v="19"/>
    <x v="6"/>
    <n v="0"/>
    <x v="1"/>
    <x v="0"/>
  </r>
  <r>
    <x v="0"/>
    <x v="20"/>
    <x v="6"/>
    <n v="0"/>
    <x v="5"/>
    <x v="0"/>
  </r>
  <r>
    <x v="0"/>
    <x v="21"/>
    <x v="6"/>
    <n v="10301"/>
    <x v="2"/>
    <x v="0"/>
  </r>
  <r>
    <x v="0"/>
    <x v="22"/>
    <x v="6"/>
    <n v="0"/>
    <x v="2"/>
    <x v="0"/>
  </r>
  <r>
    <x v="0"/>
    <x v="23"/>
    <x v="6"/>
    <n v="0"/>
    <x v="6"/>
    <x v="0"/>
  </r>
  <r>
    <x v="1"/>
    <x v="0"/>
    <x v="6"/>
    <n v="0"/>
    <x v="0"/>
    <x v="0"/>
  </r>
  <r>
    <x v="1"/>
    <x v="1"/>
    <x v="6"/>
    <n v="2144"/>
    <x v="1"/>
    <x v="0"/>
  </r>
  <r>
    <x v="1"/>
    <x v="2"/>
    <x v="6"/>
    <n v="0"/>
    <x v="0"/>
    <x v="0"/>
  </r>
  <r>
    <x v="1"/>
    <x v="3"/>
    <x v="6"/>
    <n v="63246"/>
    <x v="1"/>
    <x v="1"/>
  </r>
  <r>
    <x v="1"/>
    <x v="4"/>
    <x v="6"/>
    <n v="0"/>
    <x v="1"/>
    <x v="1"/>
  </r>
  <r>
    <x v="1"/>
    <x v="5"/>
    <x v="6"/>
    <n v="309"/>
    <x v="1"/>
    <x v="1"/>
  </r>
  <r>
    <x v="1"/>
    <x v="6"/>
    <x v="6"/>
    <n v="0"/>
    <x v="2"/>
    <x v="0"/>
  </r>
  <r>
    <x v="1"/>
    <x v="7"/>
    <x v="6"/>
    <n v="0"/>
    <x v="2"/>
    <x v="0"/>
  </r>
  <r>
    <x v="1"/>
    <x v="8"/>
    <x v="6"/>
    <n v="0"/>
    <x v="2"/>
    <x v="0"/>
  </r>
  <r>
    <x v="1"/>
    <x v="9"/>
    <x v="6"/>
    <n v="0"/>
    <x v="2"/>
    <x v="0"/>
  </r>
  <r>
    <x v="1"/>
    <x v="10"/>
    <x v="6"/>
    <n v="0"/>
    <x v="3"/>
    <x v="0"/>
  </r>
  <r>
    <x v="1"/>
    <x v="11"/>
    <x v="6"/>
    <n v="0"/>
    <x v="3"/>
    <x v="0"/>
  </r>
  <r>
    <x v="1"/>
    <x v="12"/>
    <x v="6"/>
    <n v="3123"/>
    <x v="3"/>
    <x v="0"/>
  </r>
  <r>
    <x v="1"/>
    <x v="13"/>
    <x v="6"/>
    <n v="12273"/>
    <x v="3"/>
    <x v="0"/>
  </r>
  <r>
    <x v="1"/>
    <x v="14"/>
    <x v="6"/>
    <n v="0"/>
    <x v="0"/>
    <x v="0"/>
  </r>
  <r>
    <x v="1"/>
    <x v="15"/>
    <x v="6"/>
    <n v="0"/>
    <x v="0"/>
    <x v="0"/>
  </r>
  <r>
    <x v="1"/>
    <x v="16"/>
    <x v="6"/>
    <n v="122947"/>
    <x v="4"/>
    <x v="1"/>
  </r>
  <r>
    <x v="1"/>
    <x v="17"/>
    <x v="6"/>
    <n v="1360"/>
    <x v="4"/>
    <x v="1"/>
  </r>
  <r>
    <x v="1"/>
    <x v="18"/>
    <x v="6"/>
    <n v="0"/>
    <x v="5"/>
    <x v="0"/>
  </r>
  <r>
    <x v="1"/>
    <x v="19"/>
    <x v="6"/>
    <n v="0"/>
    <x v="1"/>
    <x v="0"/>
  </r>
  <r>
    <x v="1"/>
    <x v="20"/>
    <x v="6"/>
    <n v="0"/>
    <x v="5"/>
    <x v="0"/>
  </r>
  <r>
    <x v="1"/>
    <x v="23"/>
    <x v="6"/>
    <n v="0"/>
    <x v="6"/>
    <x v="0"/>
  </r>
  <r>
    <x v="2"/>
    <x v="0"/>
    <x v="6"/>
    <n v="362447"/>
    <x v="0"/>
    <x v="0"/>
  </r>
  <r>
    <x v="2"/>
    <x v="1"/>
    <x v="6"/>
    <n v="14467683"/>
    <x v="1"/>
    <x v="0"/>
  </r>
  <r>
    <x v="2"/>
    <x v="2"/>
    <x v="6"/>
    <n v="104296"/>
    <x v="0"/>
    <x v="0"/>
  </r>
  <r>
    <x v="2"/>
    <x v="3"/>
    <x v="6"/>
    <n v="193087164"/>
    <x v="1"/>
    <x v="1"/>
  </r>
  <r>
    <x v="2"/>
    <x v="4"/>
    <x v="6"/>
    <n v="0"/>
    <x v="1"/>
    <x v="1"/>
  </r>
  <r>
    <x v="2"/>
    <x v="5"/>
    <x v="6"/>
    <n v="71965"/>
    <x v="1"/>
    <x v="1"/>
  </r>
  <r>
    <x v="2"/>
    <x v="6"/>
    <x v="6"/>
    <n v="0"/>
    <x v="2"/>
    <x v="0"/>
  </r>
  <r>
    <x v="2"/>
    <x v="7"/>
    <x v="6"/>
    <n v="0"/>
    <x v="2"/>
    <x v="0"/>
  </r>
  <r>
    <x v="2"/>
    <x v="8"/>
    <x v="6"/>
    <n v="0"/>
    <x v="2"/>
    <x v="0"/>
  </r>
  <r>
    <x v="2"/>
    <x v="9"/>
    <x v="6"/>
    <n v="24117"/>
    <x v="2"/>
    <x v="0"/>
  </r>
  <r>
    <x v="2"/>
    <x v="10"/>
    <x v="6"/>
    <n v="9212448"/>
    <x v="3"/>
    <x v="0"/>
  </r>
  <r>
    <x v="2"/>
    <x v="11"/>
    <x v="6"/>
    <n v="0"/>
    <x v="3"/>
    <x v="0"/>
  </r>
  <r>
    <x v="2"/>
    <x v="12"/>
    <x v="6"/>
    <n v="15301245"/>
    <x v="3"/>
    <x v="0"/>
  </r>
  <r>
    <x v="2"/>
    <x v="13"/>
    <x v="6"/>
    <n v="21952322"/>
    <x v="3"/>
    <x v="0"/>
  </r>
  <r>
    <x v="2"/>
    <x v="14"/>
    <x v="6"/>
    <n v="249111"/>
    <x v="0"/>
    <x v="0"/>
  </r>
  <r>
    <x v="2"/>
    <x v="15"/>
    <x v="6"/>
    <n v="0"/>
    <x v="0"/>
    <x v="0"/>
  </r>
  <r>
    <x v="2"/>
    <x v="16"/>
    <x v="6"/>
    <n v="398951677"/>
    <x v="4"/>
    <x v="1"/>
  </r>
  <r>
    <x v="2"/>
    <x v="17"/>
    <x v="6"/>
    <n v="26862864"/>
    <x v="4"/>
    <x v="1"/>
  </r>
  <r>
    <x v="2"/>
    <x v="18"/>
    <x v="6"/>
    <n v="24333"/>
    <x v="5"/>
    <x v="0"/>
  </r>
  <r>
    <x v="2"/>
    <x v="19"/>
    <x v="6"/>
    <n v="0"/>
    <x v="1"/>
    <x v="0"/>
  </r>
  <r>
    <x v="2"/>
    <x v="20"/>
    <x v="6"/>
    <n v="0"/>
    <x v="5"/>
    <x v="0"/>
  </r>
  <r>
    <x v="2"/>
    <x v="23"/>
    <x v="6"/>
    <n v="0"/>
    <x v="6"/>
    <x v="0"/>
  </r>
  <r>
    <x v="3"/>
    <x v="24"/>
    <x v="6"/>
    <n v="63.49"/>
    <x v="3"/>
    <x v="2"/>
  </r>
  <r>
    <x v="3"/>
    <x v="1"/>
    <x v="6"/>
    <n v="47.06"/>
    <x v="7"/>
    <x v="3"/>
  </r>
  <r>
    <x v="3"/>
    <x v="19"/>
    <x v="6"/>
    <m/>
    <x v="8"/>
    <x v="4"/>
  </r>
  <r>
    <x v="0"/>
    <x v="0"/>
    <x v="7"/>
    <n v="2478"/>
    <x v="0"/>
    <x v="0"/>
  </r>
  <r>
    <x v="0"/>
    <x v="1"/>
    <x v="7"/>
    <n v="88392"/>
    <x v="1"/>
    <x v="0"/>
  </r>
  <r>
    <x v="0"/>
    <x v="2"/>
    <x v="7"/>
    <n v="129"/>
    <x v="0"/>
    <x v="0"/>
  </r>
  <r>
    <x v="0"/>
    <x v="3"/>
    <x v="7"/>
    <n v="418"/>
    <x v="1"/>
    <x v="1"/>
  </r>
  <r>
    <x v="0"/>
    <x v="4"/>
    <x v="7"/>
    <n v="0"/>
    <x v="1"/>
    <x v="1"/>
  </r>
  <r>
    <x v="0"/>
    <x v="5"/>
    <x v="7"/>
    <n v="214"/>
    <x v="1"/>
    <x v="1"/>
  </r>
  <r>
    <x v="0"/>
    <x v="6"/>
    <x v="7"/>
    <n v="0"/>
    <x v="2"/>
    <x v="0"/>
  </r>
  <r>
    <x v="0"/>
    <x v="7"/>
    <x v="7"/>
    <n v="0"/>
    <x v="2"/>
    <x v="0"/>
  </r>
  <r>
    <x v="0"/>
    <x v="8"/>
    <x v="7"/>
    <n v="0"/>
    <x v="2"/>
    <x v="0"/>
  </r>
  <r>
    <x v="0"/>
    <x v="9"/>
    <x v="7"/>
    <n v="946"/>
    <x v="2"/>
    <x v="0"/>
  </r>
  <r>
    <x v="0"/>
    <x v="10"/>
    <x v="7"/>
    <n v="32285"/>
    <x v="3"/>
    <x v="0"/>
  </r>
  <r>
    <x v="0"/>
    <x v="11"/>
    <x v="7"/>
    <n v="0"/>
    <x v="3"/>
    <x v="0"/>
  </r>
  <r>
    <x v="0"/>
    <x v="12"/>
    <x v="7"/>
    <n v="70276"/>
    <x v="3"/>
    <x v="0"/>
  </r>
  <r>
    <x v="0"/>
    <x v="13"/>
    <x v="7"/>
    <n v="39825"/>
    <x v="3"/>
    <x v="0"/>
  </r>
  <r>
    <x v="0"/>
    <x v="14"/>
    <x v="7"/>
    <n v="272"/>
    <x v="0"/>
    <x v="0"/>
  </r>
  <r>
    <x v="0"/>
    <x v="15"/>
    <x v="7"/>
    <n v="0"/>
    <x v="0"/>
    <x v="0"/>
  </r>
  <r>
    <x v="0"/>
    <x v="16"/>
    <x v="7"/>
    <n v="331"/>
    <x v="4"/>
    <x v="1"/>
  </r>
  <r>
    <x v="0"/>
    <x v="17"/>
    <x v="7"/>
    <n v="75"/>
    <x v="4"/>
    <x v="1"/>
  </r>
  <r>
    <x v="0"/>
    <x v="18"/>
    <x v="7"/>
    <n v="61"/>
    <x v="5"/>
    <x v="0"/>
  </r>
  <r>
    <x v="0"/>
    <x v="19"/>
    <x v="7"/>
    <n v="2863"/>
    <x v="1"/>
    <x v="0"/>
  </r>
  <r>
    <x v="0"/>
    <x v="20"/>
    <x v="7"/>
    <n v="0"/>
    <x v="5"/>
    <x v="0"/>
  </r>
  <r>
    <x v="0"/>
    <x v="21"/>
    <x v="7"/>
    <n v="10301"/>
    <x v="2"/>
    <x v="0"/>
  </r>
  <r>
    <x v="0"/>
    <x v="22"/>
    <x v="7"/>
    <n v="0"/>
    <x v="2"/>
    <x v="0"/>
  </r>
  <r>
    <x v="0"/>
    <x v="23"/>
    <x v="7"/>
    <n v="0"/>
    <x v="6"/>
    <x v="0"/>
  </r>
  <r>
    <x v="1"/>
    <x v="0"/>
    <x v="7"/>
    <n v="0"/>
    <x v="0"/>
    <x v="0"/>
  </r>
  <r>
    <x v="1"/>
    <x v="1"/>
    <x v="7"/>
    <n v="1286"/>
    <x v="1"/>
    <x v="0"/>
  </r>
  <r>
    <x v="1"/>
    <x v="2"/>
    <x v="7"/>
    <n v="0"/>
    <x v="0"/>
    <x v="0"/>
  </r>
  <r>
    <x v="1"/>
    <x v="3"/>
    <x v="7"/>
    <n v="52953"/>
    <x v="1"/>
    <x v="1"/>
  </r>
  <r>
    <x v="1"/>
    <x v="4"/>
    <x v="7"/>
    <n v="0"/>
    <x v="1"/>
    <x v="1"/>
  </r>
  <r>
    <x v="1"/>
    <x v="5"/>
    <x v="7"/>
    <n v="367"/>
    <x v="1"/>
    <x v="1"/>
  </r>
  <r>
    <x v="1"/>
    <x v="6"/>
    <x v="7"/>
    <n v="0"/>
    <x v="2"/>
    <x v="0"/>
  </r>
  <r>
    <x v="1"/>
    <x v="7"/>
    <x v="7"/>
    <n v="0"/>
    <x v="2"/>
    <x v="0"/>
  </r>
  <r>
    <x v="1"/>
    <x v="8"/>
    <x v="7"/>
    <n v="0"/>
    <x v="2"/>
    <x v="0"/>
  </r>
  <r>
    <x v="1"/>
    <x v="9"/>
    <x v="7"/>
    <n v="0"/>
    <x v="2"/>
    <x v="0"/>
  </r>
  <r>
    <x v="1"/>
    <x v="10"/>
    <x v="7"/>
    <n v="0"/>
    <x v="3"/>
    <x v="0"/>
  </r>
  <r>
    <x v="1"/>
    <x v="11"/>
    <x v="7"/>
    <n v="0"/>
    <x v="3"/>
    <x v="0"/>
  </r>
  <r>
    <x v="1"/>
    <x v="12"/>
    <x v="7"/>
    <n v="3653"/>
    <x v="3"/>
    <x v="0"/>
  </r>
  <r>
    <x v="1"/>
    <x v="13"/>
    <x v="7"/>
    <n v="17390"/>
    <x v="3"/>
    <x v="0"/>
  </r>
  <r>
    <x v="1"/>
    <x v="14"/>
    <x v="7"/>
    <n v="0"/>
    <x v="0"/>
    <x v="0"/>
  </r>
  <r>
    <x v="1"/>
    <x v="15"/>
    <x v="7"/>
    <n v="0"/>
    <x v="0"/>
    <x v="0"/>
  </r>
  <r>
    <x v="1"/>
    <x v="16"/>
    <x v="7"/>
    <n v="109770"/>
    <x v="4"/>
    <x v="1"/>
  </r>
  <r>
    <x v="1"/>
    <x v="17"/>
    <x v="7"/>
    <n v="1037"/>
    <x v="4"/>
    <x v="1"/>
  </r>
  <r>
    <x v="1"/>
    <x v="18"/>
    <x v="7"/>
    <n v="0"/>
    <x v="5"/>
    <x v="0"/>
  </r>
  <r>
    <x v="1"/>
    <x v="19"/>
    <x v="7"/>
    <n v="0"/>
    <x v="1"/>
    <x v="0"/>
  </r>
  <r>
    <x v="1"/>
    <x v="20"/>
    <x v="7"/>
    <n v="0"/>
    <x v="5"/>
    <x v="0"/>
  </r>
  <r>
    <x v="1"/>
    <x v="23"/>
    <x v="7"/>
    <n v="0"/>
    <x v="6"/>
    <x v="0"/>
  </r>
  <r>
    <x v="2"/>
    <x v="0"/>
    <x v="7"/>
    <n v="402283"/>
    <x v="0"/>
    <x v="0"/>
  </r>
  <r>
    <x v="2"/>
    <x v="1"/>
    <x v="7"/>
    <n v="14095269"/>
    <x v="1"/>
    <x v="0"/>
  </r>
  <r>
    <x v="2"/>
    <x v="2"/>
    <x v="7"/>
    <n v="33816"/>
    <x v="0"/>
    <x v="0"/>
  </r>
  <r>
    <x v="2"/>
    <x v="3"/>
    <x v="7"/>
    <n v="161636376"/>
    <x v="1"/>
    <x v="1"/>
  </r>
  <r>
    <x v="2"/>
    <x v="4"/>
    <x v="7"/>
    <n v="0"/>
    <x v="1"/>
    <x v="1"/>
  </r>
  <r>
    <x v="2"/>
    <x v="5"/>
    <x v="7"/>
    <n v="2358476"/>
    <x v="1"/>
    <x v="1"/>
  </r>
  <r>
    <x v="2"/>
    <x v="6"/>
    <x v="7"/>
    <n v="0"/>
    <x v="2"/>
    <x v="0"/>
  </r>
  <r>
    <x v="2"/>
    <x v="7"/>
    <x v="7"/>
    <n v="0"/>
    <x v="2"/>
    <x v="0"/>
  </r>
  <r>
    <x v="2"/>
    <x v="8"/>
    <x v="7"/>
    <n v="0"/>
    <x v="2"/>
    <x v="0"/>
  </r>
  <r>
    <x v="2"/>
    <x v="9"/>
    <x v="7"/>
    <n v="22967"/>
    <x v="2"/>
    <x v="0"/>
  </r>
  <r>
    <x v="2"/>
    <x v="10"/>
    <x v="7"/>
    <n v="8937202"/>
    <x v="3"/>
    <x v="0"/>
  </r>
  <r>
    <x v="2"/>
    <x v="11"/>
    <x v="7"/>
    <n v="0"/>
    <x v="3"/>
    <x v="0"/>
  </r>
  <r>
    <x v="2"/>
    <x v="12"/>
    <x v="7"/>
    <n v="22286606"/>
    <x v="3"/>
    <x v="0"/>
  </r>
  <r>
    <x v="2"/>
    <x v="13"/>
    <x v="7"/>
    <n v="9236517"/>
    <x v="3"/>
    <x v="0"/>
  </r>
  <r>
    <x v="2"/>
    <x v="14"/>
    <x v="7"/>
    <n v="205210"/>
    <x v="0"/>
    <x v="0"/>
  </r>
  <r>
    <x v="2"/>
    <x v="15"/>
    <x v="7"/>
    <n v="0"/>
    <x v="0"/>
    <x v="0"/>
  </r>
  <r>
    <x v="2"/>
    <x v="16"/>
    <x v="7"/>
    <n v="357091065"/>
    <x v="4"/>
    <x v="1"/>
  </r>
  <r>
    <x v="2"/>
    <x v="17"/>
    <x v="7"/>
    <n v="20220327"/>
    <x v="4"/>
    <x v="1"/>
  </r>
  <r>
    <x v="2"/>
    <x v="18"/>
    <x v="7"/>
    <n v="39627"/>
    <x v="5"/>
    <x v="0"/>
  </r>
  <r>
    <x v="2"/>
    <x v="19"/>
    <x v="7"/>
    <n v="337496"/>
    <x v="1"/>
    <x v="0"/>
  </r>
  <r>
    <x v="2"/>
    <x v="20"/>
    <x v="7"/>
    <n v="0"/>
    <x v="5"/>
    <x v="0"/>
  </r>
  <r>
    <x v="2"/>
    <x v="23"/>
    <x v="7"/>
    <n v="0"/>
    <x v="6"/>
    <x v="0"/>
  </r>
  <r>
    <x v="3"/>
    <x v="24"/>
    <x v="7"/>
    <n v="61.33"/>
    <x v="3"/>
    <x v="2"/>
  </r>
  <r>
    <x v="3"/>
    <x v="1"/>
    <x v="7"/>
    <n v="47.45"/>
    <x v="7"/>
    <x v="3"/>
  </r>
  <r>
    <x v="3"/>
    <x v="19"/>
    <x v="7"/>
    <n v="33.64"/>
    <x v="8"/>
    <x v="4"/>
  </r>
  <r>
    <x v="0"/>
    <x v="0"/>
    <x v="8"/>
    <n v="876"/>
    <x v="0"/>
    <x v="0"/>
  </r>
  <r>
    <x v="0"/>
    <x v="1"/>
    <x v="8"/>
    <n v="73382"/>
    <x v="1"/>
    <x v="0"/>
  </r>
  <r>
    <x v="0"/>
    <x v="2"/>
    <x v="8"/>
    <n v="327"/>
    <x v="0"/>
    <x v="0"/>
  </r>
  <r>
    <x v="0"/>
    <x v="3"/>
    <x v="8"/>
    <n v="625"/>
    <x v="1"/>
    <x v="1"/>
  </r>
  <r>
    <x v="0"/>
    <x v="4"/>
    <x v="8"/>
    <n v="0"/>
    <x v="1"/>
    <x v="1"/>
  </r>
  <r>
    <x v="0"/>
    <x v="5"/>
    <x v="8"/>
    <n v="562"/>
    <x v="1"/>
    <x v="1"/>
  </r>
  <r>
    <x v="0"/>
    <x v="6"/>
    <x v="8"/>
    <n v="0"/>
    <x v="2"/>
    <x v="0"/>
  </r>
  <r>
    <x v="0"/>
    <x v="7"/>
    <x v="8"/>
    <n v="4288"/>
    <x v="2"/>
    <x v="0"/>
  </r>
  <r>
    <x v="0"/>
    <x v="8"/>
    <x v="8"/>
    <n v="0"/>
    <x v="2"/>
    <x v="0"/>
  </r>
  <r>
    <x v="0"/>
    <x v="9"/>
    <x v="8"/>
    <n v="539"/>
    <x v="2"/>
    <x v="0"/>
  </r>
  <r>
    <x v="0"/>
    <x v="10"/>
    <x v="8"/>
    <n v="30356"/>
    <x v="3"/>
    <x v="0"/>
  </r>
  <r>
    <x v="0"/>
    <x v="11"/>
    <x v="8"/>
    <n v="0"/>
    <x v="3"/>
    <x v="0"/>
  </r>
  <r>
    <x v="0"/>
    <x v="12"/>
    <x v="8"/>
    <n v="68913"/>
    <x v="3"/>
    <x v="0"/>
  </r>
  <r>
    <x v="0"/>
    <x v="13"/>
    <x v="8"/>
    <n v="21805"/>
    <x v="3"/>
    <x v="0"/>
  </r>
  <r>
    <x v="0"/>
    <x v="14"/>
    <x v="8"/>
    <n v="472"/>
    <x v="0"/>
    <x v="0"/>
  </r>
  <r>
    <x v="0"/>
    <x v="15"/>
    <x v="8"/>
    <n v="0"/>
    <x v="0"/>
    <x v="0"/>
  </r>
  <r>
    <x v="0"/>
    <x v="16"/>
    <x v="8"/>
    <n v="128"/>
    <x v="4"/>
    <x v="1"/>
  </r>
  <r>
    <x v="0"/>
    <x v="17"/>
    <x v="8"/>
    <n v="133"/>
    <x v="4"/>
    <x v="1"/>
  </r>
  <r>
    <x v="0"/>
    <x v="18"/>
    <x v="8"/>
    <n v="199"/>
    <x v="5"/>
    <x v="0"/>
  </r>
  <r>
    <x v="0"/>
    <x v="19"/>
    <x v="8"/>
    <n v="1967"/>
    <x v="1"/>
    <x v="0"/>
  </r>
  <r>
    <x v="0"/>
    <x v="20"/>
    <x v="8"/>
    <n v="0"/>
    <x v="5"/>
    <x v="0"/>
  </r>
  <r>
    <x v="0"/>
    <x v="21"/>
    <x v="8"/>
    <n v="14222"/>
    <x v="2"/>
    <x v="0"/>
  </r>
  <r>
    <x v="0"/>
    <x v="22"/>
    <x v="8"/>
    <n v="0"/>
    <x v="2"/>
    <x v="0"/>
  </r>
  <r>
    <x v="0"/>
    <x v="23"/>
    <x v="8"/>
    <n v="0"/>
    <x v="6"/>
    <x v="0"/>
  </r>
  <r>
    <x v="1"/>
    <x v="0"/>
    <x v="8"/>
    <n v="0"/>
    <x v="0"/>
    <x v="0"/>
  </r>
  <r>
    <x v="1"/>
    <x v="1"/>
    <x v="8"/>
    <n v="659"/>
    <x v="1"/>
    <x v="0"/>
  </r>
  <r>
    <x v="1"/>
    <x v="2"/>
    <x v="8"/>
    <n v="0"/>
    <x v="0"/>
    <x v="0"/>
  </r>
  <r>
    <x v="1"/>
    <x v="3"/>
    <x v="8"/>
    <n v="66852"/>
    <x v="1"/>
    <x v="1"/>
  </r>
  <r>
    <x v="1"/>
    <x v="4"/>
    <x v="8"/>
    <n v="0"/>
    <x v="1"/>
    <x v="1"/>
  </r>
  <r>
    <x v="1"/>
    <x v="5"/>
    <x v="8"/>
    <n v="549"/>
    <x v="1"/>
    <x v="1"/>
  </r>
  <r>
    <x v="1"/>
    <x v="6"/>
    <x v="8"/>
    <n v="0"/>
    <x v="2"/>
    <x v="0"/>
  </r>
  <r>
    <x v="1"/>
    <x v="7"/>
    <x v="8"/>
    <n v="0"/>
    <x v="2"/>
    <x v="0"/>
  </r>
  <r>
    <x v="1"/>
    <x v="8"/>
    <x v="8"/>
    <n v="0"/>
    <x v="2"/>
    <x v="0"/>
  </r>
  <r>
    <x v="1"/>
    <x v="9"/>
    <x v="8"/>
    <n v="0"/>
    <x v="2"/>
    <x v="0"/>
  </r>
  <r>
    <x v="1"/>
    <x v="10"/>
    <x v="8"/>
    <n v="292"/>
    <x v="3"/>
    <x v="0"/>
  </r>
  <r>
    <x v="1"/>
    <x v="11"/>
    <x v="8"/>
    <n v="0"/>
    <x v="3"/>
    <x v="0"/>
  </r>
  <r>
    <x v="1"/>
    <x v="12"/>
    <x v="8"/>
    <n v="3494"/>
    <x v="3"/>
    <x v="0"/>
  </r>
  <r>
    <x v="1"/>
    <x v="13"/>
    <x v="8"/>
    <n v="203"/>
    <x v="3"/>
    <x v="0"/>
  </r>
  <r>
    <x v="1"/>
    <x v="14"/>
    <x v="8"/>
    <n v="0"/>
    <x v="0"/>
    <x v="0"/>
  </r>
  <r>
    <x v="1"/>
    <x v="15"/>
    <x v="8"/>
    <n v="0"/>
    <x v="0"/>
    <x v="0"/>
  </r>
  <r>
    <x v="1"/>
    <x v="16"/>
    <x v="8"/>
    <n v="122722"/>
    <x v="4"/>
    <x v="1"/>
  </r>
  <r>
    <x v="1"/>
    <x v="17"/>
    <x v="8"/>
    <n v="2325"/>
    <x v="4"/>
    <x v="1"/>
  </r>
  <r>
    <x v="1"/>
    <x v="18"/>
    <x v="8"/>
    <n v="0"/>
    <x v="5"/>
    <x v="0"/>
  </r>
  <r>
    <x v="1"/>
    <x v="19"/>
    <x v="8"/>
    <n v="18"/>
    <x v="1"/>
    <x v="0"/>
  </r>
  <r>
    <x v="1"/>
    <x v="20"/>
    <x v="8"/>
    <n v="0"/>
    <x v="5"/>
    <x v="0"/>
  </r>
  <r>
    <x v="1"/>
    <x v="23"/>
    <x v="8"/>
    <n v="0"/>
    <x v="6"/>
    <x v="0"/>
  </r>
  <r>
    <x v="2"/>
    <x v="0"/>
    <x v="8"/>
    <n v="187421"/>
    <x v="0"/>
    <x v="0"/>
  </r>
  <r>
    <x v="2"/>
    <x v="1"/>
    <x v="8"/>
    <n v="10797938"/>
    <x v="1"/>
    <x v="0"/>
  </r>
  <r>
    <x v="2"/>
    <x v="2"/>
    <x v="8"/>
    <n v="84406"/>
    <x v="0"/>
    <x v="0"/>
  </r>
  <r>
    <x v="2"/>
    <x v="3"/>
    <x v="8"/>
    <n v="162000728"/>
    <x v="1"/>
    <x v="1"/>
  </r>
  <r>
    <x v="2"/>
    <x v="4"/>
    <x v="8"/>
    <n v="0"/>
    <x v="1"/>
    <x v="1"/>
  </r>
  <r>
    <x v="2"/>
    <x v="5"/>
    <x v="8"/>
    <n v="-76495"/>
    <x v="1"/>
    <x v="1"/>
  </r>
  <r>
    <x v="2"/>
    <x v="6"/>
    <x v="8"/>
    <n v="0"/>
    <x v="2"/>
    <x v="0"/>
  </r>
  <r>
    <x v="2"/>
    <x v="7"/>
    <x v="8"/>
    <n v="431079"/>
    <x v="2"/>
    <x v="0"/>
  </r>
  <r>
    <x v="2"/>
    <x v="8"/>
    <x v="8"/>
    <n v="0"/>
    <x v="2"/>
    <x v="0"/>
  </r>
  <r>
    <x v="2"/>
    <x v="9"/>
    <x v="8"/>
    <n v="18643"/>
    <x v="2"/>
    <x v="0"/>
  </r>
  <r>
    <x v="2"/>
    <x v="10"/>
    <x v="8"/>
    <n v="8411434"/>
    <x v="3"/>
    <x v="0"/>
  </r>
  <r>
    <x v="2"/>
    <x v="11"/>
    <x v="8"/>
    <n v="0"/>
    <x v="3"/>
    <x v="0"/>
  </r>
  <r>
    <x v="2"/>
    <x v="12"/>
    <x v="8"/>
    <n v="23044585"/>
    <x v="3"/>
    <x v="0"/>
  </r>
  <r>
    <x v="2"/>
    <x v="13"/>
    <x v="8"/>
    <n v="8661266"/>
    <x v="3"/>
    <x v="0"/>
  </r>
  <r>
    <x v="2"/>
    <x v="14"/>
    <x v="8"/>
    <n v="384241"/>
    <x v="0"/>
    <x v="0"/>
  </r>
  <r>
    <x v="2"/>
    <x v="15"/>
    <x v="8"/>
    <n v="0"/>
    <x v="0"/>
    <x v="0"/>
  </r>
  <r>
    <x v="2"/>
    <x v="16"/>
    <x v="8"/>
    <n v="321842960"/>
    <x v="4"/>
    <x v="1"/>
  </r>
  <r>
    <x v="2"/>
    <x v="17"/>
    <x v="8"/>
    <n v="18561719"/>
    <x v="4"/>
    <x v="1"/>
  </r>
  <r>
    <x v="2"/>
    <x v="18"/>
    <x v="8"/>
    <n v="138064"/>
    <x v="5"/>
    <x v="0"/>
  </r>
  <r>
    <x v="2"/>
    <x v="19"/>
    <x v="8"/>
    <n v="301585"/>
    <x v="1"/>
    <x v="0"/>
  </r>
  <r>
    <x v="2"/>
    <x v="20"/>
    <x v="8"/>
    <n v="0"/>
    <x v="5"/>
    <x v="0"/>
  </r>
  <r>
    <x v="2"/>
    <x v="23"/>
    <x v="8"/>
    <n v="0"/>
    <x v="6"/>
    <x v="0"/>
  </r>
  <r>
    <x v="3"/>
    <x v="24"/>
    <x v="8"/>
    <n v="61.85"/>
    <x v="3"/>
    <x v="2"/>
  </r>
  <r>
    <x v="3"/>
    <x v="1"/>
    <x v="8"/>
    <n v="45.21"/>
    <x v="7"/>
    <x v="3"/>
  </r>
  <r>
    <x v="3"/>
    <x v="19"/>
    <x v="8"/>
    <n v="48.76"/>
    <x v="8"/>
    <x v="4"/>
  </r>
  <r>
    <x v="0"/>
    <x v="0"/>
    <x v="9"/>
    <n v="1337"/>
    <x v="0"/>
    <x v="0"/>
  </r>
  <r>
    <x v="0"/>
    <x v="1"/>
    <x v="9"/>
    <n v="88804"/>
    <x v="1"/>
    <x v="0"/>
  </r>
  <r>
    <x v="0"/>
    <x v="2"/>
    <x v="9"/>
    <n v="433"/>
    <x v="0"/>
    <x v="0"/>
  </r>
  <r>
    <x v="0"/>
    <x v="3"/>
    <x v="9"/>
    <n v="1068"/>
    <x v="1"/>
    <x v="1"/>
  </r>
  <r>
    <x v="0"/>
    <x v="4"/>
    <x v="9"/>
    <n v="12"/>
    <x v="1"/>
    <x v="1"/>
  </r>
  <r>
    <x v="0"/>
    <x v="5"/>
    <x v="9"/>
    <n v="870"/>
    <x v="1"/>
    <x v="1"/>
  </r>
  <r>
    <x v="0"/>
    <x v="6"/>
    <x v="9"/>
    <n v="0"/>
    <x v="2"/>
    <x v="0"/>
  </r>
  <r>
    <x v="0"/>
    <x v="7"/>
    <x v="9"/>
    <n v="4206"/>
    <x v="2"/>
    <x v="0"/>
  </r>
  <r>
    <x v="0"/>
    <x v="8"/>
    <x v="9"/>
    <n v="0"/>
    <x v="2"/>
    <x v="0"/>
  </r>
  <r>
    <x v="0"/>
    <x v="9"/>
    <x v="9"/>
    <n v="761"/>
    <x v="2"/>
    <x v="0"/>
  </r>
  <r>
    <x v="0"/>
    <x v="10"/>
    <x v="9"/>
    <n v="31671"/>
    <x v="3"/>
    <x v="0"/>
  </r>
  <r>
    <x v="0"/>
    <x v="11"/>
    <x v="9"/>
    <n v="0"/>
    <x v="3"/>
    <x v="0"/>
  </r>
  <r>
    <x v="0"/>
    <x v="12"/>
    <x v="9"/>
    <n v="73362"/>
    <x v="3"/>
    <x v="0"/>
  </r>
  <r>
    <x v="0"/>
    <x v="13"/>
    <x v="9"/>
    <n v="11729"/>
    <x v="3"/>
    <x v="0"/>
  </r>
  <r>
    <x v="0"/>
    <x v="14"/>
    <x v="9"/>
    <n v="514"/>
    <x v="0"/>
    <x v="0"/>
  </r>
  <r>
    <x v="0"/>
    <x v="15"/>
    <x v="9"/>
    <n v="0"/>
    <x v="0"/>
    <x v="0"/>
  </r>
  <r>
    <x v="0"/>
    <x v="16"/>
    <x v="9"/>
    <n v="1205"/>
    <x v="4"/>
    <x v="1"/>
  </r>
  <r>
    <x v="0"/>
    <x v="17"/>
    <x v="9"/>
    <n v="84"/>
    <x v="4"/>
    <x v="1"/>
  </r>
  <r>
    <x v="0"/>
    <x v="18"/>
    <x v="9"/>
    <n v="218"/>
    <x v="5"/>
    <x v="0"/>
  </r>
  <r>
    <x v="0"/>
    <x v="19"/>
    <x v="9"/>
    <n v="1637"/>
    <x v="1"/>
    <x v="0"/>
  </r>
  <r>
    <x v="0"/>
    <x v="20"/>
    <x v="9"/>
    <n v="0"/>
    <x v="5"/>
    <x v="0"/>
  </r>
  <r>
    <x v="0"/>
    <x v="21"/>
    <x v="9"/>
    <n v="14222"/>
    <x v="2"/>
    <x v="0"/>
  </r>
  <r>
    <x v="0"/>
    <x v="22"/>
    <x v="9"/>
    <n v="0"/>
    <x v="2"/>
    <x v="0"/>
  </r>
  <r>
    <x v="0"/>
    <x v="23"/>
    <x v="9"/>
    <n v="0"/>
    <x v="6"/>
    <x v="0"/>
  </r>
  <r>
    <x v="1"/>
    <x v="0"/>
    <x v="9"/>
    <n v="0"/>
    <x v="0"/>
    <x v="0"/>
  </r>
  <r>
    <x v="1"/>
    <x v="1"/>
    <x v="9"/>
    <n v="1134"/>
    <x v="1"/>
    <x v="0"/>
  </r>
  <r>
    <x v="1"/>
    <x v="2"/>
    <x v="9"/>
    <n v="0"/>
    <x v="0"/>
    <x v="0"/>
  </r>
  <r>
    <x v="1"/>
    <x v="3"/>
    <x v="9"/>
    <n v="76577"/>
    <x v="1"/>
    <x v="1"/>
  </r>
  <r>
    <x v="1"/>
    <x v="4"/>
    <x v="9"/>
    <n v="0"/>
    <x v="1"/>
    <x v="1"/>
  </r>
  <r>
    <x v="1"/>
    <x v="5"/>
    <x v="9"/>
    <n v="437"/>
    <x v="1"/>
    <x v="1"/>
  </r>
  <r>
    <x v="1"/>
    <x v="6"/>
    <x v="9"/>
    <n v="0"/>
    <x v="2"/>
    <x v="0"/>
  </r>
  <r>
    <x v="1"/>
    <x v="7"/>
    <x v="9"/>
    <n v="0"/>
    <x v="2"/>
    <x v="0"/>
  </r>
  <r>
    <x v="1"/>
    <x v="8"/>
    <x v="9"/>
    <n v="0"/>
    <x v="2"/>
    <x v="0"/>
  </r>
  <r>
    <x v="1"/>
    <x v="9"/>
    <x v="9"/>
    <n v="0"/>
    <x v="2"/>
    <x v="0"/>
  </r>
  <r>
    <x v="1"/>
    <x v="10"/>
    <x v="9"/>
    <n v="0"/>
    <x v="3"/>
    <x v="0"/>
  </r>
  <r>
    <x v="1"/>
    <x v="11"/>
    <x v="9"/>
    <n v="0"/>
    <x v="3"/>
    <x v="0"/>
  </r>
  <r>
    <x v="1"/>
    <x v="12"/>
    <x v="9"/>
    <n v="2984"/>
    <x v="3"/>
    <x v="0"/>
  </r>
  <r>
    <x v="1"/>
    <x v="13"/>
    <x v="9"/>
    <n v="0"/>
    <x v="3"/>
    <x v="0"/>
  </r>
  <r>
    <x v="1"/>
    <x v="14"/>
    <x v="9"/>
    <n v="0"/>
    <x v="0"/>
    <x v="0"/>
  </r>
  <r>
    <x v="1"/>
    <x v="15"/>
    <x v="9"/>
    <n v="0"/>
    <x v="0"/>
    <x v="0"/>
  </r>
  <r>
    <x v="1"/>
    <x v="16"/>
    <x v="9"/>
    <n v="152102"/>
    <x v="4"/>
    <x v="1"/>
  </r>
  <r>
    <x v="1"/>
    <x v="17"/>
    <x v="9"/>
    <n v="2519"/>
    <x v="4"/>
    <x v="1"/>
  </r>
  <r>
    <x v="1"/>
    <x v="18"/>
    <x v="9"/>
    <n v="0"/>
    <x v="5"/>
    <x v="0"/>
  </r>
  <r>
    <x v="1"/>
    <x v="19"/>
    <x v="9"/>
    <n v="0"/>
    <x v="1"/>
    <x v="0"/>
  </r>
  <r>
    <x v="1"/>
    <x v="20"/>
    <x v="9"/>
    <n v="0"/>
    <x v="5"/>
    <x v="0"/>
  </r>
  <r>
    <x v="1"/>
    <x v="23"/>
    <x v="9"/>
    <n v="0"/>
    <x v="6"/>
    <x v="0"/>
  </r>
  <r>
    <x v="2"/>
    <x v="0"/>
    <x v="9"/>
    <n v="322942"/>
    <x v="0"/>
    <x v="0"/>
  </r>
  <r>
    <x v="2"/>
    <x v="1"/>
    <x v="9"/>
    <n v="13219212"/>
    <x v="1"/>
    <x v="0"/>
  </r>
  <r>
    <x v="2"/>
    <x v="2"/>
    <x v="9"/>
    <n v="111748"/>
    <x v="0"/>
    <x v="0"/>
  </r>
  <r>
    <x v="2"/>
    <x v="3"/>
    <x v="9"/>
    <n v="184700513"/>
    <x v="1"/>
    <x v="1"/>
  </r>
  <r>
    <x v="2"/>
    <x v="4"/>
    <x v="9"/>
    <n v="16659"/>
    <x v="1"/>
    <x v="1"/>
  </r>
  <r>
    <x v="2"/>
    <x v="5"/>
    <x v="9"/>
    <n v="-3232199"/>
    <x v="1"/>
    <x v="1"/>
  </r>
  <r>
    <x v="2"/>
    <x v="6"/>
    <x v="9"/>
    <n v="0"/>
    <x v="2"/>
    <x v="0"/>
  </r>
  <r>
    <x v="2"/>
    <x v="7"/>
    <x v="9"/>
    <n v="422832"/>
    <x v="2"/>
    <x v="0"/>
  </r>
  <r>
    <x v="2"/>
    <x v="8"/>
    <x v="9"/>
    <n v="0"/>
    <x v="2"/>
    <x v="0"/>
  </r>
  <r>
    <x v="2"/>
    <x v="9"/>
    <x v="9"/>
    <n v="26424"/>
    <x v="2"/>
    <x v="0"/>
  </r>
  <r>
    <x v="2"/>
    <x v="10"/>
    <x v="9"/>
    <n v="8861240"/>
    <x v="3"/>
    <x v="0"/>
  </r>
  <r>
    <x v="2"/>
    <x v="11"/>
    <x v="9"/>
    <n v="0"/>
    <x v="3"/>
    <x v="0"/>
  </r>
  <r>
    <x v="2"/>
    <x v="12"/>
    <x v="9"/>
    <n v="24546488"/>
    <x v="3"/>
    <x v="0"/>
  </r>
  <r>
    <x v="2"/>
    <x v="13"/>
    <x v="9"/>
    <n v="4791519"/>
    <x v="3"/>
    <x v="0"/>
  </r>
  <r>
    <x v="2"/>
    <x v="14"/>
    <x v="9"/>
    <n v="347101"/>
    <x v="0"/>
    <x v="0"/>
  </r>
  <r>
    <x v="2"/>
    <x v="15"/>
    <x v="9"/>
    <n v="0"/>
    <x v="0"/>
    <x v="0"/>
  </r>
  <r>
    <x v="2"/>
    <x v="16"/>
    <x v="9"/>
    <n v="396147902"/>
    <x v="4"/>
    <x v="1"/>
  </r>
  <r>
    <x v="2"/>
    <x v="17"/>
    <x v="9"/>
    <n v="20979029"/>
    <x v="4"/>
    <x v="1"/>
  </r>
  <r>
    <x v="2"/>
    <x v="18"/>
    <x v="9"/>
    <n v="152677"/>
    <x v="5"/>
    <x v="0"/>
  </r>
  <r>
    <x v="2"/>
    <x v="19"/>
    <x v="9"/>
    <n v="202848"/>
    <x v="1"/>
    <x v="0"/>
  </r>
  <r>
    <x v="2"/>
    <x v="20"/>
    <x v="9"/>
    <n v="0"/>
    <x v="5"/>
    <x v="0"/>
  </r>
  <r>
    <x v="2"/>
    <x v="23"/>
    <x v="9"/>
    <n v="0"/>
    <x v="6"/>
    <x v="0"/>
  </r>
  <r>
    <x v="3"/>
    <x v="24"/>
    <x v="9"/>
    <n v="61.12"/>
    <x v="3"/>
    <x v="2"/>
  </r>
  <r>
    <x v="3"/>
    <x v="1"/>
    <x v="9"/>
    <n v="46.03"/>
    <x v="7"/>
    <x v="3"/>
  </r>
  <r>
    <x v="3"/>
    <x v="19"/>
    <x v="9"/>
    <n v="36.380000000000003"/>
    <x v="8"/>
    <x v="4"/>
  </r>
  <r>
    <x v="0"/>
    <x v="0"/>
    <x v="10"/>
    <n v="1512"/>
    <x v="0"/>
    <x v="0"/>
  </r>
  <r>
    <x v="0"/>
    <x v="1"/>
    <x v="10"/>
    <n v="101480"/>
    <x v="1"/>
    <x v="0"/>
  </r>
  <r>
    <x v="0"/>
    <x v="2"/>
    <x v="10"/>
    <n v="409"/>
    <x v="0"/>
    <x v="0"/>
  </r>
  <r>
    <x v="0"/>
    <x v="3"/>
    <x v="10"/>
    <n v="626"/>
    <x v="1"/>
    <x v="1"/>
  </r>
  <r>
    <x v="0"/>
    <x v="4"/>
    <x v="10"/>
    <n v="0"/>
    <x v="1"/>
    <x v="1"/>
  </r>
  <r>
    <x v="0"/>
    <x v="5"/>
    <x v="10"/>
    <n v="1053"/>
    <x v="1"/>
    <x v="1"/>
  </r>
  <r>
    <x v="0"/>
    <x v="6"/>
    <x v="10"/>
    <n v="0"/>
    <x v="2"/>
    <x v="0"/>
  </r>
  <r>
    <x v="0"/>
    <x v="7"/>
    <x v="10"/>
    <n v="4382"/>
    <x v="2"/>
    <x v="0"/>
  </r>
  <r>
    <x v="0"/>
    <x v="8"/>
    <x v="10"/>
    <n v="0"/>
    <x v="2"/>
    <x v="0"/>
  </r>
  <r>
    <x v="0"/>
    <x v="9"/>
    <x v="10"/>
    <n v="968"/>
    <x v="2"/>
    <x v="0"/>
  </r>
  <r>
    <x v="0"/>
    <x v="10"/>
    <x v="10"/>
    <n v="33147"/>
    <x v="3"/>
    <x v="0"/>
  </r>
  <r>
    <x v="0"/>
    <x v="11"/>
    <x v="10"/>
    <n v="0"/>
    <x v="3"/>
    <x v="0"/>
  </r>
  <r>
    <x v="0"/>
    <x v="12"/>
    <x v="10"/>
    <n v="92640"/>
    <x v="3"/>
    <x v="0"/>
  </r>
  <r>
    <x v="0"/>
    <x v="13"/>
    <x v="10"/>
    <n v="14563"/>
    <x v="3"/>
    <x v="0"/>
  </r>
  <r>
    <x v="0"/>
    <x v="14"/>
    <x v="10"/>
    <n v="486"/>
    <x v="0"/>
    <x v="0"/>
  </r>
  <r>
    <x v="0"/>
    <x v="15"/>
    <x v="10"/>
    <n v="0"/>
    <x v="0"/>
    <x v="0"/>
  </r>
  <r>
    <x v="0"/>
    <x v="16"/>
    <x v="10"/>
    <n v="401"/>
    <x v="4"/>
    <x v="1"/>
  </r>
  <r>
    <x v="0"/>
    <x v="17"/>
    <x v="10"/>
    <n v="87"/>
    <x v="4"/>
    <x v="1"/>
  </r>
  <r>
    <x v="0"/>
    <x v="18"/>
    <x v="10"/>
    <n v="238"/>
    <x v="5"/>
    <x v="0"/>
  </r>
  <r>
    <x v="0"/>
    <x v="19"/>
    <x v="10"/>
    <n v="1800"/>
    <x v="1"/>
    <x v="0"/>
  </r>
  <r>
    <x v="0"/>
    <x v="20"/>
    <x v="10"/>
    <n v="0"/>
    <x v="5"/>
    <x v="0"/>
  </r>
  <r>
    <x v="2"/>
    <x v="12"/>
    <x v="11"/>
    <n v="10690728"/>
    <x v="3"/>
    <x v="0"/>
  </r>
  <r>
    <x v="2"/>
    <x v="13"/>
    <x v="11"/>
    <n v="0"/>
    <x v="3"/>
    <x v="0"/>
  </r>
  <r>
    <x v="2"/>
    <x v="14"/>
    <x v="11"/>
    <n v="9309"/>
    <x v="0"/>
    <x v="0"/>
  </r>
  <r>
    <x v="2"/>
    <x v="15"/>
    <x v="11"/>
    <n v="0"/>
    <x v="0"/>
    <x v="0"/>
  </r>
  <r>
    <x v="2"/>
    <x v="16"/>
    <x v="11"/>
    <n v="335476352"/>
    <x v="4"/>
    <x v="1"/>
  </r>
  <r>
    <x v="2"/>
    <x v="17"/>
    <x v="11"/>
    <n v="-17988756"/>
    <x v="4"/>
    <x v="1"/>
  </r>
  <r>
    <x v="2"/>
    <x v="18"/>
    <x v="11"/>
    <n v="631223"/>
    <x v="5"/>
    <x v="0"/>
  </r>
  <r>
    <x v="2"/>
    <x v="19"/>
    <x v="11"/>
    <n v="85108"/>
    <x v="1"/>
    <x v="0"/>
  </r>
  <r>
    <x v="2"/>
    <x v="20"/>
    <x v="11"/>
    <n v="167601"/>
    <x v="5"/>
    <x v="0"/>
  </r>
  <r>
    <x v="2"/>
    <x v="23"/>
    <x v="11"/>
    <n v="16399"/>
    <x v="6"/>
    <x v="0"/>
  </r>
  <r>
    <x v="3"/>
    <x v="24"/>
    <x v="11"/>
    <n v="53.98"/>
    <x v="3"/>
    <x v="2"/>
  </r>
  <r>
    <x v="3"/>
    <x v="1"/>
    <x v="11"/>
    <n v="42.08"/>
    <x v="7"/>
    <x v="3"/>
  </r>
  <r>
    <x v="3"/>
    <x v="19"/>
    <x v="11"/>
    <n v="-1210.6099999999999"/>
    <x v="8"/>
    <x v="4"/>
  </r>
  <r>
    <x v="0"/>
    <x v="0"/>
    <x v="12"/>
    <n v="11491"/>
    <x v="0"/>
    <x v="0"/>
  </r>
  <r>
    <x v="0"/>
    <x v="1"/>
    <x v="12"/>
    <n v="119080"/>
    <x v="1"/>
    <x v="0"/>
  </r>
  <r>
    <x v="0"/>
    <x v="2"/>
    <x v="12"/>
    <n v="0"/>
    <x v="0"/>
    <x v="0"/>
  </r>
  <r>
    <x v="0"/>
    <x v="3"/>
    <x v="12"/>
    <n v="88"/>
    <x v="1"/>
    <x v="1"/>
  </r>
  <r>
    <x v="0"/>
    <x v="4"/>
    <x v="12"/>
    <n v="0"/>
    <x v="1"/>
    <x v="1"/>
  </r>
  <r>
    <x v="0"/>
    <x v="5"/>
    <x v="12"/>
    <n v="2377"/>
    <x v="1"/>
    <x v="1"/>
  </r>
  <r>
    <x v="0"/>
    <x v="6"/>
    <x v="12"/>
    <n v="27146"/>
    <x v="2"/>
    <x v="0"/>
  </r>
  <r>
    <x v="0"/>
    <x v="7"/>
    <x v="12"/>
    <n v="3707"/>
    <x v="2"/>
    <x v="0"/>
  </r>
  <r>
    <x v="0"/>
    <x v="8"/>
    <x v="12"/>
    <n v="7267"/>
    <x v="2"/>
    <x v="0"/>
  </r>
  <r>
    <x v="0"/>
    <x v="9"/>
    <x v="12"/>
    <n v="5423"/>
    <x v="2"/>
    <x v="0"/>
  </r>
  <r>
    <x v="0"/>
    <x v="10"/>
    <x v="12"/>
    <n v="89264"/>
    <x v="3"/>
    <x v="0"/>
  </r>
  <r>
    <x v="0"/>
    <x v="11"/>
    <x v="12"/>
    <n v="0"/>
    <x v="3"/>
    <x v="0"/>
  </r>
  <r>
    <x v="0"/>
    <x v="12"/>
    <x v="12"/>
    <n v="32146"/>
    <x v="3"/>
    <x v="0"/>
  </r>
  <r>
    <x v="0"/>
    <x v="13"/>
    <x v="12"/>
    <n v="0"/>
    <x v="3"/>
    <x v="0"/>
  </r>
  <r>
    <x v="0"/>
    <x v="14"/>
    <x v="12"/>
    <n v="2"/>
    <x v="0"/>
    <x v="0"/>
  </r>
  <r>
    <x v="0"/>
    <x v="15"/>
    <x v="12"/>
    <n v="0"/>
    <x v="0"/>
    <x v="0"/>
  </r>
  <r>
    <x v="0"/>
    <x v="16"/>
    <x v="12"/>
    <n v="2958"/>
    <x v="4"/>
    <x v="1"/>
  </r>
  <r>
    <x v="0"/>
    <x v="17"/>
    <x v="12"/>
    <n v="10466"/>
    <x v="4"/>
    <x v="1"/>
  </r>
  <r>
    <x v="0"/>
    <x v="18"/>
    <x v="12"/>
    <n v="384"/>
    <x v="5"/>
    <x v="0"/>
  </r>
  <r>
    <x v="0"/>
    <x v="19"/>
    <x v="12"/>
    <n v="94596"/>
    <x v="1"/>
    <x v="0"/>
  </r>
  <r>
    <x v="0"/>
    <x v="20"/>
    <x v="12"/>
    <n v="663"/>
    <x v="5"/>
    <x v="0"/>
  </r>
  <r>
    <x v="0"/>
    <x v="21"/>
    <x v="12"/>
    <n v="0"/>
    <x v="2"/>
    <x v="0"/>
  </r>
  <r>
    <x v="0"/>
    <x v="22"/>
    <x v="12"/>
    <n v="0"/>
    <x v="2"/>
    <x v="0"/>
  </r>
  <r>
    <x v="0"/>
    <x v="23"/>
    <x v="12"/>
    <n v="56"/>
    <x v="6"/>
    <x v="0"/>
  </r>
  <r>
    <x v="1"/>
    <x v="0"/>
    <x v="12"/>
    <n v="0"/>
    <x v="0"/>
    <x v="0"/>
  </r>
  <r>
    <x v="1"/>
    <x v="1"/>
    <x v="12"/>
    <n v="2258"/>
    <x v="1"/>
    <x v="0"/>
  </r>
  <r>
    <x v="1"/>
    <x v="2"/>
    <x v="12"/>
    <n v="0"/>
    <x v="0"/>
    <x v="0"/>
  </r>
  <r>
    <x v="1"/>
    <x v="3"/>
    <x v="12"/>
    <n v="184905"/>
    <x v="1"/>
    <x v="1"/>
  </r>
  <r>
    <x v="1"/>
    <x v="4"/>
    <x v="12"/>
    <n v="53"/>
    <x v="1"/>
    <x v="1"/>
  </r>
  <r>
    <x v="1"/>
    <x v="5"/>
    <x v="12"/>
    <n v="2333"/>
    <x v="1"/>
    <x v="1"/>
  </r>
  <r>
    <x v="1"/>
    <x v="6"/>
    <x v="12"/>
    <n v="0"/>
    <x v="2"/>
    <x v="0"/>
  </r>
  <r>
    <x v="1"/>
    <x v="7"/>
    <x v="12"/>
    <n v="0"/>
    <x v="2"/>
    <x v="0"/>
  </r>
  <r>
    <x v="1"/>
    <x v="8"/>
    <x v="12"/>
    <n v="0"/>
    <x v="2"/>
    <x v="0"/>
  </r>
  <r>
    <x v="1"/>
    <x v="9"/>
    <x v="12"/>
    <n v="0"/>
    <x v="2"/>
    <x v="0"/>
  </r>
  <r>
    <x v="1"/>
    <x v="10"/>
    <x v="12"/>
    <n v="5555"/>
    <x v="3"/>
    <x v="0"/>
  </r>
  <r>
    <x v="1"/>
    <x v="11"/>
    <x v="12"/>
    <n v="0"/>
    <x v="3"/>
    <x v="0"/>
  </r>
  <r>
    <x v="1"/>
    <x v="12"/>
    <x v="12"/>
    <n v="651"/>
    <x v="3"/>
    <x v="0"/>
  </r>
  <r>
    <x v="1"/>
    <x v="13"/>
    <x v="12"/>
    <n v="0"/>
    <x v="3"/>
    <x v="0"/>
  </r>
  <r>
    <x v="1"/>
    <x v="14"/>
    <x v="12"/>
    <n v="0"/>
    <x v="0"/>
    <x v="0"/>
  </r>
  <r>
    <x v="1"/>
    <x v="15"/>
    <x v="12"/>
    <n v="0"/>
    <x v="0"/>
    <x v="0"/>
  </r>
  <r>
    <x v="1"/>
    <x v="16"/>
    <x v="12"/>
    <n v="282812"/>
    <x v="4"/>
    <x v="1"/>
  </r>
  <r>
    <x v="1"/>
    <x v="17"/>
    <x v="12"/>
    <n v="9880"/>
    <x v="4"/>
    <x v="1"/>
  </r>
  <r>
    <x v="1"/>
    <x v="18"/>
    <x v="12"/>
    <n v="0"/>
    <x v="5"/>
    <x v="0"/>
  </r>
  <r>
    <x v="1"/>
    <x v="19"/>
    <x v="12"/>
    <n v="4504"/>
    <x v="1"/>
    <x v="0"/>
  </r>
  <r>
    <x v="1"/>
    <x v="20"/>
    <x v="12"/>
    <n v="0"/>
    <x v="5"/>
    <x v="0"/>
  </r>
  <r>
    <x v="1"/>
    <x v="23"/>
    <x v="12"/>
    <n v="0"/>
    <x v="6"/>
    <x v="0"/>
  </r>
  <r>
    <x v="2"/>
    <x v="0"/>
    <x v="12"/>
    <n v="857289"/>
    <x v="0"/>
    <x v="0"/>
  </r>
  <r>
    <x v="2"/>
    <x v="1"/>
    <x v="12"/>
    <n v="17963654"/>
    <x v="1"/>
    <x v="0"/>
  </r>
  <r>
    <x v="2"/>
    <x v="2"/>
    <x v="12"/>
    <n v="0"/>
    <x v="0"/>
    <x v="0"/>
  </r>
  <r>
    <x v="2"/>
    <x v="3"/>
    <x v="12"/>
    <n v="198313065"/>
    <x v="1"/>
    <x v="1"/>
  </r>
  <r>
    <x v="2"/>
    <x v="4"/>
    <x v="12"/>
    <n v="-42780"/>
    <x v="1"/>
    <x v="1"/>
  </r>
  <r>
    <x v="2"/>
    <x v="5"/>
    <x v="12"/>
    <n v="-2495065"/>
    <x v="1"/>
    <x v="1"/>
  </r>
  <r>
    <x v="2"/>
    <x v="6"/>
    <x v="12"/>
    <n v="940734"/>
    <x v="2"/>
    <x v="0"/>
  </r>
  <r>
    <x v="2"/>
    <x v="7"/>
    <x v="12"/>
    <n v="384134"/>
    <x v="2"/>
    <x v="0"/>
  </r>
  <r>
    <x v="2"/>
    <x v="8"/>
    <x v="12"/>
    <n v="239057"/>
    <x v="2"/>
    <x v="0"/>
  </r>
  <r>
    <x v="2"/>
    <x v="9"/>
    <x v="12"/>
    <n v="143951"/>
    <x v="2"/>
    <x v="0"/>
  </r>
  <r>
    <x v="2"/>
    <x v="10"/>
    <x v="12"/>
    <n v="25279070"/>
    <x v="3"/>
    <x v="0"/>
  </r>
  <r>
    <x v="2"/>
    <x v="11"/>
    <x v="12"/>
    <n v="0"/>
    <x v="3"/>
    <x v="0"/>
  </r>
  <r>
    <x v="2"/>
    <x v="12"/>
    <x v="12"/>
    <n v="10544150"/>
    <x v="3"/>
    <x v="0"/>
  </r>
  <r>
    <x v="2"/>
    <x v="13"/>
    <x v="12"/>
    <n v="0"/>
    <x v="3"/>
    <x v="0"/>
  </r>
  <r>
    <x v="2"/>
    <x v="14"/>
    <x v="12"/>
    <n v="2157"/>
    <x v="0"/>
    <x v="0"/>
  </r>
  <r>
    <x v="2"/>
    <x v="15"/>
    <x v="12"/>
    <n v="0"/>
    <x v="0"/>
    <x v="0"/>
  </r>
  <r>
    <x v="2"/>
    <x v="16"/>
    <x v="12"/>
    <n v="326878686"/>
    <x v="4"/>
    <x v="1"/>
  </r>
  <r>
    <x v="2"/>
    <x v="17"/>
    <x v="12"/>
    <n v="-14022936"/>
    <x v="4"/>
    <x v="1"/>
  </r>
  <r>
    <x v="2"/>
    <x v="18"/>
    <x v="12"/>
    <n v="684672"/>
    <x v="5"/>
    <x v="0"/>
  </r>
  <r>
    <x v="2"/>
    <x v="19"/>
    <x v="12"/>
    <n v="14182521"/>
    <x v="1"/>
    <x v="0"/>
  </r>
  <r>
    <x v="2"/>
    <x v="20"/>
    <x v="12"/>
    <n v="158979"/>
    <x v="5"/>
    <x v="0"/>
  </r>
  <r>
    <x v="2"/>
    <x v="23"/>
    <x v="12"/>
    <n v="11975"/>
    <x v="6"/>
    <x v="0"/>
  </r>
  <r>
    <x v="3"/>
    <x v="24"/>
    <x v="12"/>
    <n v="53.7"/>
    <x v="3"/>
    <x v="2"/>
  </r>
  <r>
    <x v="3"/>
    <x v="1"/>
    <x v="12"/>
    <n v="42.25"/>
    <x v="7"/>
    <x v="3"/>
  </r>
  <r>
    <x v="3"/>
    <x v="19"/>
    <x v="12"/>
    <n v="44.82"/>
    <x v="8"/>
    <x v="4"/>
  </r>
  <r>
    <x v="0"/>
    <x v="21"/>
    <x v="10"/>
    <n v="14223"/>
    <x v="2"/>
    <x v="0"/>
  </r>
  <r>
    <x v="0"/>
    <x v="22"/>
    <x v="10"/>
    <n v="0"/>
    <x v="2"/>
    <x v="0"/>
  </r>
  <r>
    <x v="0"/>
    <x v="23"/>
    <x v="10"/>
    <n v="0"/>
    <x v="6"/>
    <x v="0"/>
  </r>
  <r>
    <x v="1"/>
    <x v="0"/>
    <x v="10"/>
    <n v="0"/>
    <x v="0"/>
    <x v="0"/>
  </r>
  <r>
    <x v="1"/>
    <x v="1"/>
    <x v="10"/>
    <n v="1096"/>
    <x v="1"/>
    <x v="0"/>
  </r>
  <r>
    <x v="1"/>
    <x v="2"/>
    <x v="10"/>
    <n v="0"/>
    <x v="0"/>
    <x v="0"/>
  </r>
  <r>
    <x v="1"/>
    <x v="3"/>
    <x v="10"/>
    <n v="85850"/>
    <x v="1"/>
    <x v="1"/>
  </r>
  <r>
    <x v="1"/>
    <x v="4"/>
    <x v="10"/>
    <n v="0"/>
    <x v="1"/>
    <x v="1"/>
  </r>
  <r>
    <x v="1"/>
    <x v="5"/>
    <x v="10"/>
    <n v="534"/>
    <x v="1"/>
    <x v="1"/>
  </r>
  <r>
    <x v="1"/>
    <x v="6"/>
    <x v="10"/>
    <n v="0"/>
    <x v="2"/>
    <x v="0"/>
  </r>
  <r>
    <x v="1"/>
    <x v="7"/>
    <x v="10"/>
    <n v="0"/>
    <x v="2"/>
    <x v="0"/>
  </r>
  <r>
    <x v="1"/>
    <x v="8"/>
    <x v="10"/>
    <n v="0"/>
    <x v="2"/>
    <x v="0"/>
  </r>
  <r>
    <x v="1"/>
    <x v="9"/>
    <x v="10"/>
    <n v="0"/>
    <x v="2"/>
    <x v="0"/>
  </r>
  <r>
    <x v="1"/>
    <x v="10"/>
    <x v="10"/>
    <n v="0"/>
    <x v="3"/>
    <x v="0"/>
  </r>
  <r>
    <x v="1"/>
    <x v="11"/>
    <x v="10"/>
    <n v="0"/>
    <x v="3"/>
    <x v="0"/>
  </r>
  <r>
    <x v="1"/>
    <x v="12"/>
    <x v="10"/>
    <n v="5393"/>
    <x v="3"/>
    <x v="0"/>
  </r>
  <r>
    <x v="1"/>
    <x v="13"/>
    <x v="10"/>
    <n v="10"/>
    <x v="3"/>
    <x v="0"/>
  </r>
  <r>
    <x v="1"/>
    <x v="14"/>
    <x v="10"/>
    <n v="0"/>
    <x v="0"/>
    <x v="0"/>
  </r>
  <r>
    <x v="1"/>
    <x v="15"/>
    <x v="10"/>
    <n v="0"/>
    <x v="0"/>
    <x v="0"/>
  </r>
  <r>
    <x v="1"/>
    <x v="16"/>
    <x v="10"/>
    <n v="148748"/>
    <x v="4"/>
    <x v="1"/>
  </r>
  <r>
    <x v="1"/>
    <x v="17"/>
    <x v="10"/>
    <n v="2359"/>
    <x v="4"/>
    <x v="1"/>
  </r>
  <r>
    <x v="1"/>
    <x v="18"/>
    <x v="10"/>
    <n v="0"/>
    <x v="5"/>
    <x v="0"/>
  </r>
  <r>
    <x v="1"/>
    <x v="19"/>
    <x v="10"/>
    <n v="0"/>
    <x v="1"/>
    <x v="0"/>
  </r>
  <r>
    <x v="1"/>
    <x v="20"/>
    <x v="10"/>
    <n v="0"/>
    <x v="5"/>
    <x v="0"/>
  </r>
  <r>
    <x v="1"/>
    <x v="23"/>
    <x v="10"/>
    <n v="0"/>
    <x v="6"/>
    <x v="0"/>
  </r>
  <r>
    <x v="2"/>
    <x v="0"/>
    <x v="10"/>
    <n v="368794"/>
    <x v="0"/>
    <x v="0"/>
  </r>
  <r>
    <x v="2"/>
    <x v="1"/>
    <x v="10"/>
    <n v="14939801"/>
    <x v="1"/>
    <x v="0"/>
  </r>
  <r>
    <x v="2"/>
    <x v="2"/>
    <x v="10"/>
    <n v="105494"/>
    <x v="0"/>
    <x v="0"/>
  </r>
  <r>
    <x v="2"/>
    <x v="3"/>
    <x v="10"/>
    <n v="208472910"/>
    <x v="1"/>
    <x v="1"/>
  </r>
  <r>
    <x v="2"/>
    <x v="4"/>
    <x v="10"/>
    <n v="0"/>
    <x v="1"/>
    <x v="1"/>
  </r>
  <r>
    <x v="2"/>
    <x v="5"/>
    <x v="10"/>
    <n v="-3865648"/>
    <x v="1"/>
    <x v="1"/>
  </r>
  <r>
    <x v="2"/>
    <x v="6"/>
    <x v="10"/>
    <n v="0"/>
    <x v="2"/>
    <x v="0"/>
  </r>
  <r>
    <x v="2"/>
    <x v="7"/>
    <x v="10"/>
    <n v="440204"/>
    <x v="2"/>
    <x v="0"/>
  </r>
  <r>
    <x v="2"/>
    <x v="8"/>
    <x v="10"/>
    <n v="0"/>
    <x v="2"/>
    <x v="0"/>
  </r>
  <r>
    <x v="2"/>
    <x v="9"/>
    <x v="10"/>
    <n v="34852"/>
    <x v="2"/>
    <x v="0"/>
  </r>
  <r>
    <x v="2"/>
    <x v="10"/>
    <x v="10"/>
    <n v="9273634"/>
    <x v="3"/>
    <x v="0"/>
  </r>
  <r>
    <x v="2"/>
    <x v="11"/>
    <x v="10"/>
    <n v="0"/>
    <x v="3"/>
    <x v="0"/>
  </r>
  <r>
    <x v="2"/>
    <x v="12"/>
    <x v="10"/>
    <n v="29679739"/>
    <x v="3"/>
    <x v="0"/>
  </r>
  <r>
    <x v="2"/>
    <x v="13"/>
    <x v="10"/>
    <n v="5968474"/>
    <x v="3"/>
    <x v="0"/>
  </r>
  <r>
    <x v="2"/>
    <x v="14"/>
    <x v="10"/>
    <n v="321762"/>
    <x v="0"/>
    <x v="0"/>
  </r>
  <r>
    <x v="2"/>
    <x v="15"/>
    <x v="10"/>
    <n v="0"/>
    <x v="0"/>
    <x v="0"/>
  </r>
  <r>
    <x v="2"/>
    <x v="16"/>
    <x v="10"/>
    <n v="389448668"/>
    <x v="4"/>
    <x v="1"/>
  </r>
  <r>
    <x v="2"/>
    <x v="17"/>
    <x v="10"/>
    <n v="19554903"/>
    <x v="4"/>
    <x v="1"/>
  </r>
  <r>
    <x v="2"/>
    <x v="18"/>
    <x v="10"/>
    <n v="162962"/>
    <x v="5"/>
    <x v="0"/>
  </r>
  <r>
    <x v="2"/>
    <x v="19"/>
    <x v="10"/>
    <n v="226799"/>
    <x v="1"/>
    <x v="0"/>
  </r>
  <r>
    <x v="2"/>
    <x v="20"/>
    <x v="10"/>
    <n v="0"/>
    <x v="5"/>
    <x v="0"/>
  </r>
  <r>
    <x v="2"/>
    <x v="23"/>
    <x v="10"/>
    <n v="0"/>
    <x v="6"/>
    <x v="0"/>
  </r>
  <r>
    <x v="3"/>
    <x v="24"/>
    <x v="10"/>
    <n v="60.81"/>
    <x v="3"/>
    <x v="2"/>
  </r>
  <r>
    <x v="3"/>
    <x v="1"/>
    <x v="10"/>
    <n v="45.34"/>
    <x v="7"/>
    <x v="3"/>
  </r>
  <r>
    <x v="3"/>
    <x v="19"/>
    <x v="10"/>
    <n v="37.42"/>
    <x v="8"/>
    <x v="4"/>
  </r>
  <r>
    <x v="0"/>
    <x v="0"/>
    <x v="13"/>
    <n v="1801"/>
    <x v="0"/>
    <x v="0"/>
  </r>
  <r>
    <x v="0"/>
    <x v="1"/>
    <x v="13"/>
    <n v="91173"/>
    <x v="1"/>
    <x v="0"/>
  </r>
  <r>
    <x v="0"/>
    <x v="2"/>
    <x v="13"/>
    <n v="314"/>
    <x v="0"/>
    <x v="0"/>
  </r>
  <r>
    <x v="0"/>
    <x v="3"/>
    <x v="13"/>
    <n v="1089"/>
    <x v="1"/>
    <x v="1"/>
  </r>
  <r>
    <x v="0"/>
    <x v="4"/>
    <x v="13"/>
    <n v="0"/>
    <x v="1"/>
    <x v="1"/>
  </r>
  <r>
    <x v="0"/>
    <x v="5"/>
    <x v="13"/>
    <n v="1046"/>
    <x v="1"/>
    <x v="1"/>
  </r>
  <r>
    <x v="0"/>
    <x v="6"/>
    <x v="13"/>
    <n v="0"/>
    <x v="2"/>
    <x v="0"/>
  </r>
  <r>
    <x v="0"/>
    <x v="7"/>
    <x v="13"/>
    <n v="4313"/>
    <x v="2"/>
    <x v="0"/>
  </r>
  <r>
    <x v="0"/>
    <x v="8"/>
    <x v="13"/>
    <n v="0"/>
    <x v="2"/>
    <x v="0"/>
  </r>
  <r>
    <x v="0"/>
    <x v="9"/>
    <x v="13"/>
    <n v="1214"/>
    <x v="2"/>
    <x v="0"/>
  </r>
  <r>
    <x v="0"/>
    <x v="10"/>
    <x v="13"/>
    <n v="35201"/>
    <x v="3"/>
    <x v="0"/>
  </r>
  <r>
    <x v="0"/>
    <x v="11"/>
    <x v="13"/>
    <n v="0"/>
    <x v="3"/>
    <x v="0"/>
  </r>
  <r>
    <x v="0"/>
    <x v="12"/>
    <x v="13"/>
    <n v="95805"/>
    <x v="3"/>
    <x v="0"/>
  </r>
  <r>
    <x v="0"/>
    <x v="13"/>
    <x v="13"/>
    <n v="6624"/>
    <x v="3"/>
    <x v="0"/>
  </r>
  <r>
    <x v="0"/>
    <x v="14"/>
    <x v="13"/>
    <n v="387"/>
    <x v="0"/>
    <x v="0"/>
  </r>
  <r>
    <x v="0"/>
    <x v="15"/>
    <x v="13"/>
    <n v="43"/>
    <x v="0"/>
    <x v="0"/>
  </r>
  <r>
    <x v="0"/>
    <x v="16"/>
    <x v="13"/>
    <n v="1794"/>
    <x v="4"/>
    <x v="1"/>
  </r>
  <r>
    <x v="0"/>
    <x v="17"/>
    <x v="13"/>
    <n v="201"/>
    <x v="4"/>
    <x v="1"/>
  </r>
  <r>
    <x v="0"/>
    <x v="18"/>
    <x v="13"/>
    <n v="535"/>
    <x v="5"/>
    <x v="0"/>
  </r>
  <r>
    <x v="0"/>
    <x v="19"/>
    <x v="13"/>
    <n v="4035"/>
    <x v="1"/>
    <x v="0"/>
  </r>
  <r>
    <x v="0"/>
    <x v="20"/>
    <x v="13"/>
    <n v="0"/>
    <x v="5"/>
    <x v="0"/>
  </r>
  <r>
    <x v="0"/>
    <x v="21"/>
    <x v="13"/>
    <n v="14223"/>
    <x v="2"/>
    <x v="0"/>
  </r>
  <r>
    <x v="0"/>
    <x v="22"/>
    <x v="13"/>
    <n v="0"/>
    <x v="2"/>
    <x v="0"/>
  </r>
  <r>
    <x v="0"/>
    <x v="23"/>
    <x v="13"/>
    <n v="0"/>
    <x v="6"/>
    <x v="0"/>
  </r>
  <r>
    <x v="1"/>
    <x v="0"/>
    <x v="13"/>
    <n v="0"/>
    <x v="0"/>
    <x v="0"/>
  </r>
  <r>
    <x v="1"/>
    <x v="1"/>
    <x v="13"/>
    <n v="593"/>
    <x v="1"/>
    <x v="0"/>
  </r>
  <r>
    <x v="1"/>
    <x v="2"/>
    <x v="13"/>
    <n v="0"/>
    <x v="0"/>
    <x v="0"/>
  </r>
  <r>
    <x v="1"/>
    <x v="3"/>
    <x v="13"/>
    <n v="71455"/>
    <x v="1"/>
    <x v="1"/>
  </r>
  <r>
    <x v="1"/>
    <x v="4"/>
    <x v="13"/>
    <n v="0"/>
    <x v="1"/>
    <x v="1"/>
  </r>
  <r>
    <x v="1"/>
    <x v="5"/>
    <x v="13"/>
    <n v="488"/>
    <x v="1"/>
    <x v="1"/>
  </r>
  <r>
    <x v="1"/>
    <x v="6"/>
    <x v="13"/>
    <n v="0"/>
    <x v="2"/>
    <x v="0"/>
  </r>
  <r>
    <x v="1"/>
    <x v="7"/>
    <x v="13"/>
    <n v="0"/>
    <x v="2"/>
    <x v="0"/>
  </r>
  <r>
    <x v="1"/>
    <x v="8"/>
    <x v="13"/>
    <n v="0"/>
    <x v="2"/>
    <x v="0"/>
  </r>
  <r>
    <x v="1"/>
    <x v="9"/>
    <x v="13"/>
    <n v="0"/>
    <x v="2"/>
    <x v="0"/>
  </r>
  <r>
    <x v="1"/>
    <x v="10"/>
    <x v="13"/>
    <n v="3765"/>
    <x v="3"/>
    <x v="0"/>
  </r>
  <r>
    <x v="1"/>
    <x v="11"/>
    <x v="13"/>
    <n v="0"/>
    <x v="3"/>
    <x v="0"/>
  </r>
  <r>
    <x v="1"/>
    <x v="12"/>
    <x v="13"/>
    <n v="3490"/>
    <x v="3"/>
    <x v="0"/>
  </r>
  <r>
    <x v="1"/>
    <x v="13"/>
    <x v="13"/>
    <n v="206"/>
    <x v="3"/>
    <x v="0"/>
  </r>
  <r>
    <x v="1"/>
    <x v="14"/>
    <x v="13"/>
    <n v="0"/>
    <x v="0"/>
    <x v="0"/>
  </r>
  <r>
    <x v="1"/>
    <x v="15"/>
    <x v="13"/>
    <n v="0"/>
    <x v="0"/>
    <x v="0"/>
  </r>
  <r>
    <x v="1"/>
    <x v="16"/>
    <x v="13"/>
    <n v="141307"/>
    <x v="4"/>
    <x v="1"/>
  </r>
  <r>
    <x v="1"/>
    <x v="17"/>
    <x v="13"/>
    <n v="1816"/>
    <x v="4"/>
    <x v="1"/>
  </r>
  <r>
    <x v="1"/>
    <x v="18"/>
    <x v="13"/>
    <n v="0"/>
    <x v="5"/>
    <x v="0"/>
  </r>
  <r>
    <x v="1"/>
    <x v="19"/>
    <x v="13"/>
    <n v="0"/>
    <x v="1"/>
    <x v="0"/>
  </r>
  <r>
    <x v="1"/>
    <x v="20"/>
    <x v="13"/>
    <n v="0"/>
    <x v="5"/>
    <x v="0"/>
  </r>
  <r>
    <x v="1"/>
    <x v="23"/>
    <x v="13"/>
    <n v="0"/>
    <x v="6"/>
    <x v="0"/>
  </r>
  <r>
    <x v="2"/>
    <x v="0"/>
    <x v="13"/>
    <n v="457503"/>
    <x v="0"/>
    <x v="0"/>
  </r>
  <r>
    <x v="2"/>
    <x v="1"/>
    <x v="13"/>
    <n v="13234476"/>
    <x v="1"/>
    <x v="0"/>
  </r>
  <r>
    <x v="2"/>
    <x v="2"/>
    <x v="13"/>
    <n v="81027"/>
    <x v="0"/>
    <x v="0"/>
  </r>
  <r>
    <x v="2"/>
    <x v="3"/>
    <x v="13"/>
    <n v="172121556"/>
    <x v="1"/>
    <x v="1"/>
  </r>
  <r>
    <x v="2"/>
    <x v="4"/>
    <x v="13"/>
    <n v="0"/>
    <x v="1"/>
    <x v="1"/>
  </r>
  <r>
    <x v="2"/>
    <x v="5"/>
    <x v="13"/>
    <n v="-4155248"/>
    <x v="1"/>
    <x v="1"/>
  </r>
  <r>
    <x v="2"/>
    <x v="6"/>
    <x v="13"/>
    <n v="0"/>
    <x v="2"/>
    <x v="0"/>
  </r>
  <r>
    <x v="2"/>
    <x v="7"/>
    <x v="13"/>
    <n v="433671"/>
    <x v="2"/>
    <x v="0"/>
  </r>
  <r>
    <x v="2"/>
    <x v="8"/>
    <x v="13"/>
    <n v="0"/>
    <x v="2"/>
    <x v="0"/>
  </r>
  <r>
    <x v="2"/>
    <x v="9"/>
    <x v="13"/>
    <n v="43869"/>
    <x v="2"/>
    <x v="0"/>
  </r>
  <r>
    <x v="2"/>
    <x v="10"/>
    <x v="13"/>
    <n v="8795011"/>
    <x v="3"/>
    <x v="0"/>
  </r>
  <r>
    <x v="2"/>
    <x v="11"/>
    <x v="13"/>
    <n v="0"/>
    <x v="3"/>
    <x v="0"/>
  </r>
  <r>
    <x v="2"/>
    <x v="12"/>
    <x v="13"/>
    <n v="30617772"/>
    <x v="3"/>
    <x v="0"/>
  </r>
  <r>
    <x v="2"/>
    <x v="13"/>
    <x v="13"/>
    <n v="2689426"/>
    <x v="3"/>
    <x v="0"/>
  </r>
  <r>
    <x v="2"/>
    <x v="14"/>
    <x v="13"/>
    <n v="242110"/>
    <x v="0"/>
    <x v="0"/>
  </r>
  <r>
    <x v="2"/>
    <x v="15"/>
    <x v="13"/>
    <n v="76765"/>
    <x v="0"/>
    <x v="0"/>
  </r>
  <r>
    <x v="2"/>
    <x v="16"/>
    <x v="13"/>
    <n v="366263564"/>
    <x v="4"/>
    <x v="1"/>
  </r>
  <r>
    <x v="2"/>
    <x v="17"/>
    <x v="13"/>
    <n v="13918141"/>
    <x v="4"/>
    <x v="1"/>
  </r>
  <r>
    <x v="2"/>
    <x v="18"/>
    <x v="13"/>
    <n v="286715"/>
    <x v="5"/>
    <x v="0"/>
  </r>
  <r>
    <x v="2"/>
    <x v="19"/>
    <x v="13"/>
    <n v="488983"/>
    <x v="1"/>
    <x v="0"/>
  </r>
  <r>
    <x v="2"/>
    <x v="20"/>
    <x v="13"/>
    <n v="0"/>
    <x v="5"/>
    <x v="0"/>
  </r>
  <r>
    <x v="2"/>
    <x v="23"/>
    <x v="13"/>
    <n v="0"/>
    <x v="6"/>
    <x v="0"/>
  </r>
  <r>
    <x v="3"/>
    <x v="24"/>
    <x v="13"/>
    <n v="59.73"/>
    <x v="3"/>
    <x v="2"/>
  </r>
  <r>
    <x v="3"/>
    <x v="1"/>
    <x v="13"/>
    <n v="44.35"/>
    <x v="7"/>
    <x v="3"/>
  </r>
  <r>
    <x v="3"/>
    <x v="19"/>
    <x v="13"/>
    <n v="34.96"/>
    <x v="8"/>
    <x v="4"/>
  </r>
  <r>
    <x v="0"/>
    <x v="0"/>
    <x v="14"/>
    <n v="1629"/>
    <x v="0"/>
    <x v="0"/>
  </r>
  <r>
    <x v="0"/>
    <x v="1"/>
    <x v="14"/>
    <n v="83643"/>
    <x v="1"/>
    <x v="0"/>
  </r>
  <r>
    <x v="0"/>
    <x v="2"/>
    <x v="14"/>
    <n v="276"/>
    <x v="0"/>
    <x v="0"/>
  </r>
  <r>
    <x v="0"/>
    <x v="3"/>
    <x v="14"/>
    <n v="2324"/>
    <x v="1"/>
    <x v="1"/>
  </r>
  <r>
    <x v="0"/>
    <x v="4"/>
    <x v="14"/>
    <n v="0"/>
    <x v="1"/>
    <x v="1"/>
  </r>
  <r>
    <x v="0"/>
    <x v="5"/>
    <x v="14"/>
    <n v="18"/>
    <x v="1"/>
    <x v="1"/>
  </r>
  <r>
    <x v="0"/>
    <x v="6"/>
    <x v="14"/>
    <n v="315"/>
    <x v="2"/>
    <x v="0"/>
  </r>
  <r>
    <x v="0"/>
    <x v="7"/>
    <x v="14"/>
    <n v="4347"/>
    <x v="2"/>
    <x v="0"/>
  </r>
  <r>
    <x v="0"/>
    <x v="8"/>
    <x v="14"/>
    <n v="0"/>
    <x v="2"/>
    <x v="0"/>
  </r>
  <r>
    <x v="0"/>
    <x v="9"/>
    <x v="14"/>
    <n v="1187"/>
    <x v="2"/>
    <x v="0"/>
  </r>
  <r>
    <x v="0"/>
    <x v="10"/>
    <x v="14"/>
    <n v="27189"/>
    <x v="3"/>
    <x v="0"/>
  </r>
  <r>
    <x v="0"/>
    <x v="11"/>
    <x v="14"/>
    <n v="0"/>
    <x v="3"/>
    <x v="0"/>
  </r>
  <r>
    <x v="0"/>
    <x v="12"/>
    <x v="14"/>
    <n v="79909"/>
    <x v="3"/>
    <x v="0"/>
  </r>
  <r>
    <x v="0"/>
    <x v="13"/>
    <x v="14"/>
    <n v="6067"/>
    <x v="3"/>
    <x v="0"/>
  </r>
  <r>
    <x v="0"/>
    <x v="14"/>
    <x v="14"/>
    <n v="383"/>
    <x v="0"/>
    <x v="0"/>
  </r>
  <r>
    <x v="0"/>
    <x v="15"/>
    <x v="14"/>
    <n v="10"/>
    <x v="0"/>
    <x v="0"/>
  </r>
  <r>
    <x v="0"/>
    <x v="16"/>
    <x v="14"/>
    <n v="1564"/>
    <x v="4"/>
    <x v="1"/>
  </r>
  <r>
    <x v="0"/>
    <x v="17"/>
    <x v="14"/>
    <n v="0"/>
    <x v="4"/>
    <x v="1"/>
  </r>
  <r>
    <x v="0"/>
    <x v="18"/>
    <x v="14"/>
    <n v="1219"/>
    <x v="5"/>
    <x v="0"/>
  </r>
  <r>
    <x v="0"/>
    <x v="19"/>
    <x v="14"/>
    <n v="907"/>
    <x v="1"/>
    <x v="0"/>
  </r>
  <r>
    <x v="0"/>
    <x v="20"/>
    <x v="14"/>
    <n v="0"/>
    <x v="5"/>
    <x v="0"/>
  </r>
  <r>
    <x v="0"/>
    <x v="21"/>
    <x v="14"/>
    <n v="18317"/>
    <x v="2"/>
    <x v="0"/>
  </r>
  <r>
    <x v="0"/>
    <x v="22"/>
    <x v="14"/>
    <n v="0"/>
    <x v="2"/>
    <x v="0"/>
  </r>
  <r>
    <x v="0"/>
    <x v="23"/>
    <x v="14"/>
    <n v="0"/>
    <x v="6"/>
    <x v="0"/>
  </r>
  <r>
    <x v="1"/>
    <x v="0"/>
    <x v="14"/>
    <n v="0"/>
    <x v="0"/>
    <x v="0"/>
  </r>
  <r>
    <x v="1"/>
    <x v="1"/>
    <x v="14"/>
    <n v="1869"/>
    <x v="1"/>
    <x v="0"/>
  </r>
  <r>
    <x v="1"/>
    <x v="2"/>
    <x v="14"/>
    <n v="0"/>
    <x v="0"/>
    <x v="0"/>
  </r>
  <r>
    <x v="1"/>
    <x v="3"/>
    <x v="14"/>
    <n v="83000"/>
    <x v="1"/>
    <x v="1"/>
  </r>
  <r>
    <x v="1"/>
    <x v="4"/>
    <x v="14"/>
    <n v="3"/>
    <x v="1"/>
    <x v="1"/>
  </r>
  <r>
    <x v="1"/>
    <x v="5"/>
    <x v="14"/>
    <n v="1056"/>
    <x v="1"/>
    <x v="1"/>
  </r>
  <r>
    <x v="1"/>
    <x v="6"/>
    <x v="14"/>
    <n v="0"/>
    <x v="2"/>
    <x v="0"/>
  </r>
  <r>
    <x v="1"/>
    <x v="7"/>
    <x v="14"/>
    <n v="0"/>
    <x v="2"/>
    <x v="0"/>
  </r>
  <r>
    <x v="1"/>
    <x v="8"/>
    <x v="14"/>
    <n v="0"/>
    <x v="2"/>
    <x v="0"/>
  </r>
  <r>
    <x v="1"/>
    <x v="9"/>
    <x v="14"/>
    <n v="0"/>
    <x v="2"/>
    <x v="0"/>
  </r>
  <r>
    <x v="1"/>
    <x v="10"/>
    <x v="14"/>
    <n v="0"/>
    <x v="3"/>
    <x v="0"/>
  </r>
  <r>
    <x v="1"/>
    <x v="11"/>
    <x v="14"/>
    <n v="0"/>
    <x v="3"/>
    <x v="0"/>
  </r>
  <r>
    <x v="1"/>
    <x v="12"/>
    <x v="14"/>
    <n v="4010"/>
    <x v="3"/>
    <x v="0"/>
  </r>
  <r>
    <x v="1"/>
    <x v="13"/>
    <x v="14"/>
    <n v="282"/>
    <x v="3"/>
    <x v="0"/>
  </r>
  <r>
    <x v="1"/>
    <x v="14"/>
    <x v="14"/>
    <n v="0"/>
    <x v="0"/>
    <x v="0"/>
  </r>
  <r>
    <x v="1"/>
    <x v="15"/>
    <x v="14"/>
    <n v="0"/>
    <x v="0"/>
    <x v="0"/>
  </r>
  <r>
    <x v="1"/>
    <x v="16"/>
    <x v="14"/>
    <n v="155569"/>
    <x v="4"/>
    <x v="1"/>
  </r>
  <r>
    <x v="1"/>
    <x v="17"/>
    <x v="14"/>
    <n v="3929"/>
    <x v="4"/>
    <x v="1"/>
  </r>
  <r>
    <x v="1"/>
    <x v="18"/>
    <x v="14"/>
    <n v="0"/>
    <x v="5"/>
    <x v="0"/>
  </r>
  <r>
    <x v="1"/>
    <x v="19"/>
    <x v="14"/>
    <n v="0"/>
    <x v="1"/>
    <x v="0"/>
  </r>
  <r>
    <x v="1"/>
    <x v="20"/>
    <x v="14"/>
    <n v="0"/>
    <x v="5"/>
    <x v="0"/>
  </r>
  <r>
    <x v="1"/>
    <x v="23"/>
    <x v="14"/>
    <n v="0"/>
    <x v="6"/>
    <x v="0"/>
  </r>
  <r>
    <x v="2"/>
    <x v="0"/>
    <x v="14"/>
    <n v="429380"/>
    <x v="0"/>
    <x v="0"/>
  </r>
  <r>
    <x v="2"/>
    <x v="1"/>
    <x v="14"/>
    <n v="11226878"/>
    <x v="1"/>
    <x v="0"/>
  </r>
  <r>
    <x v="2"/>
    <x v="2"/>
    <x v="14"/>
    <n v="74326"/>
    <x v="0"/>
    <x v="0"/>
  </r>
  <r>
    <x v="2"/>
    <x v="3"/>
    <x v="14"/>
    <n v="173067446"/>
    <x v="1"/>
    <x v="1"/>
  </r>
  <r>
    <x v="2"/>
    <x v="4"/>
    <x v="14"/>
    <n v="-1915"/>
    <x v="1"/>
    <x v="1"/>
  </r>
  <r>
    <x v="2"/>
    <x v="5"/>
    <x v="14"/>
    <n v="1815092"/>
    <x v="1"/>
    <x v="1"/>
  </r>
  <r>
    <x v="2"/>
    <x v="6"/>
    <x v="14"/>
    <n v="37585"/>
    <x v="2"/>
    <x v="0"/>
  </r>
  <r>
    <x v="2"/>
    <x v="7"/>
    <x v="14"/>
    <n v="440040"/>
    <x v="2"/>
    <x v="0"/>
  </r>
  <r>
    <x v="2"/>
    <x v="8"/>
    <x v="14"/>
    <n v="0"/>
    <x v="2"/>
    <x v="0"/>
  </r>
  <r>
    <x v="2"/>
    <x v="9"/>
    <x v="14"/>
    <n v="43384"/>
    <x v="2"/>
    <x v="0"/>
  </r>
  <r>
    <x v="2"/>
    <x v="10"/>
    <x v="14"/>
    <n v="7797055"/>
    <x v="3"/>
    <x v="0"/>
  </r>
  <r>
    <x v="2"/>
    <x v="11"/>
    <x v="14"/>
    <n v="0"/>
    <x v="3"/>
    <x v="0"/>
  </r>
  <r>
    <x v="2"/>
    <x v="12"/>
    <x v="14"/>
    <n v="26435068"/>
    <x v="3"/>
    <x v="0"/>
  </r>
  <r>
    <x v="2"/>
    <x v="13"/>
    <x v="14"/>
    <n v="2402287"/>
    <x v="3"/>
    <x v="0"/>
  </r>
  <r>
    <x v="2"/>
    <x v="14"/>
    <x v="14"/>
    <n v="263261"/>
    <x v="0"/>
    <x v="0"/>
  </r>
  <r>
    <x v="2"/>
    <x v="15"/>
    <x v="14"/>
    <n v="27631"/>
    <x v="0"/>
    <x v="0"/>
  </r>
  <r>
    <x v="2"/>
    <x v="16"/>
    <x v="14"/>
    <n v="354689704"/>
    <x v="4"/>
    <x v="1"/>
  </r>
  <r>
    <x v="2"/>
    <x v="17"/>
    <x v="14"/>
    <n v="19781062"/>
    <x v="4"/>
    <x v="1"/>
  </r>
  <r>
    <x v="2"/>
    <x v="18"/>
    <x v="14"/>
    <n v="495110"/>
    <x v="5"/>
    <x v="0"/>
  </r>
  <r>
    <x v="2"/>
    <x v="19"/>
    <x v="14"/>
    <n v="161527"/>
    <x v="1"/>
    <x v="0"/>
  </r>
  <r>
    <x v="2"/>
    <x v="20"/>
    <x v="14"/>
    <n v="0"/>
    <x v="5"/>
    <x v="0"/>
  </r>
  <r>
    <x v="2"/>
    <x v="23"/>
    <x v="14"/>
    <n v="0"/>
    <x v="6"/>
    <x v="0"/>
  </r>
  <r>
    <x v="3"/>
    <x v="24"/>
    <x v="14"/>
    <n v="60.13"/>
    <x v="3"/>
    <x v="2"/>
  </r>
  <r>
    <x v="3"/>
    <x v="1"/>
    <x v="14"/>
    <n v="39.51"/>
    <x v="7"/>
    <x v="3"/>
  </r>
  <r>
    <x v="3"/>
    <x v="19"/>
    <x v="14"/>
    <n v="53.91"/>
    <x v="8"/>
    <x v="4"/>
  </r>
  <r>
    <x v="0"/>
    <x v="0"/>
    <x v="15"/>
    <n v="1786"/>
    <x v="0"/>
    <x v="0"/>
  </r>
  <r>
    <x v="0"/>
    <x v="1"/>
    <x v="15"/>
    <n v="121921"/>
    <x v="1"/>
    <x v="0"/>
  </r>
  <r>
    <x v="0"/>
    <x v="2"/>
    <x v="15"/>
    <n v="311"/>
    <x v="0"/>
    <x v="0"/>
  </r>
  <r>
    <x v="0"/>
    <x v="3"/>
    <x v="15"/>
    <n v="1374"/>
    <x v="1"/>
    <x v="1"/>
  </r>
  <r>
    <x v="0"/>
    <x v="4"/>
    <x v="15"/>
    <n v="0"/>
    <x v="1"/>
    <x v="1"/>
  </r>
  <r>
    <x v="0"/>
    <x v="5"/>
    <x v="15"/>
    <n v="219"/>
    <x v="1"/>
    <x v="1"/>
  </r>
  <r>
    <x v="0"/>
    <x v="6"/>
    <x v="15"/>
    <n v="577"/>
    <x v="2"/>
    <x v="0"/>
  </r>
  <r>
    <x v="0"/>
    <x v="7"/>
    <x v="15"/>
    <n v="4179"/>
    <x v="2"/>
    <x v="0"/>
  </r>
  <r>
    <x v="0"/>
    <x v="8"/>
    <x v="15"/>
    <n v="0"/>
    <x v="2"/>
    <x v="0"/>
  </r>
  <r>
    <x v="0"/>
    <x v="9"/>
    <x v="15"/>
    <n v="1500"/>
    <x v="2"/>
    <x v="0"/>
  </r>
  <r>
    <x v="0"/>
    <x v="10"/>
    <x v="15"/>
    <n v="34844"/>
    <x v="3"/>
    <x v="0"/>
  </r>
  <r>
    <x v="0"/>
    <x v="11"/>
    <x v="15"/>
    <n v="469"/>
    <x v="3"/>
    <x v="0"/>
  </r>
  <r>
    <x v="0"/>
    <x v="12"/>
    <x v="15"/>
    <n v="88120"/>
    <x v="3"/>
    <x v="0"/>
  </r>
  <r>
    <x v="0"/>
    <x v="13"/>
    <x v="15"/>
    <n v="13083"/>
    <x v="3"/>
    <x v="0"/>
  </r>
  <r>
    <x v="0"/>
    <x v="14"/>
    <x v="15"/>
    <n v="399"/>
    <x v="0"/>
    <x v="0"/>
  </r>
  <r>
    <x v="0"/>
    <x v="15"/>
    <x v="15"/>
    <n v="0"/>
    <x v="0"/>
    <x v="0"/>
  </r>
  <r>
    <x v="0"/>
    <x v="16"/>
    <x v="15"/>
    <n v="2099"/>
    <x v="4"/>
    <x v="1"/>
  </r>
  <r>
    <x v="0"/>
    <x v="17"/>
    <x v="15"/>
    <n v="0"/>
    <x v="4"/>
    <x v="1"/>
  </r>
  <r>
    <x v="0"/>
    <x v="18"/>
    <x v="15"/>
    <n v="1385"/>
    <x v="5"/>
    <x v="0"/>
  </r>
  <r>
    <x v="0"/>
    <x v="19"/>
    <x v="15"/>
    <n v="3104"/>
    <x v="1"/>
    <x v="0"/>
  </r>
  <r>
    <x v="0"/>
    <x v="20"/>
    <x v="15"/>
    <n v="0"/>
    <x v="5"/>
    <x v="0"/>
  </r>
  <r>
    <x v="0"/>
    <x v="21"/>
    <x v="15"/>
    <n v="18317"/>
    <x v="2"/>
    <x v="0"/>
  </r>
  <r>
    <x v="0"/>
    <x v="22"/>
    <x v="15"/>
    <n v="0"/>
    <x v="2"/>
    <x v="0"/>
  </r>
  <r>
    <x v="0"/>
    <x v="23"/>
    <x v="15"/>
    <n v="0"/>
    <x v="6"/>
    <x v="0"/>
  </r>
  <r>
    <x v="1"/>
    <x v="0"/>
    <x v="15"/>
    <n v="0"/>
    <x v="0"/>
    <x v="0"/>
  </r>
  <r>
    <x v="1"/>
    <x v="1"/>
    <x v="15"/>
    <n v="1406"/>
    <x v="1"/>
    <x v="0"/>
  </r>
  <r>
    <x v="1"/>
    <x v="2"/>
    <x v="15"/>
    <n v="0"/>
    <x v="0"/>
    <x v="0"/>
  </r>
  <r>
    <x v="1"/>
    <x v="3"/>
    <x v="15"/>
    <n v="79497"/>
    <x v="1"/>
    <x v="1"/>
  </r>
  <r>
    <x v="1"/>
    <x v="4"/>
    <x v="15"/>
    <n v="11"/>
    <x v="1"/>
    <x v="1"/>
  </r>
  <r>
    <x v="1"/>
    <x v="5"/>
    <x v="15"/>
    <n v="1593"/>
    <x v="1"/>
    <x v="1"/>
  </r>
  <r>
    <x v="1"/>
    <x v="6"/>
    <x v="15"/>
    <n v="0"/>
    <x v="2"/>
    <x v="0"/>
  </r>
  <r>
    <x v="1"/>
    <x v="7"/>
    <x v="15"/>
    <n v="0"/>
    <x v="2"/>
    <x v="0"/>
  </r>
  <r>
    <x v="1"/>
    <x v="8"/>
    <x v="15"/>
    <n v="0"/>
    <x v="2"/>
    <x v="0"/>
  </r>
  <r>
    <x v="1"/>
    <x v="9"/>
    <x v="15"/>
    <n v="0"/>
    <x v="2"/>
    <x v="0"/>
  </r>
  <r>
    <x v="1"/>
    <x v="10"/>
    <x v="15"/>
    <n v="388"/>
    <x v="3"/>
    <x v="0"/>
  </r>
  <r>
    <x v="1"/>
    <x v="11"/>
    <x v="15"/>
    <n v="0"/>
    <x v="3"/>
    <x v="0"/>
  </r>
  <r>
    <x v="1"/>
    <x v="12"/>
    <x v="15"/>
    <n v="8574"/>
    <x v="3"/>
    <x v="0"/>
  </r>
  <r>
    <x v="1"/>
    <x v="13"/>
    <x v="15"/>
    <n v="9"/>
    <x v="3"/>
    <x v="0"/>
  </r>
  <r>
    <x v="1"/>
    <x v="14"/>
    <x v="15"/>
    <n v="0"/>
    <x v="0"/>
    <x v="0"/>
  </r>
  <r>
    <x v="1"/>
    <x v="15"/>
    <x v="15"/>
    <n v="0"/>
    <x v="0"/>
    <x v="0"/>
  </r>
  <r>
    <x v="1"/>
    <x v="16"/>
    <x v="15"/>
    <n v="165206"/>
    <x v="4"/>
    <x v="1"/>
  </r>
  <r>
    <x v="1"/>
    <x v="17"/>
    <x v="15"/>
    <n v="4353"/>
    <x v="4"/>
    <x v="1"/>
  </r>
  <r>
    <x v="1"/>
    <x v="18"/>
    <x v="15"/>
    <n v="0"/>
    <x v="5"/>
    <x v="0"/>
  </r>
  <r>
    <x v="1"/>
    <x v="19"/>
    <x v="15"/>
    <n v="0"/>
    <x v="1"/>
    <x v="0"/>
  </r>
  <r>
    <x v="1"/>
    <x v="20"/>
    <x v="15"/>
    <n v="0"/>
    <x v="5"/>
    <x v="0"/>
  </r>
  <r>
    <x v="1"/>
    <x v="23"/>
    <x v="15"/>
    <n v="0"/>
    <x v="6"/>
    <x v="0"/>
  </r>
  <r>
    <x v="2"/>
    <x v="0"/>
    <x v="15"/>
    <n v="471796"/>
    <x v="0"/>
    <x v="0"/>
  </r>
  <r>
    <x v="2"/>
    <x v="1"/>
    <x v="15"/>
    <n v="16376995"/>
    <x v="1"/>
    <x v="0"/>
  </r>
  <r>
    <x v="2"/>
    <x v="2"/>
    <x v="15"/>
    <n v="83726"/>
    <x v="0"/>
    <x v="0"/>
  </r>
  <r>
    <x v="2"/>
    <x v="3"/>
    <x v="15"/>
    <n v="167000751"/>
    <x v="1"/>
    <x v="1"/>
  </r>
  <r>
    <x v="2"/>
    <x v="4"/>
    <x v="15"/>
    <n v="-6563"/>
    <x v="1"/>
    <x v="1"/>
  </r>
  <r>
    <x v="2"/>
    <x v="5"/>
    <x v="15"/>
    <n v="2970595"/>
    <x v="1"/>
    <x v="1"/>
  </r>
  <r>
    <x v="2"/>
    <x v="6"/>
    <x v="15"/>
    <n v="68849"/>
    <x v="2"/>
    <x v="0"/>
  </r>
  <r>
    <x v="2"/>
    <x v="7"/>
    <x v="15"/>
    <n v="421603"/>
    <x v="2"/>
    <x v="0"/>
  </r>
  <r>
    <x v="2"/>
    <x v="8"/>
    <x v="15"/>
    <n v="0"/>
    <x v="2"/>
    <x v="0"/>
  </r>
  <r>
    <x v="2"/>
    <x v="9"/>
    <x v="15"/>
    <n v="54052"/>
    <x v="2"/>
    <x v="0"/>
  </r>
  <r>
    <x v="2"/>
    <x v="10"/>
    <x v="15"/>
    <n v="9379218"/>
    <x v="3"/>
    <x v="0"/>
  </r>
  <r>
    <x v="2"/>
    <x v="11"/>
    <x v="15"/>
    <n v="298937"/>
    <x v="3"/>
    <x v="0"/>
  </r>
  <r>
    <x v="2"/>
    <x v="12"/>
    <x v="15"/>
    <n v="27263997"/>
    <x v="3"/>
    <x v="0"/>
  </r>
  <r>
    <x v="2"/>
    <x v="13"/>
    <x v="15"/>
    <n v="5458262"/>
    <x v="3"/>
    <x v="0"/>
  </r>
  <r>
    <x v="2"/>
    <x v="14"/>
    <x v="15"/>
    <n v="282897"/>
    <x v="0"/>
    <x v="0"/>
  </r>
  <r>
    <x v="2"/>
    <x v="15"/>
    <x v="15"/>
    <n v="0"/>
    <x v="0"/>
    <x v="0"/>
  </r>
  <r>
    <x v="2"/>
    <x v="16"/>
    <x v="15"/>
    <n v="375127081"/>
    <x v="4"/>
    <x v="1"/>
  </r>
  <r>
    <x v="2"/>
    <x v="17"/>
    <x v="15"/>
    <n v="20857756"/>
    <x v="4"/>
    <x v="1"/>
  </r>
  <r>
    <x v="2"/>
    <x v="18"/>
    <x v="15"/>
    <n v="365157"/>
    <x v="5"/>
    <x v="0"/>
  </r>
  <r>
    <x v="2"/>
    <x v="19"/>
    <x v="15"/>
    <n v="455869"/>
    <x v="1"/>
    <x v="0"/>
  </r>
  <r>
    <x v="2"/>
    <x v="20"/>
    <x v="15"/>
    <n v="0"/>
    <x v="5"/>
    <x v="0"/>
  </r>
  <r>
    <x v="2"/>
    <x v="23"/>
    <x v="15"/>
    <n v="0"/>
    <x v="6"/>
    <x v="0"/>
  </r>
  <r>
    <x v="3"/>
    <x v="24"/>
    <x v="15"/>
    <n v="59.68"/>
    <x v="3"/>
    <x v="2"/>
  </r>
  <r>
    <x v="3"/>
    <x v="1"/>
    <x v="15"/>
    <n v="38.92"/>
    <x v="7"/>
    <x v="3"/>
  </r>
  <r>
    <x v="3"/>
    <x v="19"/>
    <x v="15"/>
    <n v="44.74"/>
    <x v="8"/>
    <x v="4"/>
  </r>
  <r>
    <x v="0"/>
    <x v="0"/>
    <x v="16"/>
    <n v="1863"/>
    <x v="0"/>
    <x v="0"/>
  </r>
  <r>
    <x v="0"/>
    <x v="1"/>
    <x v="16"/>
    <n v="125305"/>
    <x v="1"/>
    <x v="0"/>
  </r>
  <r>
    <x v="0"/>
    <x v="2"/>
    <x v="16"/>
    <n v="226"/>
    <x v="0"/>
    <x v="0"/>
  </r>
  <r>
    <x v="0"/>
    <x v="3"/>
    <x v="16"/>
    <n v="1316"/>
    <x v="1"/>
    <x v="1"/>
  </r>
  <r>
    <x v="0"/>
    <x v="4"/>
    <x v="16"/>
    <n v="0"/>
    <x v="1"/>
    <x v="1"/>
  </r>
  <r>
    <x v="0"/>
    <x v="5"/>
    <x v="16"/>
    <n v="132"/>
    <x v="1"/>
    <x v="1"/>
  </r>
  <r>
    <x v="0"/>
    <x v="6"/>
    <x v="16"/>
    <n v="1571"/>
    <x v="2"/>
    <x v="0"/>
  </r>
  <r>
    <x v="0"/>
    <x v="7"/>
    <x v="16"/>
    <n v="4216"/>
    <x v="2"/>
    <x v="0"/>
  </r>
  <r>
    <x v="0"/>
    <x v="8"/>
    <x v="16"/>
    <n v="0"/>
    <x v="2"/>
    <x v="0"/>
  </r>
  <r>
    <x v="0"/>
    <x v="9"/>
    <x v="16"/>
    <n v="1965"/>
    <x v="2"/>
    <x v="0"/>
  </r>
  <r>
    <x v="0"/>
    <x v="10"/>
    <x v="16"/>
    <n v="51580"/>
    <x v="3"/>
    <x v="0"/>
  </r>
  <r>
    <x v="0"/>
    <x v="11"/>
    <x v="16"/>
    <n v="0"/>
    <x v="3"/>
    <x v="0"/>
  </r>
  <r>
    <x v="0"/>
    <x v="12"/>
    <x v="16"/>
    <n v="104296"/>
    <x v="3"/>
    <x v="0"/>
  </r>
  <r>
    <x v="0"/>
    <x v="13"/>
    <x v="16"/>
    <n v="2282"/>
    <x v="3"/>
    <x v="0"/>
  </r>
  <r>
    <x v="0"/>
    <x v="14"/>
    <x v="16"/>
    <n v="435"/>
    <x v="0"/>
    <x v="0"/>
  </r>
  <r>
    <x v="0"/>
    <x v="15"/>
    <x v="16"/>
    <n v="0"/>
    <x v="0"/>
    <x v="0"/>
  </r>
  <r>
    <x v="0"/>
    <x v="16"/>
    <x v="16"/>
    <n v="2409"/>
    <x v="4"/>
    <x v="1"/>
  </r>
  <r>
    <x v="0"/>
    <x v="17"/>
    <x v="16"/>
    <n v="0"/>
    <x v="4"/>
    <x v="1"/>
  </r>
  <r>
    <x v="0"/>
    <x v="18"/>
    <x v="16"/>
    <n v="375"/>
    <x v="5"/>
    <x v="0"/>
  </r>
  <r>
    <x v="0"/>
    <x v="19"/>
    <x v="16"/>
    <n v="98814"/>
    <x v="1"/>
    <x v="0"/>
  </r>
  <r>
    <x v="0"/>
    <x v="20"/>
    <x v="16"/>
    <n v="1268"/>
    <x v="5"/>
    <x v="0"/>
  </r>
  <r>
    <x v="0"/>
    <x v="21"/>
    <x v="16"/>
    <n v="18318"/>
    <x v="2"/>
    <x v="0"/>
  </r>
  <r>
    <x v="0"/>
    <x v="22"/>
    <x v="16"/>
    <n v="0"/>
    <x v="2"/>
    <x v="0"/>
  </r>
  <r>
    <x v="0"/>
    <x v="23"/>
    <x v="16"/>
    <n v="0"/>
    <x v="6"/>
    <x v="0"/>
  </r>
  <r>
    <x v="1"/>
    <x v="0"/>
    <x v="16"/>
    <n v="0"/>
    <x v="0"/>
    <x v="0"/>
  </r>
  <r>
    <x v="1"/>
    <x v="1"/>
    <x v="16"/>
    <n v="1513"/>
    <x v="1"/>
    <x v="0"/>
  </r>
  <r>
    <x v="1"/>
    <x v="2"/>
    <x v="16"/>
    <n v="0"/>
    <x v="0"/>
    <x v="0"/>
  </r>
  <r>
    <x v="1"/>
    <x v="3"/>
    <x v="16"/>
    <n v="89450"/>
    <x v="1"/>
    <x v="1"/>
  </r>
  <r>
    <x v="1"/>
    <x v="4"/>
    <x v="16"/>
    <n v="13"/>
    <x v="1"/>
    <x v="1"/>
  </r>
  <r>
    <x v="1"/>
    <x v="5"/>
    <x v="16"/>
    <n v="1623"/>
    <x v="1"/>
    <x v="1"/>
  </r>
  <r>
    <x v="1"/>
    <x v="6"/>
    <x v="16"/>
    <n v="0"/>
    <x v="2"/>
    <x v="0"/>
  </r>
  <r>
    <x v="1"/>
    <x v="7"/>
    <x v="16"/>
    <n v="0"/>
    <x v="2"/>
    <x v="0"/>
  </r>
  <r>
    <x v="1"/>
    <x v="8"/>
    <x v="16"/>
    <n v="0"/>
    <x v="2"/>
    <x v="0"/>
  </r>
  <r>
    <x v="1"/>
    <x v="9"/>
    <x v="16"/>
    <n v="0"/>
    <x v="2"/>
    <x v="0"/>
  </r>
  <r>
    <x v="1"/>
    <x v="10"/>
    <x v="16"/>
    <n v="354"/>
    <x v="3"/>
    <x v="0"/>
  </r>
  <r>
    <x v="1"/>
    <x v="11"/>
    <x v="16"/>
    <n v="0"/>
    <x v="3"/>
    <x v="0"/>
  </r>
  <r>
    <x v="1"/>
    <x v="12"/>
    <x v="16"/>
    <n v="11085"/>
    <x v="3"/>
    <x v="0"/>
  </r>
  <r>
    <x v="1"/>
    <x v="13"/>
    <x v="16"/>
    <n v="4"/>
    <x v="3"/>
    <x v="0"/>
  </r>
  <r>
    <x v="1"/>
    <x v="14"/>
    <x v="16"/>
    <n v="0"/>
    <x v="0"/>
    <x v="0"/>
  </r>
  <r>
    <x v="1"/>
    <x v="15"/>
    <x v="16"/>
    <n v="0"/>
    <x v="0"/>
    <x v="0"/>
  </r>
  <r>
    <x v="1"/>
    <x v="16"/>
    <x v="16"/>
    <n v="167815"/>
    <x v="4"/>
    <x v="1"/>
  </r>
  <r>
    <x v="1"/>
    <x v="17"/>
    <x v="16"/>
    <n v="3916"/>
    <x v="4"/>
    <x v="1"/>
  </r>
  <r>
    <x v="1"/>
    <x v="18"/>
    <x v="16"/>
    <n v="0"/>
    <x v="5"/>
    <x v="0"/>
  </r>
  <r>
    <x v="1"/>
    <x v="19"/>
    <x v="16"/>
    <n v="0"/>
    <x v="1"/>
    <x v="0"/>
  </r>
  <r>
    <x v="1"/>
    <x v="20"/>
    <x v="16"/>
    <n v="0"/>
    <x v="5"/>
    <x v="0"/>
  </r>
  <r>
    <x v="1"/>
    <x v="23"/>
    <x v="16"/>
    <n v="0"/>
    <x v="6"/>
    <x v="0"/>
  </r>
  <r>
    <x v="2"/>
    <x v="0"/>
    <x v="16"/>
    <n v="495990"/>
    <x v="0"/>
    <x v="0"/>
  </r>
  <r>
    <x v="2"/>
    <x v="1"/>
    <x v="16"/>
    <n v="16836304"/>
    <x v="1"/>
    <x v="0"/>
  </r>
  <r>
    <x v="2"/>
    <x v="2"/>
    <x v="16"/>
    <n v="60935"/>
    <x v="0"/>
    <x v="0"/>
  </r>
  <r>
    <x v="2"/>
    <x v="3"/>
    <x v="16"/>
    <n v="188320552"/>
    <x v="1"/>
    <x v="1"/>
  </r>
  <r>
    <x v="2"/>
    <x v="4"/>
    <x v="16"/>
    <n v="-7587"/>
    <x v="1"/>
    <x v="1"/>
  </r>
  <r>
    <x v="2"/>
    <x v="5"/>
    <x v="16"/>
    <n v="3828923"/>
    <x v="1"/>
    <x v="1"/>
  </r>
  <r>
    <x v="2"/>
    <x v="6"/>
    <x v="16"/>
    <n v="186923"/>
    <x v="2"/>
    <x v="0"/>
  </r>
  <r>
    <x v="2"/>
    <x v="7"/>
    <x v="16"/>
    <n v="418545"/>
    <x v="2"/>
    <x v="0"/>
  </r>
  <r>
    <x v="2"/>
    <x v="8"/>
    <x v="16"/>
    <n v="0"/>
    <x v="2"/>
    <x v="0"/>
  </r>
  <r>
    <x v="2"/>
    <x v="9"/>
    <x v="16"/>
    <n v="70193"/>
    <x v="2"/>
    <x v="0"/>
  </r>
  <r>
    <x v="2"/>
    <x v="10"/>
    <x v="16"/>
    <n v="14044376"/>
    <x v="3"/>
    <x v="0"/>
  </r>
  <r>
    <x v="2"/>
    <x v="11"/>
    <x v="16"/>
    <n v="0"/>
    <x v="3"/>
    <x v="0"/>
  </r>
  <r>
    <x v="2"/>
    <x v="12"/>
    <x v="16"/>
    <n v="30484265"/>
    <x v="3"/>
    <x v="0"/>
  </r>
  <r>
    <x v="2"/>
    <x v="13"/>
    <x v="16"/>
    <n v="962825"/>
    <x v="3"/>
    <x v="0"/>
  </r>
  <r>
    <x v="2"/>
    <x v="14"/>
    <x v="16"/>
    <n v="307650"/>
    <x v="0"/>
    <x v="0"/>
  </r>
  <r>
    <x v="2"/>
    <x v="15"/>
    <x v="16"/>
    <n v="0"/>
    <x v="0"/>
    <x v="0"/>
  </r>
  <r>
    <x v="2"/>
    <x v="16"/>
    <x v="16"/>
    <n v="380415507"/>
    <x v="4"/>
    <x v="1"/>
  </r>
  <r>
    <x v="2"/>
    <x v="17"/>
    <x v="16"/>
    <n v="18078829"/>
    <x v="4"/>
    <x v="1"/>
  </r>
  <r>
    <x v="2"/>
    <x v="18"/>
    <x v="16"/>
    <n v="257693"/>
    <x v="5"/>
    <x v="0"/>
  </r>
  <r>
    <x v="2"/>
    <x v="19"/>
    <x v="16"/>
    <n v="11311233"/>
    <x v="1"/>
    <x v="0"/>
  </r>
  <r>
    <x v="2"/>
    <x v="20"/>
    <x v="16"/>
    <n v="229264"/>
    <x v="5"/>
    <x v="0"/>
  </r>
  <r>
    <x v="2"/>
    <x v="23"/>
    <x v="16"/>
    <n v="0"/>
    <x v="6"/>
    <x v="0"/>
  </r>
  <r>
    <x v="3"/>
    <x v="24"/>
    <x v="16"/>
    <n v="57.02"/>
    <x v="3"/>
    <x v="2"/>
  </r>
  <r>
    <x v="3"/>
    <x v="1"/>
    <x v="16"/>
    <n v="38.97"/>
    <x v="7"/>
    <x v="3"/>
  </r>
  <r>
    <x v="3"/>
    <x v="19"/>
    <x v="16"/>
    <n v="29.88"/>
    <x v="8"/>
    <x v="4"/>
  </r>
  <r>
    <x v="0"/>
    <x v="0"/>
    <x v="17"/>
    <n v="2371"/>
    <x v="0"/>
    <x v="0"/>
  </r>
  <r>
    <x v="0"/>
    <x v="1"/>
    <x v="17"/>
    <n v="116165"/>
    <x v="1"/>
    <x v="0"/>
  </r>
  <r>
    <x v="0"/>
    <x v="2"/>
    <x v="17"/>
    <n v="280"/>
    <x v="0"/>
    <x v="0"/>
  </r>
  <r>
    <x v="0"/>
    <x v="3"/>
    <x v="17"/>
    <n v="201"/>
    <x v="1"/>
    <x v="1"/>
  </r>
  <r>
    <x v="0"/>
    <x v="4"/>
    <x v="17"/>
    <n v="0"/>
    <x v="1"/>
    <x v="1"/>
  </r>
  <r>
    <x v="0"/>
    <x v="5"/>
    <x v="17"/>
    <n v="106"/>
    <x v="1"/>
    <x v="1"/>
  </r>
  <r>
    <x v="0"/>
    <x v="6"/>
    <x v="17"/>
    <n v="1715"/>
    <x v="2"/>
    <x v="0"/>
  </r>
  <r>
    <x v="0"/>
    <x v="7"/>
    <x v="17"/>
    <n v="4383"/>
    <x v="2"/>
    <x v="0"/>
  </r>
  <r>
    <x v="0"/>
    <x v="8"/>
    <x v="17"/>
    <n v="0"/>
    <x v="2"/>
    <x v="0"/>
  </r>
  <r>
    <x v="0"/>
    <x v="9"/>
    <x v="17"/>
    <n v="1940"/>
    <x v="2"/>
    <x v="0"/>
  </r>
  <r>
    <x v="0"/>
    <x v="10"/>
    <x v="17"/>
    <n v="55045"/>
    <x v="3"/>
    <x v="0"/>
  </r>
  <r>
    <x v="0"/>
    <x v="11"/>
    <x v="17"/>
    <n v="271"/>
    <x v="3"/>
    <x v="0"/>
  </r>
  <r>
    <x v="0"/>
    <x v="12"/>
    <x v="17"/>
    <n v="89853"/>
    <x v="3"/>
    <x v="0"/>
  </r>
  <r>
    <x v="0"/>
    <x v="13"/>
    <x v="17"/>
    <n v="760"/>
    <x v="3"/>
    <x v="0"/>
  </r>
  <r>
    <x v="0"/>
    <x v="14"/>
    <x v="17"/>
    <n v="325"/>
    <x v="0"/>
    <x v="0"/>
  </r>
  <r>
    <x v="0"/>
    <x v="15"/>
    <x v="17"/>
    <n v="0"/>
    <x v="0"/>
    <x v="0"/>
  </r>
  <r>
    <x v="0"/>
    <x v="16"/>
    <x v="17"/>
    <n v="2"/>
    <x v="4"/>
    <x v="1"/>
  </r>
  <r>
    <x v="0"/>
    <x v="17"/>
    <x v="17"/>
    <n v="0"/>
    <x v="4"/>
    <x v="1"/>
  </r>
  <r>
    <x v="0"/>
    <x v="18"/>
    <x v="17"/>
    <n v="700"/>
    <x v="5"/>
    <x v="0"/>
  </r>
  <r>
    <x v="0"/>
    <x v="19"/>
    <x v="17"/>
    <n v="38390"/>
    <x v="1"/>
    <x v="0"/>
  </r>
  <r>
    <x v="0"/>
    <x v="20"/>
    <x v="17"/>
    <n v="1235"/>
    <x v="5"/>
    <x v="0"/>
  </r>
  <r>
    <x v="0"/>
    <x v="21"/>
    <x v="17"/>
    <n v="18318"/>
    <x v="2"/>
    <x v="0"/>
  </r>
  <r>
    <x v="0"/>
    <x v="22"/>
    <x v="17"/>
    <n v="0"/>
    <x v="2"/>
    <x v="0"/>
  </r>
  <r>
    <x v="0"/>
    <x v="23"/>
    <x v="17"/>
    <n v="0"/>
    <x v="6"/>
    <x v="0"/>
  </r>
  <r>
    <x v="1"/>
    <x v="0"/>
    <x v="17"/>
    <n v="0"/>
    <x v="0"/>
    <x v="0"/>
  </r>
  <r>
    <x v="1"/>
    <x v="1"/>
    <x v="17"/>
    <n v="942"/>
    <x v="1"/>
    <x v="0"/>
  </r>
  <r>
    <x v="1"/>
    <x v="2"/>
    <x v="17"/>
    <n v="0"/>
    <x v="0"/>
    <x v="0"/>
  </r>
  <r>
    <x v="1"/>
    <x v="3"/>
    <x v="17"/>
    <n v="85464"/>
    <x v="1"/>
    <x v="1"/>
  </r>
  <r>
    <x v="1"/>
    <x v="4"/>
    <x v="17"/>
    <n v="9"/>
    <x v="1"/>
    <x v="1"/>
  </r>
  <r>
    <x v="1"/>
    <x v="5"/>
    <x v="17"/>
    <n v="1064"/>
    <x v="1"/>
    <x v="1"/>
  </r>
  <r>
    <x v="1"/>
    <x v="6"/>
    <x v="17"/>
    <n v="0"/>
    <x v="2"/>
    <x v="0"/>
  </r>
  <r>
    <x v="1"/>
    <x v="7"/>
    <x v="17"/>
    <n v="0"/>
    <x v="2"/>
    <x v="0"/>
  </r>
  <r>
    <x v="1"/>
    <x v="8"/>
    <x v="17"/>
    <n v="0"/>
    <x v="2"/>
    <x v="0"/>
  </r>
  <r>
    <x v="1"/>
    <x v="9"/>
    <x v="17"/>
    <n v="0"/>
    <x v="2"/>
    <x v="0"/>
  </r>
  <r>
    <x v="1"/>
    <x v="10"/>
    <x v="17"/>
    <n v="4915"/>
    <x v="3"/>
    <x v="0"/>
  </r>
  <r>
    <x v="1"/>
    <x v="11"/>
    <x v="17"/>
    <n v="0"/>
    <x v="3"/>
    <x v="0"/>
  </r>
  <r>
    <x v="1"/>
    <x v="12"/>
    <x v="17"/>
    <n v="1691"/>
    <x v="3"/>
    <x v="0"/>
  </r>
  <r>
    <x v="1"/>
    <x v="13"/>
    <x v="17"/>
    <n v="0"/>
    <x v="3"/>
    <x v="0"/>
  </r>
  <r>
    <x v="1"/>
    <x v="14"/>
    <x v="17"/>
    <n v="0"/>
    <x v="0"/>
    <x v="0"/>
  </r>
  <r>
    <x v="1"/>
    <x v="15"/>
    <x v="17"/>
    <n v="0"/>
    <x v="0"/>
    <x v="0"/>
  </r>
  <r>
    <x v="1"/>
    <x v="16"/>
    <x v="17"/>
    <n v="168167"/>
    <x v="4"/>
    <x v="1"/>
  </r>
  <r>
    <x v="1"/>
    <x v="17"/>
    <x v="17"/>
    <n v="3907"/>
    <x v="4"/>
    <x v="1"/>
  </r>
  <r>
    <x v="1"/>
    <x v="18"/>
    <x v="17"/>
    <n v="0"/>
    <x v="5"/>
    <x v="0"/>
  </r>
  <r>
    <x v="1"/>
    <x v="19"/>
    <x v="17"/>
    <n v="0"/>
    <x v="1"/>
    <x v="0"/>
  </r>
  <r>
    <x v="1"/>
    <x v="20"/>
    <x v="17"/>
    <n v="0"/>
    <x v="5"/>
    <x v="0"/>
  </r>
  <r>
    <x v="1"/>
    <x v="23"/>
    <x v="17"/>
    <n v="0"/>
    <x v="6"/>
    <x v="0"/>
  </r>
  <r>
    <x v="2"/>
    <x v="0"/>
    <x v="17"/>
    <n v="532362"/>
    <x v="0"/>
    <x v="0"/>
  </r>
  <r>
    <x v="2"/>
    <x v="1"/>
    <x v="17"/>
    <n v="15256559"/>
    <x v="1"/>
    <x v="0"/>
  </r>
  <r>
    <x v="2"/>
    <x v="2"/>
    <x v="17"/>
    <n v="75549"/>
    <x v="0"/>
    <x v="0"/>
  </r>
  <r>
    <x v="2"/>
    <x v="3"/>
    <x v="17"/>
    <n v="182188128"/>
    <x v="1"/>
    <x v="1"/>
  </r>
  <r>
    <x v="2"/>
    <x v="4"/>
    <x v="17"/>
    <n v="-5258"/>
    <x v="1"/>
    <x v="1"/>
  </r>
  <r>
    <x v="2"/>
    <x v="5"/>
    <x v="17"/>
    <n v="1063480"/>
    <x v="1"/>
    <x v="1"/>
  </r>
  <r>
    <x v="2"/>
    <x v="6"/>
    <x v="17"/>
    <n v="203933"/>
    <x v="2"/>
    <x v="0"/>
  </r>
  <r>
    <x v="2"/>
    <x v="7"/>
    <x v="17"/>
    <n v="443104"/>
    <x v="2"/>
    <x v="0"/>
  </r>
  <r>
    <x v="2"/>
    <x v="8"/>
    <x v="17"/>
    <n v="0"/>
    <x v="2"/>
    <x v="0"/>
  </r>
  <r>
    <x v="2"/>
    <x v="9"/>
    <x v="17"/>
    <n v="69198"/>
    <x v="2"/>
    <x v="0"/>
  </r>
  <r>
    <x v="2"/>
    <x v="10"/>
    <x v="17"/>
    <n v="13891154"/>
    <x v="3"/>
    <x v="0"/>
  </r>
  <r>
    <x v="2"/>
    <x v="11"/>
    <x v="17"/>
    <n v="172797"/>
    <x v="3"/>
    <x v="0"/>
  </r>
  <r>
    <x v="2"/>
    <x v="12"/>
    <x v="17"/>
    <n v="27523886"/>
    <x v="3"/>
    <x v="0"/>
  </r>
  <r>
    <x v="2"/>
    <x v="13"/>
    <x v="17"/>
    <n v="323008"/>
    <x v="3"/>
    <x v="0"/>
  </r>
  <r>
    <x v="2"/>
    <x v="14"/>
    <x v="17"/>
    <n v="208357"/>
    <x v="0"/>
    <x v="0"/>
  </r>
  <r>
    <x v="2"/>
    <x v="15"/>
    <x v="17"/>
    <n v="0"/>
    <x v="0"/>
    <x v="0"/>
  </r>
  <r>
    <x v="2"/>
    <x v="16"/>
    <x v="17"/>
    <n v="386761381"/>
    <x v="4"/>
    <x v="1"/>
  </r>
  <r>
    <x v="2"/>
    <x v="17"/>
    <x v="17"/>
    <n v="17233972"/>
    <x v="4"/>
    <x v="1"/>
  </r>
  <r>
    <x v="2"/>
    <x v="18"/>
    <x v="17"/>
    <n v="485144"/>
    <x v="5"/>
    <x v="0"/>
  </r>
  <r>
    <x v="2"/>
    <x v="19"/>
    <x v="17"/>
    <n v="4290785"/>
    <x v="1"/>
    <x v="0"/>
  </r>
  <r>
    <x v="2"/>
    <x v="20"/>
    <x v="17"/>
    <n v="223209"/>
    <x v="5"/>
    <x v="0"/>
  </r>
  <r>
    <x v="2"/>
    <x v="23"/>
    <x v="17"/>
    <n v="0"/>
    <x v="6"/>
    <x v="0"/>
  </r>
  <r>
    <x v="3"/>
    <x v="24"/>
    <x v="17"/>
    <n v="55.81"/>
    <x v="3"/>
    <x v="2"/>
  </r>
  <r>
    <x v="3"/>
    <x v="1"/>
    <x v="17"/>
    <n v="37.380000000000003"/>
    <x v="7"/>
    <x v="3"/>
  </r>
  <r>
    <x v="3"/>
    <x v="19"/>
    <x v="17"/>
    <n v="28.12"/>
    <x v="8"/>
    <x v="4"/>
  </r>
  <r>
    <x v="0"/>
    <x v="0"/>
    <x v="18"/>
    <n v="2256"/>
    <x v="0"/>
    <x v="0"/>
  </r>
  <r>
    <x v="0"/>
    <x v="1"/>
    <x v="18"/>
    <n v="116635"/>
    <x v="1"/>
    <x v="0"/>
  </r>
  <r>
    <x v="0"/>
    <x v="2"/>
    <x v="18"/>
    <n v="219"/>
    <x v="0"/>
    <x v="0"/>
  </r>
  <r>
    <x v="0"/>
    <x v="3"/>
    <x v="18"/>
    <n v="411"/>
    <x v="1"/>
    <x v="1"/>
  </r>
  <r>
    <x v="0"/>
    <x v="4"/>
    <x v="18"/>
    <n v="21"/>
    <x v="1"/>
    <x v="1"/>
  </r>
  <r>
    <x v="0"/>
    <x v="5"/>
    <x v="18"/>
    <n v="613"/>
    <x v="1"/>
    <x v="1"/>
  </r>
  <r>
    <x v="0"/>
    <x v="6"/>
    <x v="18"/>
    <n v="2165"/>
    <x v="2"/>
    <x v="0"/>
  </r>
  <r>
    <x v="0"/>
    <x v="7"/>
    <x v="18"/>
    <n v="4224"/>
    <x v="2"/>
    <x v="0"/>
  </r>
  <r>
    <x v="0"/>
    <x v="8"/>
    <x v="18"/>
    <n v="1"/>
    <x v="2"/>
    <x v="0"/>
  </r>
  <r>
    <x v="0"/>
    <x v="9"/>
    <x v="18"/>
    <n v="1529"/>
    <x v="2"/>
    <x v="0"/>
  </r>
  <r>
    <x v="0"/>
    <x v="10"/>
    <x v="18"/>
    <n v="45329"/>
    <x v="3"/>
    <x v="0"/>
  </r>
  <r>
    <x v="0"/>
    <x v="11"/>
    <x v="18"/>
    <n v="0"/>
    <x v="3"/>
    <x v="0"/>
  </r>
  <r>
    <x v="0"/>
    <x v="12"/>
    <x v="18"/>
    <n v="79069"/>
    <x v="3"/>
    <x v="0"/>
  </r>
  <r>
    <x v="0"/>
    <x v="13"/>
    <x v="18"/>
    <n v="19"/>
    <x v="3"/>
    <x v="0"/>
  </r>
  <r>
    <x v="0"/>
    <x v="14"/>
    <x v="18"/>
    <n v="263"/>
    <x v="0"/>
    <x v="0"/>
  </r>
  <r>
    <x v="0"/>
    <x v="15"/>
    <x v="18"/>
    <n v="0"/>
    <x v="0"/>
    <x v="0"/>
  </r>
  <r>
    <x v="0"/>
    <x v="16"/>
    <x v="18"/>
    <n v="2173"/>
    <x v="4"/>
    <x v="1"/>
  </r>
  <r>
    <x v="0"/>
    <x v="17"/>
    <x v="18"/>
    <n v="1500"/>
    <x v="4"/>
    <x v="1"/>
  </r>
  <r>
    <x v="0"/>
    <x v="18"/>
    <x v="18"/>
    <n v="305"/>
    <x v="5"/>
    <x v="0"/>
  </r>
  <r>
    <x v="0"/>
    <x v="19"/>
    <x v="18"/>
    <n v="64363"/>
    <x v="1"/>
    <x v="0"/>
  </r>
  <r>
    <x v="0"/>
    <x v="20"/>
    <x v="18"/>
    <n v="1182"/>
    <x v="5"/>
    <x v="0"/>
  </r>
  <r>
    <x v="0"/>
    <x v="21"/>
    <x v="18"/>
    <n v="24872"/>
    <x v="2"/>
    <x v="0"/>
  </r>
  <r>
    <x v="0"/>
    <x v="22"/>
    <x v="18"/>
    <n v="0"/>
    <x v="2"/>
    <x v="0"/>
  </r>
  <r>
    <x v="0"/>
    <x v="23"/>
    <x v="18"/>
    <n v="0"/>
    <x v="6"/>
    <x v="0"/>
  </r>
  <r>
    <x v="1"/>
    <x v="0"/>
    <x v="18"/>
    <n v="0"/>
    <x v="0"/>
    <x v="0"/>
  </r>
  <r>
    <x v="1"/>
    <x v="1"/>
    <x v="18"/>
    <n v="159"/>
    <x v="1"/>
    <x v="0"/>
  </r>
  <r>
    <x v="1"/>
    <x v="2"/>
    <x v="18"/>
    <n v="0"/>
    <x v="0"/>
    <x v="0"/>
  </r>
  <r>
    <x v="1"/>
    <x v="3"/>
    <x v="18"/>
    <n v="87193"/>
    <x v="1"/>
    <x v="1"/>
  </r>
  <r>
    <x v="1"/>
    <x v="4"/>
    <x v="18"/>
    <n v="61"/>
    <x v="1"/>
    <x v="1"/>
  </r>
  <r>
    <x v="1"/>
    <x v="5"/>
    <x v="18"/>
    <n v="1667"/>
    <x v="1"/>
    <x v="1"/>
  </r>
  <r>
    <x v="1"/>
    <x v="6"/>
    <x v="18"/>
    <n v="0"/>
    <x v="2"/>
    <x v="0"/>
  </r>
  <r>
    <x v="1"/>
    <x v="7"/>
    <x v="18"/>
    <n v="0"/>
    <x v="2"/>
    <x v="0"/>
  </r>
  <r>
    <x v="1"/>
    <x v="8"/>
    <x v="18"/>
    <n v="0"/>
    <x v="2"/>
    <x v="0"/>
  </r>
  <r>
    <x v="1"/>
    <x v="9"/>
    <x v="18"/>
    <n v="0"/>
    <x v="2"/>
    <x v="0"/>
  </r>
  <r>
    <x v="1"/>
    <x v="10"/>
    <x v="18"/>
    <n v="106"/>
    <x v="3"/>
    <x v="0"/>
  </r>
  <r>
    <x v="1"/>
    <x v="11"/>
    <x v="18"/>
    <n v="4"/>
    <x v="3"/>
    <x v="0"/>
  </r>
  <r>
    <x v="1"/>
    <x v="12"/>
    <x v="18"/>
    <n v="1334"/>
    <x v="3"/>
    <x v="0"/>
  </r>
  <r>
    <x v="1"/>
    <x v="13"/>
    <x v="18"/>
    <n v="0"/>
    <x v="3"/>
    <x v="0"/>
  </r>
  <r>
    <x v="1"/>
    <x v="14"/>
    <x v="18"/>
    <n v="0"/>
    <x v="0"/>
    <x v="0"/>
  </r>
  <r>
    <x v="1"/>
    <x v="15"/>
    <x v="18"/>
    <n v="0"/>
    <x v="0"/>
    <x v="0"/>
  </r>
  <r>
    <x v="1"/>
    <x v="16"/>
    <x v="18"/>
    <n v="189739"/>
    <x v="4"/>
    <x v="1"/>
  </r>
  <r>
    <x v="1"/>
    <x v="17"/>
    <x v="18"/>
    <n v="5726"/>
    <x v="4"/>
    <x v="1"/>
  </r>
  <r>
    <x v="1"/>
    <x v="18"/>
    <x v="18"/>
    <n v="0"/>
    <x v="5"/>
    <x v="0"/>
  </r>
  <r>
    <x v="1"/>
    <x v="19"/>
    <x v="18"/>
    <n v="117"/>
    <x v="1"/>
    <x v="0"/>
  </r>
  <r>
    <x v="1"/>
    <x v="20"/>
    <x v="18"/>
    <n v="0"/>
    <x v="5"/>
    <x v="0"/>
  </r>
  <r>
    <x v="1"/>
    <x v="23"/>
    <x v="18"/>
    <n v="0"/>
    <x v="6"/>
    <x v="0"/>
  </r>
  <r>
    <x v="2"/>
    <x v="0"/>
    <x v="18"/>
    <n v="593515"/>
    <x v="0"/>
    <x v="0"/>
  </r>
  <r>
    <x v="2"/>
    <x v="1"/>
    <x v="18"/>
    <n v="15477625"/>
    <x v="1"/>
    <x v="0"/>
  </r>
  <r>
    <x v="2"/>
    <x v="2"/>
    <x v="18"/>
    <n v="61614"/>
    <x v="0"/>
    <x v="0"/>
  </r>
  <r>
    <x v="2"/>
    <x v="3"/>
    <x v="18"/>
    <n v="144363444"/>
    <x v="1"/>
    <x v="1"/>
  </r>
  <r>
    <x v="2"/>
    <x v="4"/>
    <x v="18"/>
    <n v="-29358"/>
    <x v="1"/>
    <x v="1"/>
  </r>
  <r>
    <x v="2"/>
    <x v="5"/>
    <x v="18"/>
    <n v="-3672374"/>
    <x v="1"/>
    <x v="1"/>
  </r>
  <r>
    <x v="2"/>
    <x v="6"/>
    <x v="18"/>
    <n v="260107"/>
    <x v="2"/>
    <x v="0"/>
  </r>
  <r>
    <x v="2"/>
    <x v="7"/>
    <x v="18"/>
    <n v="430759"/>
    <x v="2"/>
    <x v="0"/>
  </r>
  <r>
    <x v="2"/>
    <x v="8"/>
    <x v="18"/>
    <n v="67"/>
    <x v="2"/>
    <x v="0"/>
  </r>
  <r>
    <x v="2"/>
    <x v="9"/>
    <x v="18"/>
    <n v="54300"/>
    <x v="2"/>
    <x v="0"/>
  </r>
  <r>
    <x v="2"/>
    <x v="10"/>
    <x v="18"/>
    <n v="12854775"/>
    <x v="3"/>
    <x v="0"/>
  </r>
  <r>
    <x v="2"/>
    <x v="11"/>
    <x v="18"/>
    <n v="9787"/>
    <x v="3"/>
    <x v="0"/>
  </r>
  <r>
    <x v="2"/>
    <x v="12"/>
    <x v="18"/>
    <n v="24578817"/>
    <x v="3"/>
    <x v="0"/>
  </r>
  <r>
    <x v="2"/>
    <x v="13"/>
    <x v="18"/>
    <n v="8231"/>
    <x v="3"/>
    <x v="0"/>
  </r>
  <r>
    <x v="2"/>
    <x v="14"/>
    <x v="18"/>
    <n v="178452"/>
    <x v="0"/>
    <x v="0"/>
  </r>
  <r>
    <x v="2"/>
    <x v="15"/>
    <x v="18"/>
    <n v="0"/>
    <x v="0"/>
    <x v="0"/>
  </r>
  <r>
    <x v="2"/>
    <x v="16"/>
    <x v="18"/>
    <n v="338058278"/>
    <x v="4"/>
    <x v="1"/>
  </r>
  <r>
    <x v="2"/>
    <x v="17"/>
    <x v="18"/>
    <n v="-12753305"/>
    <x v="4"/>
    <x v="1"/>
  </r>
  <r>
    <x v="2"/>
    <x v="18"/>
    <x v="18"/>
    <n v="458192"/>
    <x v="5"/>
    <x v="0"/>
  </r>
  <r>
    <x v="2"/>
    <x v="19"/>
    <x v="18"/>
    <n v="7187193"/>
    <x v="1"/>
    <x v="0"/>
  </r>
  <r>
    <x v="2"/>
    <x v="20"/>
    <x v="18"/>
    <n v="217376"/>
    <x v="5"/>
    <x v="0"/>
  </r>
  <r>
    <x v="2"/>
    <x v="23"/>
    <x v="18"/>
    <n v="0"/>
    <x v="6"/>
    <x v="0"/>
  </r>
  <r>
    <x v="3"/>
    <x v="24"/>
    <x v="18"/>
    <n v="55.33"/>
    <x v="3"/>
    <x v="2"/>
  </r>
  <r>
    <x v="3"/>
    <x v="1"/>
    <x v="18"/>
    <n v="36.65"/>
    <x v="7"/>
    <x v="3"/>
  </r>
  <r>
    <x v="3"/>
    <x v="19"/>
    <x v="18"/>
    <n v="27.29"/>
    <x v="8"/>
    <x v="4"/>
  </r>
  <r>
    <x v="0"/>
    <x v="0"/>
    <x v="19"/>
    <n v="2410"/>
    <x v="0"/>
    <x v="0"/>
  </r>
  <r>
    <x v="0"/>
    <x v="1"/>
    <x v="19"/>
    <n v="112434"/>
    <x v="1"/>
    <x v="0"/>
  </r>
  <r>
    <x v="0"/>
    <x v="2"/>
    <x v="19"/>
    <n v="241"/>
    <x v="0"/>
    <x v="0"/>
  </r>
  <r>
    <x v="0"/>
    <x v="3"/>
    <x v="19"/>
    <n v="179"/>
    <x v="1"/>
    <x v="1"/>
  </r>
  <r>
    <x v="0"/>
    <x v="4"/>
    <x v="19"/>
    <n v="0"/>
    <x v="1"/>
    <x v="1"/>
  </r>
  <r>
    <x v="0"/>
    <x v="5"/>
    <x v="19"/>
    <n v="499"/>
    <x v="1"/>
    <x v="1"/>
  </r>
  <r>
    <x v="0"/>
    <x v="6"/>
    <x v="19"/>
    <n v="2913"/>
    <x v="2"/>
    <x v="0"/>
  </r>
  <r>
    <x v="0"/>
    <x v="7"/>
    <x v="19"/>
    <n v="3535"/>
    <x v="2"/>
    <x v="0"/>
  </r>
  <r>
    <x v="0"/>
    <x v="8"/>
    <x v="19"/>
    <n v="5"/>
    <x v="2"/>
    <x v="0"/>
  </r>
  <r>
    <x v="0"/>
    <x v="9"/>
    <x v="19"/>
    <n v="1032"/>
    <x v="2"/>
    <x v="0"/>
  </r>
  <r>
    <x v="0"/>
    <x v="10"/>
    <x v="19"/>
    <n v="47983"/>
    <x v="3"/>
    <x v="0"/>
  </r>
  <r>
    <x v="0"/>
    <x v="11"/>
    <x v="19"/>
    <n v="98"/>
    <x v="3"/>
    <x v="0"/>
  </r>
  <r>
    <x v="0"/>
    <x v="12"/>
    <x v="19"/>
    <n v="59772"/>
    <x v="3"/>
    <x v="0"/>
  </r>
  <r>
    <x v="0"/>
    <x v="13"/>
    <x v="19"/>
    <n v="788"/>
    <x v="3"/>
    <x v="0"/>
  </r>
  <r>
    <x v="0"/>
    <x v="14"/>
    <x v="19"/>
    <n v="136"/>
    <x v="0"/>
    <x v="0"/>
  </r>
  <r>
    <x v="0"/>
    <x v="15"/>
    <x v="19"/>
    <n v="0"/>
    <x v="0"/>
    <x v="0"/>
  </r>
  <r>
    <x v="0"/>
    <x v="16"/>
    <x v="19"/>
    <n v="4738"/>
    <x v="4"/>
    <x v="1"/>
  </r>
  <r>
    <x v="0"/>
    <x v="17"/>
    <x v="19"/>
    <n v="1314"/>
    <x v="4"/>
    <x v="1"/>
  </r>
  <r>
    <x v="0"/>
    <x v="18"/>
    <x v="19"/>
    <n v="45"/>
    <x v="5"/>
    <x v="0"/>
  </r>
  <r>
    <x v="0"/>
    <x v="19"/>
    <x v="19"/>
    <n v="53776"/>
    <x v="1"/>
    <x v="0"/>
  </r>
  <r>
    <x v="0"/>
    <x v="20"/>
    <x v="19"/>
    <n v="916"/>
    <x v="5"/>
    <x v="0"/>
  </r>
  <r>
    <x v="0"/>
    <x v="21"/>
    <x v="19"/>
    <n v="24872"/>
    <x v="2"/>
    <x v="0"/>
  </r>
  <r>
    <x v="0"/>
    <x v="22"/>
    <x v="19"/>
    <n v="0"/>
    <x v="2"/>
    <x v="0"/>
  </r>
  <r>
    <x v="0"/>
    <x v="23"/>
    <x v="19"/>
    <n v="0"/>
    <x v="6"/>
    <x v="0"/>
  </r>
  <r>
    <x v="1"/>
    <x v="0"/>
    <x v="19"/>
    <n v="0"/>
    <x v="0"/>
    <x v="0"/>
  </r>
  <r>
    <x v="1"/>
    <x v="1"/>
    <x v="19"/>
    <n v="3928"/>
    <x v="1"/>
    <x v="0"/>
  </r>
  <r>
    <x v="1"/>
    <x v="2"/>
    <x v="19"/>
    <n v="0"/>
    <x v="0"/>
    <x v="0"/>
  </r>
  <r>
    <x v="1"/>
    <x v="3"/>
    <x v="19"/>
    <n v="109990"/>
    <x v="1"/>
    <x v="1"/>
  </r>
  <r>
    <x v="1"/>
    <x v="4"/>
    <x v="19"/>
    <n v="18"/>
    <x v="1"/>
    <x v="1"/>
  </r>
  <r>
    <x v="1"/>
    <x v="5"/>
    <x v="19"/>
    <n v="1318"/>
    <x v="1"/>
    <x v="1"/>
  </r>
  <r>
    <x v="1"/>
    <x v="6"/>
    <x v="19"/>
    <n v="0"/>
    <x v="2"/>
    <x v="0"/>
  </r>
  <r>
    <x v="1"/>
    <x v="7"/>
    <x v="19"/>
    <n v="0"/>
    <x v="2"/>
    <x v="0"/>
  </r>
  <r>
    <x v="1"/>
    <x v="8"/>
    <x v="19"/>
    <n v="0"/>
    <x v="2"/>
    <x v="0"/>
  </r>
  <r>
    <x v="1"/>
    <x v="9"/>
    <x v="19"/>
    <n v="0"/>
    <x v="2"/>
    <x v="0"/>
  </r>
  <r>
    <x v="1"/>
    <x v="10"/>
    <x v="19"/>
    <n v="3"/>
    <x v="3"/>
    <x v="0"/>
  </r>
  <r>
    <x v="1"/>
    <x v="11"/>
    <x v="19"/>
    <n v="0"/>
    <x v="3"/>
    <x v="0"/>
  </r>
  <r>
    <x v="1"/>
    <x v="12"/>
    <x v="19"/>
    <n v="0"/>
    <x v="3"/>
    <x v="0"/>
  </r>
  <r>
    <x v="1"/>
    <x v="13"/>
    <x v="19"/>
    <n v="0"/>
    <x v="3"/>
    <x v="0"/>
  </r>
  <r>
    <x v="1"/>
    <x v="14"/>
    <x v="19"/>
    <n v="0"/>
    <x v="0"/>
    <x v="0"/>
  </r>
  <r>
    <x v="1"/>
    <x v="15"/>
    <x v="19"/>
    <n v="0"/>
    <x v="0"/>
    <x v="0"/>
  </r>
  <r>
    <x v="1"/>
    <x v="16"/>
    <x v="19"/>
    <n v="150464"/>
    <x v="4"/>
    <x v="1"/>
  </r>
  <r>
    <x v="1"/>
    <x v="17"/>
    <x v="19"/>
    <n v="5009"/>
    <x v="4"/>
    <x v="1"/>
  </r>
  <r>
    <x v="1"/>
    <x v="18"/>
    <x v="19"/>
    <n v="0"/>
    <x v="5"/>
    <x v="0"/>
  </r>
  <r>
    <x v="1"/>
    <x v="19"/>
    <x v="19"/>
    <n v="208"/>
    <x v="1"/>
    <x v="0"/>
  </r>
  <r>
    <x v="1"/>
    <x v="20"/>
    <x v="19"/>
    <n v="0"/>
    <x v="5"/>
    <x v="0"/>
  </r>
  <r>
    <x v="1"/>
    <x v="23"/>
    <x v="19"/>
    <n v="0"/>
    <x v="6"/>
    <x v="0"/>
  </r>
  <r>
    <x v="2"/>
    <x v="0"/>
    <x v="19"/>
    <n v="641800"/>
    <x v="0"/>
    <x v="0"/>
  </r>
  <r>
    <x v="2"/>
    <x v="1"/>
    <x v="19"/>
    <n v="16370864"/>
    <x v="1"/>
    <x v="0"/>
  </r>
  <r>
    <x v="2"/>
    <x v="2"/>
    <x v="19"/>
    <n v="67090"/>
    <x v="0"/>
    <x v="0"/>
  </r>
  <r>
    <x v="2"/>
    <x v="3"/>
    <x v="19"/>
    <n v="182674337"/>
    <x v="1"/>
    <x v="1"/>
  </r>
  <r>
    <x v="2"/>
    <x v="4"/>
    <x v="19"/>
    <n v="-11347"/>
    <x v="1"/>
    <x v="1"/>
  </r>
  <r>
    <x v="2"/>
    <x v="5"/>
    <x v="19"/>
    <n v="-4447782"/>
    <x v="1"/>
    <x v="1"/>
  </r>
  <r>
    <x v="2"/>
    <x v="6"/>
    <x v="19"/>
    <n v="350028"/>
    <x v="2"/>
    <x v="0"/>
  </r>
  <r>
    <x v="2"/>
    <x v="7"/>
    <x v="19"/>
    <n v="360119"/>
    <x v="2"/>
    <x v="0"/>
  </r>
  <r>
    <x v="2"/>
    <x v="8"/>
    <x v="19"/>
    <n v="580"/>
    <x v="2"/>
    <x v="0"/>
  </r>
  <r>
    <x v="2"/>
    <x v="9"/>
    <x v="19"/>
    <n v="37633"/>
    <x v="2"/>
    <x v="0"/>
  </r>
  <r>
    <x v="2"/>
    <x v="10"/>
    <x v="19"/>
    <n v="13932401"/>
    <x v="3"/>
    <x v="0"/>
  </r>
  <r>
    <x v="2"/>
    <x v="11"/>
    <x v="19"/>
    <n v="53494"/>
    <x v="3"/>
    <x v="0"/>
  </r>
  <r>
    <x v="2"/>
    <x v="12"/>
    <x v="19"/>
    <n v="19132482"/>
    <x v="3"/>
    <x v="0"/>
  </r>
  <r>
    <x v="2"/>
    <x v="13"/>
    <x v="19"/>
    <n v="347882"/>
    <x v="3"/>
    <x v="0"/>
  </r>
  <r>
    <x v="2"/>
    <x v="14"/>
    <x v="19"/>
    <n v="91497"/>
    <x v="0"/>
    <x v="0"/>
  </r>
  <r>
    <x v="2"/>
    <x v="15"/>
    <x v="19"/>
    <n v="0"/>
    <x v="0"/>
    <x v="0"/>
  </r>
  <r>
    <x v="2"/>
    <x v="16"/>
    <x v="19"/>
    <n v="262650168"/>
    <x v="4"/>
    <x v="1"/>
  </r>
  <r>
    <x v="2"/>
    <x v="17"/>
    <x v="19"/>
    <n v="-11222100"/>
    <x v="4"/>
    <x v="1"/>
  </r>
  <r>
    <x v="2"/>
    <x v="18"/>
    <x v="19"/>
    <n v="68331"/>
    <x v="5"/>
    <x v="0"/>
  </r>
  <r>
    <x v="2"/>
    <x v="19"/>
    <x v="19"/>
    <n v="6251613"/>
    <x v="1"/>
    <x v="0"/>
  </r>
  <r>
    <x v="2"/>
    <x v="20"/>
    <x v="19"/>
    <n v="168376"/>
    <x v="5"/>
    <x v="0"/>
  </r>
  <r>
    <x v="2"/>
    <x v="23"/>
    <x v="19"/>
    <n v="0"/>
    <x v="6"/>
    <x v="0"/>
  </r>
  <r>
    <x v="3"/>
    <x v="24"/>
    <x v="19"/>
    <n v="55.78"/>
    <x v="3"/>
    <x v="2"/>
  </r>
  <r>
    <x v="3"/>
    <x v="1"/>
    <x v="19"/>
    <n v="43.71"/>
    <x v="7"/>
    <x v="3"/>
  </r>
  <r>
    <x v="3"/>
    <x v="19"/>
    <x v="19"/>
    <n v="30.18"/>
    <x v="8"/>
    <x v="4"/>
  </r>
  <r>
    <x v="0"/>
    <x v="0"/>
    <x v="20"/>
    <n v="3097"/>
    <x v="0"/>
    <x v="0"/>
  </r>
  <r>
    <x v="0"/>
    <x v="1"/>
    <x v="20"/>
    <n v="126284"/>
    <x v="1"/>
    <x v="0"/>
  </r>
  <r>
    <x v="0"/>
    <x v="2"/>
    <x v="20"/>
    <n v="360"/>
    <x v="0"/>
    <x v="0"/>
  </r>
  <r>
    <x v="0"/>
    <x v="3"/>
    <x v="20"/>
    <n v="1553"/>
    <x v="1"/>
    <x v="1"/>
  </r>
  <r>
    <x v="0"/>
    <x v="4"/>
    <x v="20"/>
    <n v="0"/>
    <x v="1"/>
    <x v="1"/>
  </r>
  <r>
    <x v="0"/>
    <x v="5"/>
    <x v="20"/>
    <n v="749"/>
    <x v="1"/>
    <x v="1"/>
  </r>
  <r>
    <x v="0"/>
    <x v="6"/>
    <x v="20"/>
    <n v="4227"/>
    <x v="2"/>
    <x v="0"/>
  </r>
  <r>
    <x v="0"/>
    <x v="7"/>
    <x v="20"/>
    <n v="3590"/>
    <x v="2"/>
    <x v="0"/>
  </r>
  <r>
    <x v="0"/>
    <x v="8"/>
    <x v="20"/>
    <n v="7"/>
    <x v="2"/>
    <x v="0"/>
  </r>
  <r>
    <x v="0"/>
    <x v="9"/>
    <x v="20"/>
    <n v="1952"/>
    <x v="2"/>
    <x v="0"/>
  </r>
  <r>
    <x v="0"/>
    <x v="10"/>
    <x v="20"/>
    <n v="72658"/>
    <x v="3"/>
    <x v="0"/>
  </r>
  <r>
    <x v="0"/>
    <x v="11"/>
    <x v="20"/>
    <n v="0"/>
    <x v="3"/>
    <x v="0"/>
  </r>
  <r>
    <x v="0"/>
    <x v="12"/>
    <x v="20"/>
    <n v="73079"/>
    <x v="3"/>
    <x v="0"/>
  </r>
  <r>
    <x v="0"/>
    <x v="13"/>
    <x v="20"/>
    <n v="70"/>
    <x v="3"/>
    <x v="0"/>
  </r>
  <r>
    <x v="0"/>
    <x v="14"/>
    <x v="20"/>
    <n v="99"/>
    <x v="0"/>
    <x v="0"/>
  </r>
  <r>
    <x v="0"/>
    <x v="15"/>
    <x v="20"/>
    <n v="0"/>
    <x v="0"/>
    <x v="0"/>
  </r>
  <r>
    <x v="0"/>
    <x v="16"/>
    <x v="20"/>
    <n v="1354"/>
    <x v="4"/>
    <x v="1"/>
  </r>
  <r>
    <x v="0"/>
    <x v="17"/>
    <x v="20"/>
    <n v="1892"/>
    <x v="4"/>
    <x v="1"/>
  </r>
  <r>
    <x v="0"/>
    <x v="18"/>
    <x v="20"/>
    <n v="57"/>
    <x v="5"/>
    <x v="0"/>
  </r>
  <r>
    <x v="0"/>
    <x v="19"/>
    <x v="20"/>
    <n v="1167"/>
    <x v="1"/>
    <x v="0"/>
  </r>
  <r>
    <x v="0"/>
    <x v="20"/>
    <x v="20"/>
    <n v="720"/>
    <x v="5"/>
    <x v="0"/>
  </r>
  <r>
    <x v="0"/>
    <x v="21"/>
    <x v="20"/>
    <n v="24872"/>
    <x v="2"/>
    <x v="0"/>
  </r>
  <r>
    <x v="0"/>
    <x v="22"/>
    <x v="20"/>
    <n v="0"/>
    <x v="2"/>
    <x v="0"/>
  </r>
  <r>
    <x v="0"/>
    <x v="23"/>
    <x v="20"/>
    <n v="0"/>
    <x v="6"/>
    <x v="0"/>
  </r>
  <r>
    <x v="1"/>
    <x v="0"/>
    <x v="20"/>
    <n v="0"/>
    <x v="0"/>
    <x v="0"/>
  </r>
  <r>
    <x v="1"/>
    <x v="1"/>
    <x v="20"/>
    <n v="1445"/>
    <x v="1"/>
    <x v="0"/>
  </r>
  <r>
    <x v="1"/>
    <x v="2"/>
    <x v="20"/>
    <n v="0"/>
    <x v="0"/>
    <x v="0"/>
  </r>
  <r>
    <x v="1"/>
    <x v="3"/>
    <x v="20"/>
    <n v="106701"/>
    <x v="1"/>
    <x v="1"/>
  </r>
  <r>
    <x v="1"/>
    <x v="4"/>
    <x v="20"/>
    <n v="20"/>
    <x v="1"/>
    <x v="1"/>
  </r>
  <r>
    <x v="1"/>
    <x v="5"/>
    <x v="20"/>
    <n v="1121"/>
    <x v="1"/>
    <x v="1"/>
  </r>
  <r>
    <x v="1"/>
    <x v="6"/>
    <x v="20"/>
    <n v="0"/>
    <x v="2"/>
    <x v="0"/>
  </r>
  <r>
    <x v="1"/>
    <x v="7"/>
    <x v="20"/>
    <n v="0"/>
    <x v="2"/>
    <x v="0"/>
  </r>
  <r>
    <x v="1"/>
    <x v="8"/>
    <x v="20"/>
    <n v="0"/>
    <x v="2"/>
    <x v="0"/>
  </r>
  <r>
    <x v="1"/>
    <x v="9"/>
    <x v="20"/>
    <n v="0"/>
    <x v="2"/>
    <x v="0"/>
  </r>
  <r>
    <x v="1"/>
    <x v="10"/>
    <x v="20"/>
    <n v="6032"/>
    <x v="3"/>
    <x v="0"/>
  </r>
  <r>
    <x v="1"/>
    <x v="11"/>
    <x v="20"/>
    <n v="0"/>
    <x v="3"/>
    <x v="0"/>
  </r>
  <r>
    <x v="1"/>
    <x v="12"/>
    <x v="20"/>
    <n v="4652"/>
    <x v="3"/>
    <x v="0"/>
  </r>
  <r>
    <x v="1"/>
    <x v="13"/>
    <x v="20"/>
    <n v="788"/>
    <x v="3"/>
    <x v="0"/>
  </r>
  <r>
    <x v="1"/>
    <x v="14"/>
    <x v="20"/>
    <n v="0"/>
    <x v="0"/>
    <x v="0"/>
  </r>
  <r>
    <x v="1"/>
    <x v="15"/>
    <x v="20"/>
    <n v="0"/>
    <x v="0"/>
    <x v="0"/>
  </r>
  <r>
    <x v="1"/>
    <x v="16"/>
    <x v="20"/>
    <n v="219530"/>
    <x v="4"/>
    <x v="1"/>
  </r>
  <r>
    <x v="1"/>
    <x v="17"/>
    <x v="20"/>
    <n v="5410"/>
    <x v="4"/>
    <x v="1"/>
  </r>
  <r>
    <x v="1"/>
    <x v="18"/>
    <x v="20"/>
    <n v="0"/>
    <x v="5"/>
    <x v="0"/>
  </r>
  <r>
    <x v="1"/>
    <x v="19"/>
    <x v="20"/>
    <n v="302"/>
    <x v="1"/>
    <x v="0"/>
  </r>
  <r>
    <x v="1"/>
    <x v="20"/>
    <x v="20"/>
    <n v="0"/>
    <x v="5"/>
    <x v="0"/>
  </r>
  <r>
    <x v="1"/>
    <x v="23"/>
    <x v="20"/>
    <n v="0"/>
    <x v="6"/>
    <x v="0"/>
  </r>
  <r>
    <x v="2"/>
    <x v="0"/>
    <x v="20"/>
    <n v="674289"/>
    <x v="0"/>
    <x v="0"/>
  </r>
  <r>
    <x v="2"/>
    <x v="1"/>
    <x v="20"/>
    <n v="18513397"/>
    <x v="1"/>
    <x v="0"/>
  </r>
  <r>
    <x v="2"/>
    <x v="2"/>
    <x v="20"/>
    <n v="86146"/>
    <x v="0"/>
    <x v="0"/>
  </r>
  <r>
    <x v="2"/>
    <x v="3"/>
    <x v="20"/>
    <n v="174916666"/>
    <x v="1"/>
    <x v="1"/>
  </r>
  <r>
    <x v="2"/>
    <x v="4"/>
    <x v="20"/>
    <n v="-12518"/>
    <x v="1"/>
    <x v="1"/>
  </r>
  <r>
    <x v="2"/>
    <x v="5"/>
    <x v="20"/>
    <n v="-5946680"/>
    <x v="1"/>
    <x v="1"/>
  </r>
  <r>
    <x v="2"/>
    <x v="6"/>
    <x v="20"/>
    <n v="508364"/>
    <x v="2"/>
    <x v="0"/>
  </r>
  <r>
    <x v="2"/>
    <x v="7"/>
    <x v="20"/>
    <n v="362929"/>
    <x v="2"/>
    <x v="0"/>
  </r>
  <r>
    <x v="2"/>
    <x v="8"/>
    <x v="20"/>
    <n v="895"/>
    <x v="2"/>
    <x v="0"/>
  </r>
  <r>
    <x v="2"/>
    <x v="9"/>
    <x v="20"/>
    <n v="72090"/>
    <x v="2"/>
    <x v="0"/>
  </r>
  <r>
    <x v="2"/>
    <x v="10"/>
    <x v="20"/>
    <n v="19053482"/>
    <x v="3"/>
    <x v="0"/>
  </r>
  <r>
    <x v="2"/>
    <x v="11"/>
    <x v="20"/>
    <n v="-312"/>
    <x v="3"/>
    <x v="0"/>
  </r>
  <r>
    <x v="2"/>
    <x v="12"/>
    <x v="20"/>
    <n v="21871120"/>
    <x v="3"/>
    <x v="0"/>
  </r>
  <r>
    <x v="2"/>
    <x v="13"/>
    <x v="20"/>
    <n v="-316619"/>
    <x v="3"/>
    <x v="0"/>
  </r>
  <r>
    <x v="2"/>
    <x v="14"/>
    <x v="20"/>
    <n v="47369"/>
    <x v="0"/>
    <x v="0"/>
  </r>
  <r>
    <x v="2"/>
    <x v="15"/>
    <x v="20"/>
    <n v="0"/>
    <x v="0"/>
    <x v="0"/>
  </r>
  <r>
    <x v="2"/>
    <x v="16"/>
    <x v="20"/>
    <n v="393227227"/>
    <x v="4"/>
    <x v="1"/>
  </r>
  <r>
    <x v="2"/>
    <x v="17"/>
    <x v="20"/>
    <n v="-14941509"/>
    <x v="4"/>
    <x v="1"/>
  </r>
  <r>
    <x v="2"/>
    <x v="18"/>
    <x v="20"/>
    <n v="81833"/>
    <x v="5"/>
    <x v="0"/>
  </r>
  <r>
    <x v="2"/>
    <x v="19"/>
    <x v="20"/>
    <n v="206541"/>
    <x v="1"/>
    <x v="0"/>
  </r>
  <r>
    <x v="2"/>
    <x v="20"/>
    <x v="20"/>
    <n v="147499"/>
    <x v="5"/>
    <x v="0"/>
  </r>
  <r>
    <x v="2"/>
    <x v="23"/>
    <x v="20"/>
    <n v="0"/>
    <x v="6"/>
    <x v="0"/>
  </r>
  <r>
    <x v="3"/>
    <x v="24"/>
    <x v="20"/>
    <n v="55.03"/>
    <x v="3"/>
    <x v="2"/>
  </r>
  <r>
    <x v="3"/>
    <x v="1"/>
    <x v="20"/>
    <n v="42.81"/>
    <x v="7"/>
    <x v="3"/>
  </r>
  <r>
    <x v="3"/>
    <x v="19"/>
    <x v="20"/>
    <n v="64.48"/>
    <x v="8"/>
    <x v="4"/>
  </r>
  <r>
    <x v="0"/>
    <x v="0"/>
    <x v="21"/>
    <n v="3312"/>
    <x v="0"/>
    <x v="0"/>
  </r>
  <r>
    <x v="0"/>
    <x v="1"/>
    <x v="21"/>
    <n v="126047"/>
    <x v="1"/>
    <x v="0"/>
  </r>
  <r>
    <x v="0"/>
    <x v="2"/>
    <x v="21"/>
    <n v="312"/>
    <x v="0"/>
    <x v="0"/>
  </r>
  <r>
    <x v="0"/>
    <x v="3"/>
    <x v="21"/>
    <n v="2354"/>
    <x v="1"/>
    <x v="1"/>
  </r>
  <r>
    <x v="0"/>
    <x v="4"/>
    <x v="21"/>
    <n v="5"/>
    <x v="1"/>
    <x v="1"/>
  </r>
  <r>
    <x v="0"/>
    <x v="5"/>
    <x v="21"/>
    <n v="611"/>
    <x v="1"/>
    <x v="1"/>
  </r>
  <r>
    <x v="0"/>
    <x v="6"/>
    <x v="21"/>
    <n v="4766"/>
    <x v="2"/>
    <x v="0"/>
  </r>
  <r>
    <x v="0"/>
    <x v="7"/>
    <x v="21"/>
    <n v="3802"/>
    <x v="2"/>
    <x v="0"/>
  </r>
  <r>
    <x v="0"/>
    <x v="8"/>
    <x v="21"/>
    <n v="5"/>
    <x v="2"/>
    <x v="0"/>
  </r>
  <r>
    <x v="0"/>
    <x v="9"/>
    <x v="21"/>
    <n v="1818"/>
    <x v="2"/>
    <x v="0"/>
  </r>
  <r>
    <x v="0"/>
    <x v="10"/>
    <x v="21"/>
    <n v="98924"/>
    <x v="3"/>
    <x v="0"/>
  </r>
  <r>
    <x v="0"/>
    <x v="11"/>
    <x v="21"/>
    <n v="0"/>
    <x v="3"/>
    <x v="0"/>
  </r>
  <r>
    <x v="0"/>
    <x v="12"/>
    <x v="21"/>
    <n v="29552"/>
    <x v="3"/>
    <x v="0"/>
  </r>
  <r>
    <x v="0"/>
    <x v="13"/>
    <x v="21"/>
    <n v="0"/>
    <x v="3"/>
    <x v="0"/>
  </r>
  <r>
    <x v="0"/>
    <x v="14"/>
    <x v="21"/>
    <n v="113"/>
    <x v="0"/>
    <x v="0"/>
  </r>
  <r>
    <x v="0"/>
    <x v="15"/>
    <x v="21"/>
    <n v="0"/>
    <x v="0"/>
    <x v="0"/>
  </r>
  <r>
    <x v="0"/>
    <x v="16"/>
    <x v="21"/>
    <n v="362"/>
    <x v="4"/>
    <x v="1"/>
  </r>
  <r>
    <x v="0"/>
    <x v="17"/>
    <x v="21"/>
    <n v="1509"/>
    <x v="4"/>
    <x v="1"/>
  </r>
  <r>
    <x v="0"/>
    <x v="18"/>
    <x v="21"/>
    <n v="107"/>
    <x v="5"/>
    <x v="0"/>
  </r>
  <r>
    <x v="0"/>
    <x v="19"/>
    <x v="21"/>
    <n v="29176"/>
    <x v="1"/>
    <x v="0"/>
  </r>
  <r>
    <x v="0"/>
    <x v="20"/>
    <x v="21"/>
    <n v="936"/>
    <x v="5"/>
    <x v="0"/>
  </r>
  <r>
    <x v="0"/>
    <x v="21"/>
    <x v="21"/>
    <n v="24872"/>
    <x v="2"/>
    <x v="0"/>
  </r>
  <r>
    <x v="0"/>
    <x v="22"/>
    <x v="21"/>
    <n v="0"/>
    <x v="2"/>
    <x v="0"/>
  </r>
  <r>
    <x v="0"/>
    <x v="23"/>
    <x v="21"/>
    <n v="0"/>
    <x v="6"/>
    <x v="0"/>
  </r>
  <r>
    <x v="1"/>
    <x v="0"/>
    <x v="21"/>
    <n v="0"/>
    <x v="0"/>
    <x v="0"/>
  </r>
  <r>
    <x v="1"/>
    <x v="1"/>
    <x v="21"/>
    <n v="3193"/>
    <x v="1"/>
    <x v="0"/>
  </r>
  <r>
    <x v="1"/>
    <x v="2"/>
    <x v="21"/>
    <n v="0"/>
    <x v="0"/>
    <x v="0"/>
  </r>
  <r>
    <x v="1"/>
    <x v="3"/>
    <x v="21"/>
    <n v="109403"/>
    <x v="1"/>
    <x v="1"/>
  </r>
  <r>
    <x v="1"/>
    <x v="4"/>
    <x v="21"/>
    <n v="56"/>
    <x v="1"/>
    <x v="1"/>
  </r>
  <r>
    <x v="1"/>
    <x v="5"/>
    <x v="21"/>
    <n v="1136"/>
    <x v="1"/>
    <x v="1"/>
  </r>
  <r>
    <x v="1"/>
    <x v="6"/>
    <x v="21"/>
    <n v="0"/>
    <x v="2"/>
    <x v="0"/>
  </r>
  <r>
    <x v="1"/>
    <x v="7"/>
    <x v="21"/>
    <n v="0"/>
    <x v="2"/>
    <x v="0"/>
  </r>
  <r>
    <x v="1"/>
    <x v="8"/>
    <x v="21"/>
    <n v="0"/>
    <x v="2"/>
    <x v="0"/>
  </r>
  <r>
    <x v="1"/>
    <x v="9"/>
    <x v="21"/>
    <n v="0"/>
    <x v="2"/>
    <x v="0"/>
  </r>
  <r>
    <x v="1"/>
    <x v="10"/>
    <x v="21"/>
    <n v="1252"/>
    <x v="3"/>
    <x v="0"/>
  </r>
  <r>
    <x v="1"/>
    <x v="11"/>
    <x v="21"/>
    <n v="0"/>
    <x v="3"/>
    <x v="0"/>
  </r>
  <r>
    <x v="1"/>
    <x v="12"/>
    <x v="21"/>
    <n v="3455"/>
    <x v="3"/>
    <x v="0"/>
  </r>
  <r>
    <x v="1"/>
    <x v="13"/>
    <x v="21"/>
    <n v="0"/>
    <x v="3"/>
    <x v="0"/>
  </r>
  <r>
    <x v="1"/>
    <x v="14"/>
    <x v="21"/>
    <n v="0"/>
    <x v="0"/>
    <x v="0"/>
  </r>
  <r>
    <x v="1"/>
    <x v="15"/>
    <x v="21"/>
    <n v="0"/>
    <x v="0"/>
    <x v="0"/>
  </r>
  <r>
    <x v="1"/>
    <x v="16"/>
    <x v="21"/>
    <n v="177531"/>
    <x v="4"/>
    <x v="1"/>
  </r>
  <r>
    <x v="1"/>
    <x v="17"/>
    <x v="21"/>
    <n v="5339"/>
    <x v="4"/>
    <x v="1"/>
  </r>
  <r>
    <x v="1"/>
    <x v="18"/>
    <x v="21"/>
    <n v="0"/>
    <x v="5"/>
    <x v="0"/>
  </r>
  <r>
    <x v="1"/>
    <x v="19"/>
    <x v="21"/>
    <n v="141"/>
    <x v="1"/>
    <x v="0"/>
  </r>
  <r>
    <x v="1"/>
    <x v="20"/>
    <x v="21"/>
    <n v="0"/>
    <x v="5"/>
    <x v="0"/>
  </r>
  <r>
    <x v="1"/>
    <x v="23"/>
    <x v="21"/>
    <n v="0"/>
    <x v="6"/>
    <x v="0"/>
  </r>
  <r>
    <x v="2"/>
    <x v="0"/>
    <x v="21"/>
    <n v="720233"/>
    <x v="0"/>
    <x v="0"/>
  </r>
  <r>
    <x v="2"/>
    <x v="1"/>
    <x v="21"/>
    <n v="18868338"/>
    <x v="1"/>
    <x v="0"/>
  </r>
  <r>
    <x v="2"/>
    <x v="2"/>
    <x v="21"/>
    <n v="74656"/>
    <x v="0"/>
    <x v="0"/>
  </r>
  <r>
    <x v="2"/>
    <x v="3"/>
    <x v="21"/>
    <n v="178080356"/>
    <x v="1"/>
    <x v="1"/>
  </r>
  <r>
    <x v="2"/>
    <x v="4"/>
    <x v="21"/>
    <n v="-24341"/>
    <x v="1"/>
    <x v="1"/>
  </r>
  <r>
    <x v="2"/>
    <x v="5"/>
    <x v="21"/>
    <n v="-5067567"/>
    <x v="1"/>
    <x v="1"/>
  </r>
  <r>
    <x v="2"/>
    <x v="6"/>
    <x v="21"/>
    <n v="573391"/>
    <x v="2"/>
    <x v="0"/>
  </r>
  <r>
    <x v="2"/>
    <x v="7"/>
    <x v="21"/>
    <n v="388137"/>
    <x v="2"/>
    <x v="0"/>
  </r>
  <r>
    <x v="2"/>
    <x v="8"/>
    <x v="21"/>
    <n v="625"/>
    <x v="2"/>
    <x v="0"/>
  </r>
  <r>
    <x v="2"/>
    <x v="9"/>
    <x v="21"/>
    <n v="67128"/>
    <x v="2"/>
    <x v="0"/>
  </r>
  <r>
    <x v="2"/>
    <x v="10"/>
    <x v="21"/>
    <n v="27292139"/>
    <x v="3"/>
    <x v="0"/>
  </r>
  <r>
    <x v="2"/>
    <x v="11"/>
    <x v="21"/>
    <n v="0"/>
    <x v="3"/>
    <x v="0"/>
  </r>
  <r>
    <x v="2"/>
    <x v="12"/>
    <x v="21"/>
    <n v="8254879"/>
    <x v="3"/>
    <x v="0"/>
  </r>
  <r>
    <x v="2"/>
    <x v="13"/>
    <x v="21"/>
    <n v="0"/>
    <x v="3"/>
    <x v="0"/>
  </r>
  <r>
    <x v="2"/>
    <x v="14"/>
    <x v="21"/>
    <n v="53691"/>
    <x v="0"/>
    <x v="0"/>
  </r>
  <r>
    <x v="2"/>
    <x v="15"/>
    <x v="21"/>
    <n v="0"/>
    <x v="0"/>
    <x v="0"/>
  </r>
  <r>
    <x v="2"/>
    <x v="16"/>
    <x v="21"/>
    <n v="319318522"/>
    <x v="4"/>
    <x v="1"/>
  </r>
  <r>
    <x v="2"/>
    <x v="17"/>
    <x v="21"/>
    <n v="-14209197"/>
    <x v="4"/>
    <x v="1"/>
  </r>
  <r>
    <x v="2"/>
    <x v="18"/>
    <x v="21"/>
    <n v="141995"/>
    <x v="5"/>
    <x v="0"/>
  </r>
  <r>
    <x v="2"/>
    <x v="19"/>
    <x v="21"/>
    <n v="3942228"/>
    <x v="1"/>
    <x v="0"/>
  </r>
  <r>
    <x v="2"/>
    <x v="20"/>
    <x v="21"/>
    <n v="191566"/>
    <x v="5"/>
    <x v="0"/>
  </r>
  <r>
    <x v="2"/>
    <x v="23"/>
    <x v="21"/>
    <n v="0"/>
    <x v="6"/>
    <x v="0"/>
  </r>
  <r>
    <x v="3"/>
    <x v="24"/>
    <x v="21"/>
    <n v="52.89"/>
    <x v="3"/>
    <x v="2"/>
  </r>
  <r>
    <x v="3"/>
    <x v="1"/>
    <x v="21"/>
    <n v="44.65"/>
    <x v="7"/>
    <x v="3"/>
  </r>
  <r>
    <x v="3"/>
    <x v="19"/>
    <x v="21"/>
    <n v="39.46"/>
    <x v="8"/>
    <x v="4"/>
  </r>
  <r>
    <x v="0"/>
    <x v="0"/>
    <x v="22"/>
    <n v="3226"/>
    <x v="0"/>
    <x v="0"/>
  </r>
  <r>
    <x v="0"/>
    <x v="1"/>
    <x v="22"/>
    <n v="101684"/>
    <x v="1"/>
    <x v="0"/>
  </r>
  <r>
    <x v="0"/>
    <x v="2"/>
    <x v="22"/>
    <n v="0"/>
    <x v="0"/>
    <x v="0"/>
  </r>
  <r>
    <x v="0"/>
    <x v="3"/>
    <x v="22"/>
    <n v="293"/>
    <x v="1"/>
    <x v="1"/>
  </r>
  <r>
    <x v="0"/>
    <x v="4"/>
    <x v="22"/>
    <n v="0"/>
    <x v="1"/>
    <x v="1"/>
  </r>
  <r>
    <x v="0"/>
    <x v="5"/>
    <x v="22"/>
    <n v="1882"/>
    <x v="1"/>
    <x v="1"/>
  </r>
  <r>
    <x v="0"/>
    <x v="6"/>
    <x v="22"/>
    <n v="15354"/>
    <x v="2"/>
    <x v="0"/>
  </r>
  <r>
    <x v="0"/>
    <x v="7"/>
    <x v="22"/>
    <n v="2904"/>
    <x v="2"/>
    <x v="0"/>
  </r>
  <r>
    <x v="0"/>
    <x v="8"/>
    <x v="22"/>
    <n v="5"/>
    <x v="2"/>
    <x v="0"/>
  </r>
  <r>
    <x v="0"/>
    <x v="9"/>
    <x v="22"/>
    <n v="1901"/>
    <x v="2"/>
    <x v="0"/>
  </r>
  <r>
    <x v="0"/>
    <x v="10"/>
    <x v="22"/>
    <n v="79497"/>
    <x v="3"/>
    <x v="0"/>
  </r>
  <r>
    <x v="0"/>
    <x v="11"/>
    <x v="22"/>
    <n v="0"/>
    <x v="3"/>
    <x v="0"/>
  </r>
  <r>
    <x v="0"/>
    <x v="12"/>
    <x v="22"/>
    <n v="30850"/>
    <x v="3"/>
    <x v="0"/>
  </r>
  <r>
    <x v="0"/>
    <x v="13"/>
    <x v="22"/>
    <n v="0"/>
    <x v="3"/>
    <x v="0"/>
  </r>
  <r>
    <x v="0"/>
    <x v="14"/>
    <x v="22"/>
    <n v="302"/>
    <x v="0"/>
    <x v="0"/>
  </r>
  <r>
    <x v="0"/>
    <x v="15"/>
    <x v="22"/>
    <n v="0"/>
    <x v="0"/>
    <x v="0"/>
  </r>
  <r>
    <x v="0"/>
    <x v="16"/>
    <x v="22"/>
    <n v="0"/>
    <x v="4"/>
    <x v="1"/>
  </r>
  <r>
    <x v="0"/>
    <x v="17"/>
    <x v="22"/>
    <n v="5053"/>
    <x v="4"/>
    <x v="1"/>
  </r>
  <r>
    <x v="0"/>
    <x v="18"/>
    <x v="22"/>
    <n v="1319"/>
    <x v="5"/>
    <x v="0"/>
  </r>
  <r>
    <x v="0"/>
    <x v="19"/>
    <x v="22"/>
    <n v="43742"/>
    <x v="1"/>
    <x v="0"/>
  </r>
  <r>
    <x v="0"/>
    <x v="20"/>
    <x v="22"/>
    <n v="0"/>
    <x v="5"/>
    <x v="0"/>
  </r>
  <r>
    <x v="0"/>
    <x v="21"/>
    <x v="22"/>
    <n v="21286.5"/>
    <x v="2"/>
    <x v="0"/>
  </r>
  <r>
    <x v="0"/>
    <x v="22"/>
    <x v="22"/>
    <n v="11709"/>
    <x v="2"/>
    <x v="0"/>
  </r>
  <r>
    <x v="0"/>
    <x v="23"/>
    <x v="22"/>
    <n v="115"/>
    <x v="6"/>
    <x v="0"/>
  </r>
  <r>
    <x v="1"/>
    <x v="0"/>
    <x v="22"/>
    <n v="0"/>
    <x v="0"/>
    <x v="0"/>
  </r>
  <r>
    <x v="1"/>
    <x v="1"/>
    <x v="22"/>
    <n v="1007"/>
    <x v="1"/>
    <x v="0"/>
  </r>
  <r>
    <x v="1"/>
    <x v="2"/>
    <x v="22"/>
    <n v="0"/>
    <x v="0"/>
    <x v="0"/>
  </r>
  <r>
    <x v="1"/>
    <x v="3"/>
    <x v="22"/>
    <n v="136683"/>
    <x v="1"/>
    <x v="1"/>
  </r>
  <r>
    <x v="1"/>
    <x v="4"/>
    <x v="22"/>
    <n v="71"/>
    <x v="1"/>
    <x v="1"/>
  </r>
  <r>
    <x v="1"/>
    <x v="5"/>
    <x v="22"/>
    <n v="1577"/>
    <x v="1"/>
    <x v="1"/>
  </r>
  <r>
    <x v="1"/>
    <x v="6"/>
    <x v="22"/>
    <n v="0"/>
    <x v="2"/>
    <x v="0"/>
  </r>
  <r>
    <x v="1"/>
    <x v="7"/>
    <x v="22"/>
    <n v="0"/>
    <x v="2"/>
    <x v="0"/>
  </r>
  <r>
    <x v="1"/>
    <x v="8"/>
    <x v="22"/>
    <n v="0"/>
    <x v="2"/>
    <x v="0"/>
  </r>
  <r>
    <x v="1"/>
    <x v="9"/>
    <x v="22"/>
    <n v="0"/>
    <x v="2"/>
    <x v="0"/>
  </r>
  <r>
    <x v="1"/>
    <x v="10"/>
    <x v="22"/>
    <n v="1528"/>
    <x v="3"/>
    <x v="0"/>
  </r>
  <r>
    <x v="1"/>
    <x v="11"/>
    <x v="22"/>
    <n v="0"/>
    <x v="3"/>
    <x v="0"/>
  </r>
  <r>
    <x v="1"/>
    <x v="12"/>
    <x v="22"/>
    <n v="149"/>
    <x v="3"/>
    <x v="0"/>
  </r>
  <r>
    <x v="1"/>
    <x v="13"/>
    <x v="22"/>
    <n v="0"/>
    <x v="3"/>
    <x v="0"/>
  </r>
  <r>
    <x v="1"/>
    <x v="14"/>
    <x v="22"/>
    <n v="0"/>
    <x v="0"/>
    <x v="0"/>
  </r>
  <r>
    <x v="1"/>
    <x v="15"/>
    <x v="22"/>
    <n v="0"/>
    <x v="0"/>
    <x v="0"/>
  </r>
  <r>
    <x v="1"/>
    <x v="16"/>
    <x v="22"/>
    <n v="228468"/>
    <x v="4"/>
    <x v="1"/>
  </r>
  <r>
    <x v="1"/>
    <x v="17"/>
    <x v="22"/>
    <n v="6828"/>
    <x v="4"/>
    <x v="1"/>
  </r>
  <r>
    <x v="1"/>
    <x v="18"/>
    <x v="22"/>
    <n v="0"/>
    <x v="5"/>
    <x v="0"/>
  </r>
  <r>
    <x v="1"/>
    <x v="19"/>
    <x v="22"/>
    <n v="15423"/>
    <x v="1"/>
    <x v="0"/>
  </r>
  <r>
    <x v="1"/>
    <x v="20"/>
    <x v="22"/>
    <n v="0"/>
    <x v="5"/>
    <x v="0"/>
  </r>
  <r>
    <x v="1"/>
    <x v="23"/>
    <x v="22"/>
    <n v="0"/>
    <x v="6"/>
    <x v="0"/>
  </r>
  <r>
    <x v="2"/>
    <x v="0"/>
    <x v="22"/>
    <n v="685786"/>
    <x v="0"/>
    <x v="0"/>
  </r>
  <r>
    <x v="2"/>
    <x v="1"/>
    <x v="22"/>
    <n v="15337173"/>
    <x v="1"/>
    <x v="0"/>
  </r>
  <r>
    <x v="2"/>
    <x v="2"/>
    <x v="22"/>
    <n v="0"/>
    <x v="0"/>
    <x v="0"/>
  </r>
  <r>
    <x v="2"/>
    <x v="3"/>
    <x v="22"/>
    <n v="186093683"/>
    <x v="1"/>
    <x v="1"/>
  </r>
  <r>
    <x v="2"/>
    <x v="4"/>
    <x v="22"/>
    <n v="-49197"/>
    <x v="1"/>
    <x v="1"/>
  </r>
  <r>
    <x v="2"/>
    <x v="5"/>
    <x v="22"/>
    <n v="-5896193"/>
    <x v="1"/>
    <x v="1"/>
  </r>
  <r>
    <x v="2"/>
    <x v="6"/>
    <x v="22"/>
    <n v="589145"/>
    <x v="2"/>
    <x v="0"/>
  </r>
  <r>
    <x v="2"/>
    <x v="7"/>
    <x v="22"/>
    <n v="376080"/>
    <x v="2"/>
    <x v="0"/>
  </r>
  <r>
    <x v="2"/>
    <x v="8"/>
    <x v="22"/>
    <n v="466"/>
    <x v="2"/>
    <x v="0"/>
  </r>
  <r>
    <x v="2"/>
    <x v="9"/>
    <x v="22"/>
    <n v="74857"/>
    <x v="2"/>
    <x v="0"/>
  </r>
  <r>
    <x v="2"/>
    <x v="10"/>
    <x v="22"/>
    <n v="22585155"/>
    <x v="3"/>
    <x v="0"/>
  </r>
  <r>
    <x v="2"/>
    <x v="11"/>
    <x v="22"/>
    <n v="0"/>
    <x v="3"/>
    <x v="0"/>
  </r>
  <r>
    <x v="2"/>
    <x v="12"/>
    <x v="22"/>
    <n v="9870790"/>
    <x v="3"/>
    <x v="0"/>
  </r>
  <r>
    <x v="2"/>
    <x v="13"/>
    <x v="22"/>
    <n v="0"/>
    <x v="3"/>
    <x v="0"/>
  </r>
  <r>
    <x v="2"/>
    <x v="14"/>
    <x v="22"/>
    <n v="143046"/>
    <x v="0"/>
    <x v="0"/>
  </r>
  <r>
    <x v="2"/>
    <x v="15"/>
    <x v="22"/>
    <n v="0"/>
    <x v="0"/>
    <x v="0"/>
  </r>
  <r>
    <x v="2"/>
    <x v="16"/>
    <x v="22"/>
    <n v="338537031"/>
    <x v="4"/>
    <x v="1"/>
  </r>
  <r>
    <x v="2"/>
    <x v="17"/>
    <x v="22"/>
    <n v="-14338164"/>
    <x v="4"/>
    <x v="1"/>
  </r>
  <r>
    <x v="2"/>
    <x v="18"/>
    <x v="22"/>
    <n v="419595"/>
    <x v="5"/>
    <x v="0"/>
  </r>
  <r>
    <x v="2"/>
    <x v="19"/>
    <x v="22"/>
    <n v="6944201"/>
    <x v="1"/>
    <x v="0"/>
  </r>
  <r>
    <x v="2"/>
    <x v="20"/>
    <x v="22"/>
    <n v="0"/>
    <x v="5"/>
    <x v="0"/>
  </r>
  <r>
    <x v="2"/>
    <x v="23"/>
    <x v="22"/>
    <n v="21110"/>
    <x v="6"/>
    <x v="0"/>
  </r>
  <r>
    <x v="3"/>
    <x v="24"/>
    <x v="22"/>
    <n v="53.55"/>
    <x v="3"/>
    <x v="2"/>
  </r>
  <r>
    <x v="3"/>
    <x v="1"/>
    <x v="22"/>
    <n v="43.25"/>
    <x v="7"/>
    <x v="3"/>
  </r>
  <r>
    <x v="3"/>
    <x v="19"/>
    <x v="22"/>
    <n v="63.83"/>
    <x v="8"/>
    <x v="4"/>
  </r>
  <r>
    <x v="0"/>
    <x v="0"/>
    <x v="23"/>
    <n v="4234"/>
    <x v="0"/>
    <x v="0"/>
  </r>
  <r>
    <x v="0"/>
    <x v="1"/>
    <x v="23"/>
    <n v="141371"/>
    <x v="1"/>
    <x v="0"/>
  </r>
  <r>
    <x v="0"/>
    <x v="2"/>
    <x v="23"/>
    <n v="0"/>
    <x v="0"/>
    <x v="0"/>
  </r>
  <r>
    <x v="0"/>
    <x v="3"/>
    <x v="23"/>
    <n v="314"/>
    <x v="1"/>
    <x v="1"/>
  </r>
  <r>
    <x v="0"/>
    <x v="4"/>
    <x v="23"/>
    <n v="0"/>
    <x v="1"/>
    <x v="1"/>
  </r>
  <r>
    <x v="0"/>
    <x v="5"/>
    <x v="23"/>
    <n v="1958"/>
    <x v="1"/>
    <x v="1"/>
  </r>
  <r>
    <x v="0"/>
    <x v="6"/>
    <x v="23"/>
    <n v="20456"/>
    <x v="2"/>
    <x v="0"/>
  </r>
  <r>
    <x v="0"/>
    <x v="7"/>
    <x v="23"/>
    <n v="3044"/>
    <x v="2"/>
    <x v="0"/>
  </r>
  <r>
    <x v="0"/>
    <x v="8"/>
    <x v="23"/>
    <n v="4802"/>
    <x v="2"/>
    <x v="0"/>
  </r>
  <r>
    <x v="0"/>
    <x v="9"/>
    <x v="23"/>
    <n v="2687"/>
    <x v="2"/>
    <x v="0"/>
  </r>
  <r>
    <x v="0"/>
    <x v="10"/>
    <x v="23"/>
    <n v="120639"/>
    <x v="3"/>
    <x v="0"/>
  </r>
  <r>
    <x v="0"/>
    <x v="11"/>
    <x v="23"/>
    <n v="0"/>
    <x v="3"/>
    <x v="0"/>
  </r>
  <r>
    <x v="0"/>
    <x v="12"/>
    <x v="23"/>
    <n v="30190"/>
    <x v="3"/>
    <x v="0"/>
  </r>
  <r>
    <x v="0"/>
    <x v="13"/>
    <x v="23"/>
    <n v="0"/>
    <x v="3"/>
    <x v="0"/>
  </r>
  <r>
    <x v="0"/>
    <x v="14"/>
    <x v="23"/>
    <n v="284"/>
    <x v="0"/>
    <x v="0"/>
  </r>
  <r>
    <x v="0"/>
    <x v="15"/>
    <x v="23"/>
    <n v="0"/>
    <x v="0"/>
    <x v="0"/>
  </r>
  <r>
    <x v="0"/>
    <x v="16"/>
    <x v="23"/>
    <n v="6892"/>
    <x v="4"/>
    <x v="1"/>
  </r>
  <r>
    <x v="0"/>
    <x v="17"/>
    <x v="23"/>
    <n v="6402"/>
    <x v="4"/>
    <x v="1"/>
  </r>
  <r>
    <x v="0"/>
    <x v="18"/>
    <x v="23"/>
    <n v="1410"/>
    <x v="5"/>
    <x v="0"/>
  </r>
  <r>
    <x v="0"/>
    <x v="19"/>
    <x v="23"/>
    <n v="41123"/>
    <x v="1"/>
    <x v="0"/>
  </r>
  <r>
    <x v="0"/>
    <x v="20"/>
    <x v="23"/>
    <n v="0"/>
    <x v="5"/>
    <x v="0"/>
  </r>
  <r>
    <x v="0"/>
    <x v="21"/>
    <x v="23"/>
    <n v="21286.5"/>
    <x v="2"/>
    <x v="0"/>
  </r>
  <r>
    <x v="0"/>
    <x v="22"/>
    <x v="23"/>
    <n v="11709"/>
    <x v="2"/>
    <x v="0"/>
  </r>
  <r>
    <x v="0"/>
    <x v="23"/>
    <x v="23"/>
    <n v="127"/>
    <x v="6"/>
    <x v="0"/>
  </r>
  <r>
    <x v="1"/>
    <x v="0"/>
    <x v="23"/>
    <n v="0"/>
    <x v="0"/>
    <x v="0"/>
  </r>
  <r>
    <x v="1"/>
    <x v="1"/>
    <x v="23"/>
    <n v="220"/>
    <x v="1"/>
    <x v="0"/>
  </r>
  <r>
    <x v="1"/>
    <x v="2"/>
    <x v="23"/>
    <n v="0"/>
    <x v="0"/>
    <x v="0"/>
  </r>
  <r>
    <x v="1"/>
    <x v="3"/>
    <x v="23"/>
    <n v="136860"/>
    <x v="1"/>
    <x v="1"/>
  </r>
  <r>
    <x v="1"/>
    <x v="4"/>
    <x v="23"/>
    <n v="161"/>
    <x v="1"/>
    <x v="1"/>
  </r>
  <r>
    <x v="1"/>
    <x v="5"/>
    <x v="23"/>
    <n v="2233"/>
    <x v="1"/>
    <x v="1"/>
  </r>
  <r>
    <x v="1"/>
    <x v="6"/>
    <x v="23"/>
    <n v="0"/>
    <x v="2"/>
    <x v="0"/>
  </r>
  <r>
    <x v="1"/>
    <x v="7"/>
    <x v="23"/>
    <n v="0"/>
    <x v="2"/>
    <x v="0"/>
  </r>
  <r>
    <x v="1"/>
    <x v="8"/>
    <x v="23"/>
    <n v="0"/>
    <x v="2"/>
    <x v="0"/>
  </r>
  <r>
    <x v="1"/>
    <x v="9"/>
    <x v="23"/>
    <n v="0"/>
    <x v="2"/>
    <x v="0"/>
  </r>
  <r>
    <x v="1"/>
    <x v="10"/>
    <x v="23"/>
    <n v="0"/>
    <x v="3"/>
    <x v="0"/>
  </r>
  <r>
    <x v="1"/>
    <x v="11"/>
    <x v="23"/>
    <n v="0"/>
    <x v="3"/>
    <x v="0"/>
  </r>
  <r>
    <x v="1"/>
    <x v="12"/>
    <x v="23"/>
    <n v="89"/>
    <x v="3"/>
    <x v="0"/>
  </r>
  <r>
    <x v="1"/>
    <x v="13"/>
    <x v="23"/>
    <n v="0"/>
    <x v="3"/>
    <x v="0"/>
  </r>
  <r>
    <x v="1"/>
    <x v="14"/>
    <x v="23"/>
    <n v="0"/>
    <x v="0"/>
    <x v="0"/>
  </r>
  <r>
    <x v="1"/>
    <x v="15"/>
    <x v="23"/>
    <n v="0"/>
    <x v="0"/>
    <x v="0"/>
  </r>
  <r>
    <x v="1"/>
    <x v="16"/>
    <x v="23"/>
    <n v="232984"/>
    <x v="4"/>
    <x v="1"/>
  </r>
  <r>
    <x v="1"/>
    <x v="17"/>
    <x v="23"/>
    <n v="8513"/>
    <x v="4"/>
    <x v="1"/>
  </r>
  <r>
    <x v="1"/>
    <x v="18"/>
    <x v="23"/>
    <n v="0"/>
    <x v="5"/>
    <x v="0"/>
  </r>
  <r>
    <x v="1"/>
    <x v="19"/>
    <x v="23"/>
    <n v="28996"/>
    <x v="1"/>
    <x v="0"/>
  </r>
  <r>
    <x v="1"/>
    <x v="20"/>
    <x v="23"/>
    <n v="0"/>
    <x v="5"/>
    <x v="0"/>
  </r>
  <r>
    <x v="1"/>
    <x v="23"/>
    <x v="23"/>
    <n v="0"/>
    <x v="6"/>
    <x v="0"/>
  </r>
  <r>
    <x v="2"/>
    <x v="0"/>
    <x v="23"/>
    <n v="749677"/>
    <x v="0"/>
    <x v="0"/>
  </r>
  <r>
    <x v="2"/>
    <x v="1"/>
    <x v="23"/>
    <n v="20420611"/>
    <x v="1"/>
    <x v="0"/>
  </r>
  <r>
    <x v="2"/>
    <x v="2"/>
    <x v="23"/>
    <n v="0"/>
    <x v="0"/>
    <x v="0"/>
  </r>
  <r>
    <x v="2"/>
    <x v="3"/>
    <x v="23"/>
    <n v="186303226"/>
    <x v="1"/>
    <x v="1"/>
  </r>
  <r>
    <x v="2"/>
    <x v="4"/>
    <x v="23"/>
    <n v="-111794"/>
    <x v="1"/>
    <x v="1"/>
  </r>
  <r>
    <x v="2"/>
    <x v="5"/>
    <x v="23"/>
    <n v="-4577061"/>
    <x v="1"/>
    <x v="1"/>
  </r>
  <r>
    <x v="2"/>
    <x v="6"/>
    <x v="23"/>
    <n v="730594"/>
    <x v="2"/>
    <x v="0"/>
  </r>
  <r>
    <x v="2"/>
    <x v="7"/>
    <x v="23"/>
    <n v="391958"/>
    <x v="2"/>
    <x v="0"/>
  </r>
  <r>
    <x v="2"/>
    <x v="8"/>
    <x v="23"/>
    <n v="158788"/>
    <x v="2"/>
    <x v="0"/>
  </r>
  <r>
    <x v="2"/>
    <x v="9"/>
    <x v="23"/>
    <n v="108611"/>
    <x v="2"/>
    <x v="0"/>
  </r>
  <r>
    <x v="2"/>
    <x v="10"/>
    <x v="23"/>
    <n v="35498361"/>
    <x v="3"/>
    <x v="0"/>
  </r>
  <r>
    <x v="2"/>
    <x v="11"/>
    <x v="23"/>
    <n v="0"/>
    <x v="3"/>
    <x v="0"/>
  </r>
  <r>
    <x v="2"/>
    <x v="12"/>
    <x v="23"/>
    <n v="9635901"/>
    <x v="3"/>
    <x v="0"/>
  </r>
  <r>
    <x v="2"/>
    <x v="13"/>
    <x v="23"/>
    <n v="0"/>
    <x v="3"/>
    <x v="0"/>
  </r>
  <r>
    <x v="2"/>
    <x v="14"/>
    <x v="23"/>
    <n v="136047"/>
    <x v="0"/>
    <x v="0"/>
  </r>
  <r>
    <x v="2"/>
    <x v="15"/>
    <x v="23"/>
    <n v="0"/>
    <x v="0"/>
    <x v="0"/>
  </r>
  <r>
    <x v="2"/>
    <x v="16"/>
    <x v="23"/>
    <n v="335019488"/>
    <x v="4"/>
    <x v="1"/>
  </r>
  <r>
    <x v="2"/>
    <x v="17"/>
    <x v="23"/>
    <n v="-18507064"/>
    <x v="4"/>
    <x v="1"/>
  </r>
  <r>
    <x v="2"/>
    <x v="18"/>
    <x v="23"/>
    <n v="691611"/>
    <x v="5"/>
    <x v="0"/>
  </r>
  <r>
    <x v="2"/>
    <x v="19"/>
    <x v="23"/>
    <n v="-447123"/>
    <x v="1"/>
    <x v="0"/>
  </r>
  <r>
    <x v="2"/>
    <x v="20"/>
    <x v="23"/>
    <n v="0"/>
    <x v="5"/>
    <x v="0"/>
  </r>
  <r>
    <x v="2"/>
    <x v="23"/>
    <x v="23"/>
    <n v="25066"/>
    <x v="6"/>
    <x v="0"/>
  </r>
  <r>
    <x v="3"/>
    <x v="24"/>
    <x v="23"/>
    <n v="53.66"/>
    <x v="3"/>
    <x v="2"/>
  </r>
  <r>
    <x v="3"/>
    <x v="1"/>
    <x v="23"/>
    <n v="40.49"/>
    <x v="7"/>
    <x v="3"/>
  </r>
  <r>
    <x v="3"/>
    <x v="19"/>
    <x v="23"/>
    <n v="304.47000000000003"/>
    <x v="8"/>
    <x v="4"/>
  </r>
  <r>
    <x v="0"/>
    <x v="0"/>
    <x v="24"/>
    <n v="9407"/>
    <x v="0"/>
    <x v="0"/>
  </r>
  <r>
    <x v="0"/>
    <x v="1"/>
    <x v="24"/>
    <n v="133174"/>
    <x v="1"/>
    <x v="0"/>
  </r>
  <r>
    <x v="0"/>
    <x v="2"/>
    <x v="24"/>
    <n v="0"/>
    <x v="0"/>
    <x v="0"/>
  </r>
  <r>
    <x v="0"/>
    <x v="3"/>
    <x v="24"/>
    <n v="186"/>
    <x v="1"/>
    <x v="1"/>
  </r>
  <r>
    <x v="0"/>
    <x v="4"/>
    <x v="24"/>
    <n v="0"/>
    <x v="1"/>
    <x v="1"/>
  </r>
  <r>
    <x v="0"/>
    <x v="5"/>
    <x v="24"/>
    <n v="2339"/>
    <x v="1"/>
    <x v="1"/>
  </r>
  <r>
    <x v="0"/>
    <x v="6"/>
    <x v="24"/>
    <n v="23303"/>
    <x v="2"/>
    <x v="0"/>
  </r>
  <r>
    <x v="0"/>
    <x v="7"/>
    <x v="24"/>
    <n v="5692"/>
    <x v="2"/>
    <x v="0"/>
  </r>
  <r>
    <x v="0"/>
    <x v="8"/>
    <x v="24"/>
    <n v="3546"/>
    <x v="2"/>
    <x v="0"/>
  </r>
  <r>
    <x v="0"/>
    <x v="9"/>
    <x v="24"/>
    <n v="5360"/>
    <x v="2"/>
    <x v="0"/>
  </r>
  <r>
    <x v="0"/>
    <x v="10"/>
    <x v="24"/>
    <n v="110420"/>
    <x v="3"/>
    <x v="0"/>
  </r>
  <r>
    <x v="0"/>
    <x v="11"/>
    <x v="24"/>
    <n v="0"/>
    <x v="3"/>
    <x v="0"/>
  </r>
  <r>
    <x v="0"/>
    <x v="12"/>
    <x v="24"/>
    <n v="36688"/>
    <x v="3"/>
    <x v="0"/>
  </r>
  <r>
    <x v="0"/>
    <x v="13"/>
    <x v="24"/>
    <n v="0"/>
    <x v="3"/>
    <x v="0"/>
  </r>
  <r>
    <x v="0"/>
    <x v="14"/>
    <x v="24"/>
    <n v="89"/>
    <x v="0"/>
    <x v="0"/>
  </r>
  <r>
    <x v="0"/>
    <x v="15"/>
    <x v="24"/>
    <n v="0"/>
    <x v="0"/>
    <x v="0"/>
  </r>
  <r>
    <x v="0"/>
    <x v="16"/>
    <x v="24"/>
    <n v="369"/>
    <x v="4"/>
    <x v="1"/>
  </r>
  <r>
    <x v="0"/>
    <x v="17"/>
    <x v="24"/>
    <n v="6538"/>
    <x v="4"/>
    <x v="1"/>
  </r>
  <r>
    <x v="0"/>
    <x v="18"/>
    <x v="24"/>
    <n v="338"/>
    <x v="5"/>
    <x v="0"/>
  </r>
  <r>
    <x v="0"/>
    <x v="19"/>
    <x v="24"/>
    <n v="20090"/>
    <x v="1"/>
    <x v="0"/>
  </r>
  <r>
    <x v="0"/>
    <x v="20"/>
    <x v="24"/>
    <n v="724"/>
    <x v="5"/>
    <x v="0"/>
  </r>
  <r>
    <x v="0"/>
    <x v="21"/>
    <x v="24"/>
    <n v="27644"/>
    <x v="2"/>
    <x v="0"/>
  </r>
  <r>
    <x v="0"/>
    <x v="22"/>
    <x v="24"/>
    <n v="11709"/>
    <x v="2"/>
    <x v="0"/>
  </r>
  <r>
    <x v="0"/>
    <x v="23"/>
    <x v="24"/>
    <n v="88"/>
    <x v="6"/>
    <x v="0"/>
  </r>
  <r>
    <x v="1"/>
    <x v="0"/>
    <x v="24"/>
    <n v="0"/>
    <x v="0"/>
    <x v="0"/>
  </r>
  <r>
    <x v="1"/>
    <x v="1"/>
    <x v="24"/>
    <n v="295"/>
    <x v="1"/>
    <x v="0"/>
  </r>
  <r>
    <x v="1"/>
    <x v="2"/>
    <x v="24"/>
    <n v="0"/>
    <x v="0"/>
    <x v="0"/>
  </r>
  <r>
    <x v="1"/>
    <x v="3"/>
    <x v="24"/>
    <n v="149753"/>
    <x v="1"/>
    <x v="1"/>
  </r>
  <r>
    <x v="1"/>
    <x v="4"/>
    <x v="24"/>
    <n v="131"/>
    <x v="1"/>
    <x v="1"/>
  </r>
  <r>
    <x v="1"/>
    <x v="5"/>
    <x v="24"/>
    <n v="2069"/>
    <x v="1"/>
    <x v="1"/>
  </r>
  <r>
    <x v="1"/>
    <x v="6"/>
    <x v="24"/>
    <n v="0"/>
    <x v="2"/>
    <x v="0"/>
  </r>
  <r>
    <x v="1"/>
    <x v="7"/>
    <x v="24"/>
    <n v="0"/>
    <x v="2"/>
    <x v="0"/>
  </r>
  <r>
    <x v="1"/>
    <x v="8"/>
    <x v="24"/>
    <n v="0"/>
    <x v="2"/>
    <x v="0"/>
  </r>
  <r>
    <x v="1"/>
    <x v="9"/>
    <x v="24"/>
    <n v="0"/>
    <x v="2"/>
    <x v="0"/>
  </r>
  <r>
    <x v="1"/>
    <x v="10"/>
    <x v="24"/>
    <n v="259"/>
    <x v="3"/>
    <x v="0"/>
  </r>
  <r>
    <x v="1"/>
    <x v="11"/>
    <x v="24"/>
    <n v="0"/>
    <x v="3"/>
    <x v="0"/>
  </r>
  <r>
    <x v="1"/>
    <x v="12"/>
    <x v="24"/>
    <n v="2854"/>
    <x v="3"/>
    <x v="0"/>
  </r>
  <r>
    <x v="1"/>
    <x v="13"/>
    <x v="24"/>
    <n v="0"/>
    <x v="3"/>
    <x v="0"/>
  </r>
  <r>
    <x v="1"/>
    <x v="14"/>
    <x v="24"/>
    <n v="0"/>
    <x v="0"/>
    <x v="0"/>
  </r>
  <r>
    <x v="1"/>
    <x v="15"/>
    <x v="24"/>
    <n v="0"/>
    <x v="0"/>
    <x v="0"/>
  </r>
  <r>
    <x v="1"/>
    <x v="16"/>
    <x v="24"/>
    <n v="267660"/>
    <x v="4"/>
    <x v="1"/>
  </r>
  <r>
    <x v="1"/>
    <x v="17"/>
    <x v="24"/>
    <n v="8143"/>
    <x v="4"/>
    <x v="1"/>
  </r>
  <r>
    <x v="1"/>
    <x v="18"/>
    <x v="24"/>
    <n v="0"/>
    <x v="5"/>
    <x v="0"/>
  </r>
  <r>
    <x v="1"/>
    <x v="19"/>
    <x v="24"/>
    <n v="176"/>
    <x v="1"/>
    <x v="0"/>
  </r>
  <r>
    <x v="1"/>
    <x v="20"/>
    <x v="24"/>
    <n v="0"/>
    <x v="5"/>
    <x v="0"/>
  </r>
  <r>
    <x v="1"/>
    <x v="23"/>
    <x v="24"/>
    <n v="0"/>
    <x v="6"/>
    <x v="0"/>
  </r>
  <r>
    <x v="2"/>
    <x v="0"/>
    <x v="24"/>
    <n v="877412"/>
    <x v="0"/>
    <x v="0"/>
  </r>
  <r>
    <x v="2"/>
    <x v="1"/>
    <x v="24"/>
    <n v="19301300"/>
    <x v="1"/>
    <x v="0"/>
  </r>
  <r>
    <x v="2"/>
    <x v="2"/>
    <x v="24"/>
    <n v="0"/>
    <x v="0"/>
    <x v="0"/>
  </r>
  <r>
    <x v="2"/>
    <x v="3"/>
    <x v="24"/>
    <n v="204072070"/>
    <x v="1"/>
    <x v="1"/>
  </r>
  <r>
    <x v="2"/>
    <x v="4"/>
    <x v="24"/>
    <n v="-91233"/>
    <x v="1"/>
    <x v="1"/>
  </r>
  <r>
    <x v="2"/>
    <x v="5"/>
    <x v="24"/>
    <n v="-7472751"/>
    <x v="1"/>
    <x v="1"/>
  </r>
  <r>
    <x v="2"/>
    <x v="6"/>
    <x v="24"/>
    <n v="808479"/>
    <x v="2"/>
    <x v="0"/>
  </r>
  <r>
    <x v="2"/>
    <x v="7"/>
    <x v="24"/>
    <n v="393256"/>
    <x v="2"/>
    <x v="0"/>
  </r>
  <r>
    <x v="2"/>
    <x v="8"/>
    <x v="24"/>
    <n v="117356"/>
    <x v="2"/>
    <x v="0"/>
  </r>
  <r>
    <x v="2"/>
    <x v="9"/>
    <x v="24"/>
    <n v="141880"/>
    <x v="2"/>
    <x v="0"/>
  </r>
  <r>
    <x v="2"/>
    <x v="10"/>
    <x v="24"/>
    <n v="32383842"/>
    <x v="3"/>
    <x v="0"/>
  </r>
  <r>
    <x v="2"/>
    <x v="11"/>
    <x v="24"/>
    <n v="0"/>
    <x v="3"/>
    <x v="0"/>
  </r>
  <r>
    <x v="2"/>
    <x v="12"/>
    <x v="24"/>
    <n v="10859626"/>
    <x v="3"/>
    <x v="0"/>
  </r>
  <r>
    <x v="2"/>
    <x v="13"/>
    <x v="24"/>
    <n v="0"/>
    <x v="3"/>
    <x v="0"/>
  </r>
  <r>
    <x v="2"/>
    <x v="14"/>
    <x v="24"/>
    <n v="38773"/>
    <x v="0"/>
    <x v="0"/>
  </r>
  <r>
    <x v="2"/>
    <x v="15"/>
    <x v="24"/>
    <n v="0"/>
    <x v="0"/>
    <x v="0"/>
  </r>
  <r>
    <x v="2"/>
    <x v="16"/>
    <x v="24"/>
    <n v="396067222"/>
    <x v="4"/>
    <x v="1"/>
  </r>
  <r>
    <x v="2"/>
    <x v="17"/>
    <x v="24"/>
    <n v="-20256771"/>
    <x v="4"/>
    <x v="1"/>
  </r>
  <r>
    <x v="2"/>
    <x v="18"/>
    <x v="24"/>
    <n v="412444"/>
    <x v="5"/>
    <x v="0"/>
  </r>
  <r>
    <x v="2"/>
    <x v="19"/>
    <x v="24"/>
    <n v="3308553"/>
    <x v="1"/>
    <x v="0"/>
  </r>
  <r>
    <x v="2"/>
    <x v="20"/>
    <x v="24"/>
    <n v="121787"/>
    <x v="5"/>
    <x v="0"/>
  </r>
  <r>
    <x v="2"/>
    <x v="23"/>
    <x v="24"/>
    <n v="17257"/>
    <x v="6"/>
    <x v="0"/>
  </r>
  <r>
    <x v="3"/>
    <x v="24"/>
    <x v="24"/>
    <n v="53.67"/>
    <x v="3"/>
    <x v="2"/>
  </r>
  <r>
    <x v="3"/>
    <x v="1"/>
    <x v="24"/>
    <n v="41.89"/>
    <x v="7"/>
    <x v="3"/>
  </r>
  <r>
    <x v="3"/>
    <x v="19"/>
    <x v="24"/>
    <n v="48.86"/>
    <x v="8"/>
    <x v="4"/>
  </r>
  <r>
    <x v="0"/>
    <x v="0"/>
    <x v="11"/>
    <n v="11336"/>
    <x v="0"/>
    <x v="0"/>
  </r>
  <r>
    <x v="0"/>
    <x v="1"/>
    <x v="11"/>
    <n v="132179"/>
    <x v="1"/>
    <x v="0"/>
  </r>
  <r>
    <x v="0"/>
    <x v="2"/>
    <x v="11"/>
    <n v="0"/>
    <x v="0"/>
    <x v="0"/>
  </r>
  <r>
    <x v="0"/>
    <x v="3"/>
    <x v="11"/>
    <n v="538"/>
    <x v="1"/>
    <x v="1"/>
  </r>
  <r>
    <x v="0"/>
    <x v="4"/>
    <x v="11"/>
    <n v="10"/>
    <x v="1"/>
    <x v="1"/>
  </r>
  <r>
    <x v="0"/>
    <x v="5"/>
    <x v="11"/>
    <n v="2053"/>
    <x v="1"/>
    <x v="1"/>
  </r>
  <r>
    <x v="0"/>
    <x v="6"/>
    <x v="11"/>
    <n v="24851"/>
    <x v="2"/>
    <x v="0"/>
  </r>
  <r>
    <x v="0"/>
    <x v="7"/>
    <x v="11"/>
    <n v="5514"/>
    <x v="2"/>
    <x v="0"/>
  </r>
  <r>
    <x v="0"/>
    <x v="8"/>
    <x v="11"/>
    <n v="5836"/>
    <x v="2"/>
    <x v="0"/>
  </r>
  <r>
    <x v="0"/>
    <x v="9"/>
    <x v="11"/>
    <n v="5630"/>
    <x v="2"/>
    <x v="0"/>
  </r>
  <r>
    <x v="0"/>
    <x v="10"/>
    <x v="11"/>
    <n v="98675"/>
    <x v="3"/>
    <x v="0"/>
  </r>
  <r>
    <x v="0"/>
    <x v="11"/>
    <x v="11"/>
    <n v="0"/>
    <x v="3"/>
    <x v="0"/>
  </r>
  <r>
    <x v="0"/>
    <x v="12"/>
    <x v="11"/>
    <n v="34198"/>
    <x v="3"/>
    <x v="0"/>
  </r>
  <r>
    <x v="0"/>
    <x v="13"/>
    <x v="11"/>
    <n v="0"/>
    <x v="3"/>
    <x v="0"/>
  </r>
  <r>
    <x v="0"/>
    <x v="14"/>
    <x v="11"/>
    <n v="16"/>
    <x v="0"/>
    <x v="0"/>
  </r>
  <r>
    <x v="0"/>
    <x v="15"/>
    <x v="11"/>
    <n v="0"/>
    <x v="0"/>
    <x v="0"/>
  </r>
  <r>
    <x v="0"/>
    <x v="16"/>
    <x v="11"/>
    <n v="1747"/>
    <x v="4"/>
    <x v="1"/>
  </r>
  <r>
    <x v="0"/>
    <x v="17"/>
    <x v="11"/>
    <n v="5755"/>
    <x v="4"/>
    <x v="1"/>
  </r>
  <r>
    <x v="0"/>
    <x v="18"/>
    <x v="11"/>
    <n v="454"/>
    <x v="5"/>
    <x v="0"/>
  </r>
  <r>
    <x v="0"/>
    <x v="19"/>
    <x v="11"/>
    <n v="27789"/>
    <x v="1"/>
    <x v="0"/>
  </r>
  <r>
    <x v="0"/>
    <x v="20"/>
    <x v="11"/>
    <n v="866"/>
    <x v="5"/>
    <x v="0"/>
  </r>
  <r>
    <x v="0"/>
    <x v="21"/>
    <x v="11"/>
    <n v="27644"/>
    <x v="2"/>
    <x v="0"/>
  </r>
  <r>
    <x v="0"/>
    <x v="22"/>
    <x v="11"/>
    <n v="11708"/>
    <x v="2"/>
    <x v="0"/>
  </r>
  <r>
    <x v="0"/>
    <x v="23"/>
    <x v="11"/>
    <n v="83"/>
    <x v="6"/>
    <x v="0"/>
  </r>
  <r>
    <x v="1"/>
    <x v="0"/>
    <x v="11"/>
    <n v="0"/>
    <x v="0"/>
    <x v="0"/>
  </r>
  <r>
    <x v="1"/>
    <x v="1"/>
    <x v="11"/>
    <n v="204"/>
    <x v="1"/>
    <x v="0"/>
  </r>
  <r>
    <x v="1"/>
    <x v="2"/>
    <x v="11"/>
    <n v="0"/>
    <x v="0"/>
    <x v="0"/>
  </r>
  <r>
    <x v="1"/>
    <x v="3"/>
    <x v="11"/>
    <n v="126085"/>
    <x v="1"/>
    <x v="1"/>
  </r>
  <r>
    <x v="1"/>
    <x v="4"/>
    <x v="11"/>
    <n v="120"/>
    <x v="1"/>
    <x v="1"/>
  </r>
  <r>
    <x v="1"/>
    <x v="5"/>
    <x v="11"/>
    <n v="1396"/>
    <x v="1"/>
    <x v="1"/>
  </r>
  <r>
    <x v="1"/>
    <x v="6"/>
    <x v="11"/>
    <n v="0"/>
    <x v="2"/>
    <x v="0"/>
  </r>
  <r>
    <x v="1"/>
    <x v="7"/>
    <x v="11"/>
    <n v="0"/>
    <x v="2"/>
    <x v="0"/>
  </r>
  <r>
    <x v="1"/>
    <x v="8"/>
    <x v="11"/>
    <n v="0"/>
    <x v="2"/>
    <x v="0"/>
  </r>
  <r>
    <x v="1"/>
    <x v="9"/>
    <x v="11"/>
    <n v="0"/>
    <x v="2"/>
    <x v="0"/>
  </r>
  <r>
    <x v="1"/>
    <x v="10"/>
    <x v="11"/>
    <n v="1640"/>
    <x v="3"/>
    <x v="0"/>
  </r>
  <r>
    <x v="1"/>
    <x v="11"/>
    <x v="11"/>
    <n v="0"/>
    <x v="3"/>
    <x v="0"/>
  </r>
  <r>
    <x v="1"/>
    <x v="12"/>
    <x v="11"/>
    <n v="860"/>
    <x v="3"/>
    <x v="0"/>
  </r>
  <r>
    <x v="1"/>
    <x v="13"/>
    <x v="11"/>
    <n v="0"/>
    <x v="3"/>
    <x v="0"/>
  </r>
  <r>
    <x v="1"/>
    <x v="14"/>
    <x v="11"/>
    <n v="0"/>
    <x v="0"/>
    <x v="0"/>
  </r>
  <r>
    <x v="1"/>
    <x v="15"/>
    <x v="11"/>
    <n v="0"/>
    <x v="0"/>
    <x v="0"/>
  </r>
  <r>
    <x v="1"/>
    <x v="16"/>
    <x v="11"/>
    <n v="228147"/>
    <x v="4"/>
    <x v="1"/>
  </r>
  <r>
    <x v="1"/>
    <x v="17"/>
    <x v="11"/>
    <n v="7096"/>
    <x v="4"/>
    <x v="1"/>
  </r>
  <r>
    <x v="1"/>
    <x v="18"/>
    <x v="11"/>
    <n v="0"/>
    <x v="5"/>
    <x v="0"/>
  </r>
  <r>
    <x v="1"/>
    <x v="19"/>
    <x v="11"/>
    <n v="13383"/>
    <x v="1"/>
    <x v="0"/>
  </r>
  <r>
    <x v="1"/>
    <x v="20"/>
    <x v="11"/>
    <n v="0"/>
    <x v="5"/>
    <x v="0"/>
  </r>
  <r>
    <x v="1"/>
    <x v="23"/>
    <x v="11"/>
    <n v="0"/>
    <x v="6"/>
    <x v="0"/>
  </r>
  <r>
    <x v="2"/>
    <x v="0"/>
    <x v="11"/>
    <n v="902449"/>
    <x v="0"/>
    <x v="0"/>
  </r>
  <r>
    <x v="2"/>
    <x v="1"/>
    <x v="11"/>
    <n v="19671012"/>
    <x v="1"/>
    <x v="0"/>
  </r>
  <r>
    <x v="2"/>
    <x v="2"/>
    <x v="11"/>
    <n v="0"/>
    <x v="0"/>
    <x v="0"/>
  </r>
  <r>
    <x v="2"/>
    <x v="3"/>
    <x v="11"/>
    <n v="171297309"/>
    <x v="1"/>
    <x v="1"/>
  </r>
  <r>
    <x v="2"/>
    <x v="4"/>
    <x v="11"/>
    <n v="-54634"/>
    <x v="1"/>
    <x v="1"/>
  </r>
  <r>
    <x v="2"/>
    <x v="5"/>
    <x v="11"/>
    <n v="-7510373"/>
    <x v="1"/>
    <x v="1"/>
  </r>
  <r>
    <x v="2"/>
    <x v="6"/>
    <x v="11"/>
    <n v="863348"/>
    <x v="2"/>
    <x v="0"/>
  </r>
  <r>
    <x v="2"/>
    <x v="7"/>
    <x v="11"/>
    <n v="383894"/>
    <x v="2"/>
    <x v="0"/>
  </r>
  <r>
    <x v="2"/>
    <x v="8"/>
    <x v="11"/>
    <n v="172091"/>
    <x v="2"/>
    <x v="0"/>
  </r>
  <r>
    <x v="2"/>
    <x v="9"/>
    <x v="11"/>
    <n v="146167"/>
    <x v="2"/>
    <x v="0"/>
  </r>
  <r>
    <x v="2"/>
    <x v="10"/>
    <x v="11"/>
    <n v="28661261"/>
    <x v="3"/>
    <x v="0"/>
  </r>
  <r>
    <x v="2"/>
    <x v="11"/>
    <x v="11"/>
    <n v="0"/>
    <x v="3"/>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95" applyNumberFormats="0" applyBorderFormats="0" applyFontFormats="0" applyPatternFormats="0" applyAlignmentFormats="0" applyWidthHeightFormats="1" dataCaption="Values" updatedVersion="7" minRefreshableVersion="3" rowGrandTotals="0" colGrandTotals="0" itemPrintTitles="1" createdVersion="5" indent="0" compact="0" compactData="0" gridDropZones="1" multipleFieldFilters="0" chartFormat="2" fieldListSortAscending="1">
  <location ref="E2:AF67" firstHeaderRow="1" firstDataRow="2" firstDataCol="3"/>
  <pivotFields count="7">
    <pivotField axis="axisRow" compact="0" outline="0" showAll="0" defaultSubtotal="0">
      <items count="6">
        <item x="2"/>
        <item m="1" x="4"/>
        <item x="0"/>
        <item x="1"/>
        <item h="1" x="3"/>
        <item h="1" m="1" x="5"/>
      </items>
    </pivotField>
    <pivotField compact="0" outline="0" showAll="0">
      <items count="30">
        <item x="0"/>
        <item x="2"/>
        <item x="1"/>
        <item x="3"/>
        <item x="4"/>
        <item x="5"/>
        <item x="19"/>
        <item m="1" x="27"/>
        <item x="9"/>
        <item m="1" x="26"/>
        <item x="24"/>
        <item x="10"/>
        <item x="11"/>
        <item x="12"/>
        <item x="13"/>
        <item x="14"/>
        <item x="16"/>
        <item x="17"/>
        <item x="15"/>
        <item x="18"/>
        <item m="1" x="28"/>
        <item x="20"/>
        <item h="1" x="23"/>
        <item m="1" x="25"/>
        <item x="6"/>
        <item x="7"/>
        <item x="8"/>
        <item h="1" x="21"/>
        <item h="1" x="22"/>
        <item t="default"/>
      </items>
    </pivotField>
    <pivotField axis="axisCol" compact="0" outline="0" showAll="0" sortType="ascending">
      <items count="26">
        <item x="0"/>
        <item x="1"/>
        <item x="2"/>
        <item x="3"/>
        <item x="4"/>
        <item x="5"/>
        <item x="6"/>
        <item x="7"/>
        <item x="8"/>
        <item x="9"/>
        <item x="10"/>
        <item x="13"/>
        <item x="14"/>
        <item x="15"/>
        <item x="16"/>
        <item x="17"/>
        <item x="18"/>
        <item x="19"/>
        <item x="20"/>
        <item x="21"/>
        <item x="22"/>
        <item x="23"/>
        <item x="24"/>
        <item x="11"/>
        <item x="12"/>
        <item t="default"/>
      </items>
    </pivotField>
    <pivotField dataField="1" compact="0" outline="0" showAll="0"/>
    <pivotField compact="0" outline="0" showAll="0"/>
    <pivotField axis="axisRow" compact="0" outline="0" showAll="0">
      <items count="6">
        <item x="1"/>
        <item x="0"/>
        <item x="3"/>
        <item x="4"/>
        <item x="2"/>
        <item t="default"/>
      </items>
    </pivotField>
    <pivotField axis="axisRow" compact="0" outline="0" showAll="0" defaultSubtotal="0">
      <items count="26">
        <item x="0"/>
        <item x="2"/>
        <item x="1"/>
        <item x="3"/>
        <item x="4"/>
        <item x="5"/>
        <item x="17"/>
        <item n="Electricity Off" x="24"/>
        <item x="21"/>
        <item x="7"/>
        <item x="25"/>
        <item x="19"/>
        <item x="8"/>
        <item x="9"/>
        <item x="10"/>
        <item x="11"/>
        <item x="12"/>
        <item x="14"/>
        <item x="15"/>
        <item x="13"/>
        <item x="16"/>
        <item x="23"/>
        <item x="18"/>
        <item h="1" x="20"/>
        <item x="6"/>
        <item x="22"/>
      </items>
    </pivotField>
  </pivotFields>
  <rowFields count="3">
    <field x="0"/>
    <field x="5"/>
    <field x="6"/>
  </rowFields>
  <rowItems count="64">
    <i>
      <x/>
      <x/>
      <x v="3"/>
    </i>
    <i r="2">
      <x v="4"/>
    </i>
    <i r="2">
      <x v="5"/>
    </i>
    <i r="2">
      <x v="17"/>
    </i>
    <i r="2">
      <x v="18"/>
    </i>
    <i t="default" r="1">
      <x/>
    </i>
    <i r="1">
      <x v="1"/>
      <x/>
    </i>
    <i r="2">
      <x v="1"/>
    </i>
    <i r="2">
      <x v="2"/>
    </i>
    <i r="2">
      <x v="6"/>
    </i>
    <i r="2">
      <x v="7"/>
    </i>
    <i r="2">
      <x v="9"/>
    </i>
    <i r="2">
      <x v="12"/>
    </i>
    <i r="2">
      <x v="13"/>
    </i>
    <i r="2">
      <x v="14"/>
    </i>
    <i r="2">
      <x v="15"/>
    </i>
    <i r="2">
      <x v="16"/>
    </i>
    <i r="2">
      <x v="19"/>
    </i>
    <i r="2">
      <x v="20"/>
    </i>
    <i r="2">
      <x v="22"/>
    </i>
    <i t="default" r="1">
      <x v="1"/>
    </i>
    <i>
      <x v="2"/>
      <x/>
      <x v="3"/>
    </i>
    <i r="2">
      <x v="4"/>
    </i>
    <i r="2">
      <x v="5"/>
    </i>
    <i r="2">
      <x v="17"/>
    </i>
    <i r="2">
      <x v="18"/>
    </i>
    <i t="default" r="1">
      <x/>
    </i>
    <i r="1">
      <x v="1"/>
      <x/>
    </i>
    <i r="2">
      <x v="1"/>
    </i>
    <i r="2">
      <x v="2"/>
    </i>
    <i r="2">
      <x v="6"/>
    </i>
    <i r="2">
      <x v="7"/>
    </i>
    <i r="2">
      <x v="9"/>
    </i>
    <i r="2">
      <x v="10"/>
    </i>
    <i r="2">
      <x v="12"/>
    </i>
    <i r="2">
      <x v="13"/>
    </i>
    <i r="2">
      <x v="14"/>
    </i>
    <i r="2">
      <x v="15"/>
    </i>
    <i r="2">
      <x v="16"/>
    </i>
    <i r="2">
      <x v="19"/>
    </i>
    <i r="2">
      <x v="20"/>
    </i>
    <i r="2">
      <x v="22"/>
    </i>
    <i t="default" r="1">
      <x v="1"/>
    </i>
    <i>
      <x v="3"/>
      <x/>
      <x v="3"/>
    </i>
    <i r="2">
      <x v="4"/>
    </i>
    <i r="2">
      <x v="5"/>
    </i>
    <i r="2">
      <x v="17"/>
    </i>
    <i r="2">
      <x v="18"/>
    </i>
    <i t="default" r="1">
      <x/>
    </i>
    <i r="1">
      <x v="1"/>
      <x/>
    </i>
    <i r="2">
      <x v="1"/>
    </i>
    <i r="2">
      <x v="2"/>
    </i>
    <i r="2">
      <x v="6"/>
    </i>
    <i r="2">
      <x v="7"/>
    </i>
    <i r="2">
      <x v="9"/>
    </i>
    <i r="2">
      <x v="12"/>
    </i>
    <i r="2">
      <x v="13"/>
    </i>
    <i r="2">
      <x v="14"/>
    </i>
    <i r="2">
      <x v="15"/>
    </i>
    <i r="2">
      <x v="16"/>
    </i>
    <i r="2">
      <x v="19"/>
    </i>
    <i r="2">
      <x v="20"/>
    </i>
    <i r="2">
      <x v="22"/>
    </i>
    <i t="default" r="1">
      <x v="1"/>
    </i>
  </rowItems>
  <colFields count="1">
    <field x="2"/>
  </colFields>
  <colItems count="25">
    <i>
      <x/>
    </i>
    <i>
      <x v="1"/>
    </i>
    <i>
      <x v="2"/>
    </i>
    <i>
      <x v="3"/>
    </i>
    <i>
      <x v="4"/>
    </i>
    <i>
      <x v="5"/>
    </i>
    <i>
      <x v="6"/>
    </i>
    <i>
      <x v="7"/>
    </i>
    <i>
      <x v="8"/>
    </i>
    <i>
      <x v="9"/>
    </i>
    <i>
      <x v="10"/>
    </i>
    <i>
      <x v="11"/>
    </i>
    <i>
      <x v="12"/>
    </i>
    <i>
      <x v="13"/>
    </i>
    <i>
      <x v="14"/>
    </i>
    <i>
      <x v="15"/>
    </i>
    <i>
      <x v="16"/>
    </i>
    <i>
      <x v="17"/>
    </i>
    <i>
      <x v="18"/>
    </i>
    <i>
      <x v="19"/>
    </i>
    <i>
      <x v="20"/>
    </i>
    <i>
      <x v="21"/>
    </i>
    <i>
      <x v="22"/>
    </i>
    <i>
      <x v="23"/>
    </i>
    <i>
      <x v="24"/>
    </i>
  </colItems>
  <dataFields count="1">
    <dataField name="Sum of quantity" fld="3" baseField="1" baseItem="2" numFmtId="3"/>
  </dataFields>
  <formats count="8">
    <format dxfId="75">
      <pivotArea outline="0" collapsedLevelsAreSubtotals="1" fieldPosition="0"/>
    </format>
    <format dxfId="74">
      <pivotArea dataOnly="0" labelOnly="1" outline="0" fieldPosition="0">
        <references count="1">
          <reference field="0" count="0"/>
        </references>
      </pivotArea>
    </format>
    <format dxfId="73">
      <pivotArea dataOnly="0" labelOnly="1" outline="0" fieldPosition="0">
        <references count="2">
          <reference field="0" count="1" selected="0">
            <x v="0"/>
          </reference>
          <reference field="5" count="2">
            <x v="0"/>
            <x v="1"/>
          </reference>
        </references>
      </pivotArea>
    </format>
    <format dxfId="72">
      <pivotArea dataOnly="0" labelOnly="1" outline="0" fieldPosition="0">
        <references count="2">
          <reference field="0" count="1" selected="0">
            <x v="0"/>
          </reference>
          <reference field="5" count="2" defaultSubtotal="1">
            <x v="0"/>
            <x v="1"/>
          </reference>
        </references>
      </pivotArea>
    </format>
    <format dxfId="71">
      <pivotArea dataOnly="0" labelOnly="1" outline="0" fieldPosition="0">
        <references count="2">
          <reference field="0" count="1" selected="0">
            <x v="2"/>
          </reference>
          <reference field="5" count="2">
            <x v="0"/>
            <x v="1"/>
          </reference>
        </references>
      </pivotArea>
    </format>
    <format dxfId="70">
      <pivotArea dataOnly="0" labelOnly="1" outline="0" fieldPosition="0">
        <references count="2">
          <reference field="0" count="1" selected="0">
            <x v="2"/>
          </reference>
          <reference field="5" count="2" defaultSubtotal="1">
            <x v="0"/>
            <x v="1"/>
          </reference>
        </references>
      </pivotArea>
    </format>
    <format dxfId="69">
      <pivotArea dataOnly="0" labelOnly="1" outline="0" fieldPosition="0">
        <references count="2">
          <reference field="0" count="1" selected="0">
            <x v="3"/>
          </reference>
          <reference field="5" count="2">
            <x v="0"/>
            <x v="1"/>
          </reference>
        </references>
      </pivotArea>
    </format>
    <format dxfId="68">
      <pivotArea dataOnly="0" labelOnly="1" outline="0" fieldPosition="0">
        <references count="2">
          <reference field="0" count="1" selected="0">
            <x v="3"/>
          </reference>
          <reference field="5" count="2" defaultSubtotal="1">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92" applyNumberFormats="0" applyBorderFormats="0" applyFontFormats="0" applyPatternFormats="0" applyAlignmentFormats="0" applyWidthHeightFormats="1" dataCaption="Values" updatedVersion="7" minRefreshableVersion="3" rowGrandTotals="0" colGrandTotals="0" itemPrintTitles="1" createdVersion="5" indent="0" compact="0" compactData="0" gridDropZones="1" multipleFieldFilters="0" fieldListSortAscending="1">
  <location ref="A4:AA8" firstHeaderRow="1" firstDataRow="2" firstDataCol="3"/>
  <pivotFields count="6">
    <pivotField axis="axisRow" compact="0" outline="0" showAll="0" defaultSubtotal="0">
      <items count="6">
        <item h="1" x="2"/>
        <item h="1" m="1" x="4"/>
        <item h="1" x="0"/>
        <item h="1" x="1"/>
        <item x="3"/>
        <item h="1" m="1" x="5"/>
      </items>
    </pivotField>
    <pivotField axis="axisRow" compact="0" outline="0" showAll="0">
      <items count="30">
        <item x="23"/>
        <item x="1"/>
        <item x="0"/>
        <item x="2"/>
        <item x="3"/>
        <item x="4"/>
        <item x="18"/>
        <item m="1" x="27"/>
        <item x="8"/>
        <item m="1" x="26"/>
        <item x="24"/>
        <item x="9"/>
        <item x="10"/>
        <item x="11"/>
        <item x="12"/>
        <item x="13"/>
        <item x="15"/>
        <item x="16"/>
        <item x="14"/>
        <item x="17"/>
        <item m="1" x="28"/>
        <item x="19"/>
        <item m="1" x="25"/>
        <item x="22"/>
        <item x="5"/>
        <item x="6"/>
        <item x="7"/>
        <item x="20"/>
        <item x="21"/>
        <item t="default"/>
      </items>
    </pivotField>
    <pivotField axis="axisCol" compact="0" outline="0" showAll="0" sortType="ascending">
      <items count="25">
        <item x="0"/>
        <item x="1"/>
        <item x="2"/>
        <item x="3"/>
        <item x="4"/>
        <item x="5"/>
        <item x="6"/>
        <item x="7"/>
        <item x="8"/>
        <item x="9"/>
        <item x="10"/>
        <item x="11"/>
        <item x="12"/>
        <item x="13"/>
        <item x="14"/>
        <item x="15"/>
        <item x="16"/>
        <item x="17"/>
        <item x="18"/>
        <item x="19"/>
        <item x="20"/>
        <item x="21"/>
        <item x="22"/>
        <item x="23"/>
        <item t="default"/>
      </items>
    </pivotField>
    <pivotField dataField="1" compact="0" outline="0" showAll="0"/>
    <pivotField compact="0" outline="0" showAll="0"/>
    <pivotField axis="axisRow" compact="0" outline="0" showAll="0" defaultSubtotal="0">
      <items count="5">
        <item x="1"/>
        <item x="0"/>
        <item x="2"/>
        <item x="3"/>
        <item x="4"/>
      </items>
    </pivotField>
  </pivotFields>
  <rowFields count="3">
    <field x="0"/>
    <field x="5"/>
    <field x="1"/>
  </rowFields>
  <rowItems count="3">
    <i>
      <x v="4"/>
      <x v="2"/>
      <x v="10"/>
    </i>
    <i r="1">
      <x v="3"/>
      <x v="2"/>
    </i>
    <i r="1">
      <x v="4"/>
      <x v="6"/>
    </i>
  </rowItems>
  <colFields count="1">
    <field x="2"/>
  </colFields>
  <colItems count="24">
    <i>
      <x/>
    </i>
    <i>
      <x v="1"/>
    </i>
    <i>
      <x v="2"/>
    </i>
    <i>
      <x v="3"/>
    </i>
    <i>
      <x v="4"/>
    </i>
    <i>
      <x v="5"/>
    </i>
    <i>
      <x v="6"/>
    </i>
    <i>
      <x v="7"/>
    </i>
    <i>
      <x v="8"/>
    </i>
    <i>
      <x v="9"/>
    </i>
    <i>
      <x v="10"/>
    </i>
    <i>
      <x v="11"/>
    </i>
    <i>
      <x v="12"/>
    </i>
    <i>
      <x v="13"/>
    </i>
    <i>
      <x v="14"/>
    </i>
    <i>
      <x v="15"/>
    </i>
    <i>
      <x v="16"/>
    </i>
    <i>
      <x v="17"/>
    </i>
    <i>
      <x v="18"/>
    </i>
    <i>
      <x v="19"/>
    </i>
    <i>
      <x v="20"/>
    </i>
    <i>
      <x v="21"/>
    </i>
    <i>
      <x v="22"/>
    </i>
    <i>
      <x v="23"/>
    </i>
  </colItems>
  <dataFields count="1">
    <dataField name="Sum of quantity" fld="3" baseField="1" baseItem="2" numFmtId="3"/>
  </dataFields>
  <formats count="39">
    <format dxfId="67">
      <pivotArea outline="0" fieldPosition="0">
        <references count="2">
          <reference field="0" count="1" selected="0">
            <x v="4"/>
          </reference>
          <reference field="5" count="3" selected="0" defaultSubtotal="1">
            <x v="2"/>
            <x v="3"/>
            <x v="4"/>
          </reference>
        </references>
      </pivotArea>
    </format>
    <format dxfId="66">
      <pivotArea outline="0" fieldPosition="0">
        <references count="3">
          <reference field="0" count="1" selected="0">
            <x v="0"/>
          </reference>
          <reference field="1" count="16" selected="0">
            <x v="0"/>
            <x v="1"/>
            <x v="2"/>
            <x v="3"/>
            <x v="4"/>
            <x v="5"/>
            <x v="6"/>
            <x v="7"/>
            <x v="8"/>
            <x v="11"/>
            <x v="12"/>
            <x v="13"/>
            <x v="14"/>
            <x v="15"/>
            <x v="16"/>
            <x v="17"/>
          </reference>
          <reference field="5" count="2" selected="0">
            <x v="0"/>
            <x v="1"/>
          </reference>
        </references>
      </pivotArea>
    </format>
    <format dxfId="65">
      <pivotArea dataOnly="0" labelOnly="1" outline="0" fieldPosition="0">
        <references count="1">
          <reference field="0" count="1">
            <x v="0"/>
          </reference>
        </references>
      </pivotArea>
    </format>
    <format dxfId="64">
      <pivotArea dataOnly="0" labelOnly="1" outline="0" fieldPosition="0">
        <references count="2">
          <reference field="0" count="1" selected="0">
            <x v="0"/>
          </reference>
          <reference field="5" count="2">
            <x v="0"/>
            <x v="1"/>
          </reference>
        </references>
      </pivotArea>
    </format>
    <format dxfId="63">
      <pivotArea dataOnly="0" labelOnly="1" outline="0" fieldPosition="0">
        <references count="3">
          <reference field="0" count="1" selected="0">
            <x v="0"/>
          </reference>
          <reference field="1" count="5">
            <x v="3"/>
            <x v="4"/>
            <x v="5"/>
            <x v="16"/>
            <x v="17"/>
          </reference>
          <reference field="5" count="1" selected="0">
            <x v="0"/>
          </reference>
        </references>
      </pivotArea>
    </format>
    <format dxfId="62">
      <pivotArea dataOnly="0" labelOnly="1" outline="0" fieldPosition="0">
        <references count="3">
          <reference field="0" count="1" selected="0">
            <x v="0"/>
          </reference>
          <reference field="1" count="11">
            <x v="0"/>
            <x v="1"/>
            <x v="2"/>
            <x v="6"/>
            <x v="7"/>
            <x v="8"/>
            <x v="11"/>
            <x v="12"/>
            <x v="13"/>
            <x v="14"/>
            <x v="15"/>
          </reference>
          <reference field="5" count="1" selected="0">
            <x v="1"/>
          </reference>
        </references>
      </pivotArea>
    </format>
    <format dxfId="61">
      <pivotArea outline="0" fieldPosition="0">
        <references count="3">
          <reference field="0" count="1" selected="0">
            <x v="2"/>
          </reference>
          <reference field="1" count="18" selected="0">
            <x v="0"/>
            <x v="1"/>
            <x v="2"/>
            <x v="3"/>
            <x v="4"/>
            <x v="5"/>
            <x v="6"/>
            <x v="7"/>
            <x v="8"/>
            <x v="9"/>
            <x v="11"/>
            <x v="12"/>
            <x v="13"/>
            <x v="14"/>
            <x v="15"/>
            <x v="16"/>
            <x v="17"/>
            <x v="19"/>
          </reference>
          <reference field="5" count="2" selected="0">
            <x v="0"/>
            <x v="1"/>
          </reference>
        </references>
      </pivotArea>
    </format>
    <format dxfId="60">
      <pivotArea dataOnly="0" labelOnly="1" outline="0" fieldPosition="0">
        <references count="1">
          <reference field="0" count="1">
            <x v="2"/>
          </reference>
        </references>
      </pivotArea>
    </format>
    <format dxfId="59">
      <pivotArea dataOnly="0" labelOnly="1" outline="0" fieldPosition="0">
        <references count="2">
          <reference field="0" count="1" selected="0">
            <x v="2"/>
          </reference>
          <reference field="5" count="2">
            <x v="0"/>
            <x v="1"/>
          </reference>
        </references>
      </pivotArea>
    </format>
    <format dxfId="58">
      <pivotArea dataOnly="0" labelOnly="1" outline="0" fieldPosition="0">
        <references count="3">
          <reference field="0" count="1" selected="0">
            <x v="2"/>
          </reference>
          <reference field="1" count="6">
            <x v="3"/>
            <x v="4"/>
            <x v="5"/>
            <x v="6"/>
            <x v="16"/>
            <x v="17"/>
          </reference>
          <reference field="5" count="1" selected="0">
            <x v="0"/>
          </reference>
        </references>
      </pivotArea>
    </format>
    <format dxfId="57">
      <pivotArea dataOnly="0" labelOnly="1" outline="0" fieldPosition="0">
        <references count="3">
          <reference field="0" count="1" selected="0">
            <x v="2"/>
          </reference>
          <reference field="1" count="12">
            <x v="0"/>
            <x v="1"/>
            <x v="2"/>
            <x v="7"/>
            <x v="8"/>
            <x v="9"/>
            <x v="11"/>
            <x v="12"/>
            <x v="13"/>
            <x v="14"/>
            <x v="15"/>
            <x v="19"/>
          </reference>
          <reference field="5" count="1" selected="0">
            <x v="1"/>
          </reference>
        </references>
      </pivotArea>
    </format>
    <format dxfId="56">
      <pivotArea outline="0" fieldPosition="0">
        <references count="3">
          <reference field="0" count="1" selected="0">
            <x v="3"/>
          </reference>
          <reference field="1" count="17" selected="0">
            <x v="0"/>
            <x v="1"/>
            <x v="2"/>
            <x v="3"/>
            <x v="4"/>
            <x v="5"/>
            <x v="6"/>
            <x v="7"/>
            <x v="8"/>
            <x v="11"/>
            <x v="12"/>
            <x v="13"/>
            <x v="14"/>
            <x v="15"/>
            <x v="16"/>
            <x v="17"/>
            <x v="19"/>
          </reference>
          <reference field="5" count="2" selected="0">
            <x v="0"/>
            <x v="1"/>
          </reference>
        </references>
      </pivotArea>
    </format>
    <format dxfId="55">
      <pivotArea dataOnly="0" labelOnly="1" outline="0" fieldPosition="0">
        <references count="1">
          <reference field="0" count="1">
            <x v="3"/>
          </reference>
        </references>
      </pivotArea>
    </format>
    <format dxfId="54">
      <pivotArea dataOnly="0" labelOnly="1" outline="0" fieldPosition="0">
        <references count="2">
          <reference field="0" count="1" selected="0">
            <x v="3"/>
          </reference>
          <reference field="5" count="2">
            <x v="0"/>
            <x v="1"/>
          </reference>
        </references>
      </pivotArea>
    </format>
    <format dxfId="53">
      <pivotArea dataOnly="0" labelOnly="1" outline="0" fieldPosition="0">
        <references count="3">
          <reference field="0" count="1" selected="0">
            <x v="3"/>
          </reference>
          <reference field="1" count="6">
            <x v="3"/>
            <x v="4"/>
            <x v="5"/>
            <x v="6"/>
            <x v="16"/>
            <x v="17"/>
          </reference>
          <reference field="5" count="1" selected="0">
            <x v="0"/>
          </reference>
        </references>
      </pivotArea>
    </format>
    <format dxfId="52">
      <pivotArea dataOnly="0" labelOnly="1" outline="0" fieldPosition="0">
        <references count="3">
          <reference field="0" count="1" selected="0">
            <x v="3"/>
          </reference>
          <reference field="1" count="11">
            <x v="0"/>
            <x v="1"/>
            <x v="2"/>
            <x v="7"/>
            <x v="8"/>
            <x v="11"/>
            <x v="12"/>
            <x v="13"/>
            <x v="14"/>
            <x v="15"/>
            <x v="19"/>
          </reference>
          <reference field="5" count="1" selected="0">
            <x v="1"/>
          </reference>
        </references>
      </pivotArea>
    </format>
    <format dxfId="51">
      <pivotArea outline="0" fieldPosition="0">
        <references count="1">
          <reference field="0" count="1" selected="0">
            <x v="4"/>
          </reference>
        </references>
      </pivotArea>
    </format>
    <format dxfId="50">
      <pivotArea dataOnly="0" labelOnly="1" outline="0" fieldPosition="0">
        <references count="1">
          <reference field="0" count="1">
            <x v="4"/>
          </reference>
        </references>
      </pivotArea>
    </format>
    <format dxfId="49">
      <pivotArea dataOnly="0" labelOnly="1" outline="0" fieldPosition="0">
        <references count="2">
          <reference field="0" count="1" selected="0">
            <x v="4"/>
          </reference>
          <reference field="5" count="3">
            <x v="2"/>
            <x v="3"/>
            <x v="4"/>
          </reference>
        </references>
      </pivotArea>
    </format>
    <format dxfId="48">
      <pivotArea dataOnly="0" labelOnly="1" outline="0" fieldPosition="0">
        <references count="3">
          <reference field="0" count="1" selected="0">
            <x v="4"/>
          </reference>
          <reference field="1" count="1">
            <x v="2"/>
          </reference>
          <reference field="5" count="1" selected="0">
            <x v="3"/>
          </reference>
        </references>
      </pivotArea>
    </format>
    <format dxfId="47">
      <pivotArea dataOnly="0" labelOnly="1" outline="0" fieldPosition="0">
        <references count="3">
          <reference field="0" count="1" selected="0">
            <x v="4"/>
          </reference>
          <reference field="1" count="1">
            <x v="6"/>
          </reference>
          <reference field="5" count="1" selected="0">
            <x v="4"/>
          </reference>
        </references>
      </pivotArea>
    </format>
    <format dxfId="46">
      <pivotArea dataOnly="0" labelOnly="1" outline="0" fieldPosition="0">
        <references count="3">
          <reference field="0" count="1" selected="0">
            <x v="4"/>
          </reference>
          <reference field="1" count="1">
            <x v="10"/>
          </reference>
          <reference field="5" count="1" selected="0">
            <x v="2"/>
          </reference>
        </references>
      </pivotArea>
    </format>
    <format dxfId="45">
      <pivotArea outline="0" fieldPosition="0">
        <references count="3">
          <reference field="0" count="1" selected="0">
            <x v="3"/>
          </reference>
          <reference field="1" count="1" selected="0">
            <x v="18"/>
          </reference>
          <reference field="5" count="1" selected="0">
            <x v="1"/>
          </reference>
        </references>
      </pivotArea>
    </format>
    <format dxfId="44">
      <pivotArea dataOnly="0" labelOnly="1" outline="0" fieldPosition="0">
        <references count="3">
          <reference field="0" count="1" selected="0">
            <x v="3"/>
          </reference>
          <reference field="1" count="1">
            <x v="18"/>
          </reference>
          <reference field="5" count="1" selected="0">
            <x v="1"/>
          </reference>
        </references>
      </pivotArea>
    </format>
    <format dxfId="43">
      <pivotArea outline="0" fieldPosition="0">
        <references count="3">
          <reference field="0" count="1" selected="0">
            <x v="2"/>
          </reference>
          <reference field="1" count="1" selected="0">
            <x v="18"/>
          </reference>
          <reference field="5" count="1" selected="0">
            <x v="1"/>
          </reference>
        </references>
      </pivotArea>
    </format>
    <format dxfId="42">
      <pivotArea dataOnly="0" labelOnly="1" outline="0" fieldPosition="0">
        <references count="3">
          <reference field="0" count="1" selected="0">
            <x v="2"/>
          </reference>
          <reference field="1" count="1">
            <x v="18"/>
          </reference>
          <reference field="5" count="1" selected="0">
            <x v="1"/>
          </reference>
        </references>
      </pivotArea>
    </format>
    <format dxfId="41">
      <pivotArea outline="0" fieldPosition="0">
        <references count="3">
          <reference field="0" count="2" selected="0">
            <x v="1"/>
            <x v="5"/>
          </reference>
          <reference field="1" count="5" selected="0">
            <x v="2"/>
            <x v="3"/>
            <x v="5"/>
            <x v="16"/>
            <x v="17"/>
          </reference>
          <reference field="5" count="2" selected="0">
            <x v="0"/>
            <x v="1"/>
          </reference>
        </references>
      </pivotArea>
    </format>
    <format dxfId="40">
      <pivotArea dataOnly="0" labelOnly="1" outline="0" fieldPosition="0">
        <references count="1">
          <reference field="0" count="2">
            <x v="1"/>
            <x v="5"/>
          </reference>
        </references>
      </pivotArea>
    </format>
    <format dxfId="39">
      <pivotArea dataOnly="0" labelOnly="1" outline="0" fieldPosition="0">
        <references count="2">
          <reference field="0" count="1" selected="0">
            <x v="1"/>
          </reference>
          <reference field="5" count="2">
            <x v="0"/>
            <x v="1"/>
          </reference>
        </references>
      </pivotArea>
    </format>
    <format dxfId="38">
      <pivotArea dataOnly="0" labelOnly="1" outline="0" fieldPosition="0">
        <references count="2">
          <reference field="0" count="1" selected="0">
            <x v="5"/>
          </reference>
          <reference field="5" count="2">
            <x v="0"/>
            <x v="1"/>
          </reference>
        </references>
      </pivotArea>
    </format>
    <format dxfId="37">
      <pivotArea dataOnly="0" labelOnly="1" outline="0" fieldPosition="0">
        <references count="3">
          <reference field="0" count="1" selected="0">
            <x v="1"/>
          </reference>
          <reference field="1" count="2">
            <x v="3"/>
            <x v="5"/>
          </reference>
          <reference field="5" count="1" selected="0">
            <x v="0"/>
          </reference>
        </references>
      </pivotArea>
    </format>
    <format dxfId="36">
      <pivotArea dataOnly="0" labelOnly="1" outline="0" fieldPosition="0">
        <references count="3">
          <reference field="0" count="1" selected="0">
            <x v="1"/>
          </reference>
          <reference field="1" count="1">
            <x v="2"/>
          </reference>
          <reference field="5" count="1" selected="0">
            <x v="1"/>
          </reference>
        </references>
      </pivotArea>
    </format>
    <format dxfId="35">
      <pivotArea dataOnly="0" labelOnly="1" outline="0" fieldPosition="0">
        <references count="3">
          <reference field="0" count="1" selected="0">
            <x v="5"/>
          </reference>
          <reference field="1" count="4">
            <x v="3"/>
            <x v="5"/>
            <x v="16"/>
            <x v="17"/>
          </reference>
          <reference field="5" count="1" selected="0">
            <x v="0"/>
          </reference>
        </references>
      </pivotArea>
    </format>
    <format dxfId="34">
      <pivotArea dataOnly="0" labelOnly="1" outline="0" fieldPosition="0">
        <references count="3">
          <reference field="0" count="1" selected="0">
            <x v="5"/>
          </reference>
          <reference field="1" count="1">
            <x v="2"/>
          </reference>
          <reference field="5" count="1" selected="0">
            <x v="1"/>
          </reference>
        </references>
      </pivotArea>
    </format>
    <format dxfId="33">
      <pivotArea outline="0" fieldPosition="0">
        <references count="1">
          <reference field="0" count="1" selected="0">
            <x v="4"/>
          </reference>
        </references>
      </pivotArea>
    </format>
    <format dxfId="32">
      <pivotArea outline="0" fieldPosition="0">
        <references count="3">
          <reference field="0" count="1" selected="0">
            <x v="0"/>
          </reference>
          <reference field="1" count="2" selected="0">
            <x v="18"/>
            <x v="19"/>
          </reference>
          <reference field="5" count="1" selected="0">
            <x v="1"/>
          </reference>
        </references>
      </pivotArea>
    </format>
    <format dxfId="31">
      <pivotArea outline="0" fieldPosition="0">
        <references count="3">
          <reference field="0" count="1" selected="0">
            <x v="0"/>
          </reference>
          <reference field="1" count="1" selected="0">
            <x v="18"/>
          </reference>
          <reference field="5" count="1" selected="0">
            <x v="1"/>
          </reference>
        </references>
      </pivotArea>
    </format>
    <format dxfId="30">
      <pivotArea outline="0" fieldPosition="0">
        <references count="3">
          <reference field="0" count="1" selected="0">
            <x v="0"/>
          </reference>
          <reference field="1" count="2" selected="0">
            <x v="18"/>
            <x v="19"/>
          </reference>
          <reference field="5" count="1" selected="0">
            <x v="1"/>
          </reference>
        </references>
      </pivotArea>
    </format>
    <format dxfId="29">
      <pivotArea dataOnly="0" labelOnly="1" outline="0" fieldPosition="0">
        <references count="3">
          <reference field="0" count="1" selected="0">
            <x v="0"/>
          </reference>
          <reference field="1" count="2">
            <x v="18"/>
            <x v="19"/>
          </reference>
          <reference field="5"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PivotTable3" cacheId="93" applyNumberFormats="0" applyBorderFormats="0" applyFontFormats="0" applyPatternFormats="0" applyAlignmentFormats="0" applyWidthHeightFormats="1" dataCaption="Values" updatedVersion="7" minRefreshableVersion="3" itemPrintTitles="1" createdVersion="5" indent="0" compact="0" compactData="0" gridDropZones="1" multipleFieldFilters="0" fieldListSortAscending="1">
  <location ref="A72:E81" firstHeaderRow="2" firstDataRow="2" firstDataCol="4" rowPageCount="2" colPageCount="1"/>
  <pivotFields count="8">
    <pivotField axis="axisPage" compact="0" outline="0" showAll="0" defaultSubtotal="0">
      <items count="5">
        <item x="4"/>
        <item x="3"/>
        <item x="2"/>
        <item x="1"/>
        <item x="0"/>
      </items>
    </pivotField>
    <pivotField axis="axisRow" compact="0" outline="0" showAll="0" defaultSubtotal="0">
      <items count="88">
        <item x="59"/>
        <item x="60"/>
        <item x="61"/>
        <item x="62"/>
        <item x="6"/>
        <item x="63"/>
        <item x="64"/>
        <item x="65"/>
        <item x="9"/>
        <item x="10"/>
        <item x="66"/>
        <item x="67"/>
        <item x="12"/>
        <item x="13"/>
        <item x="68"/>
        <item x="14"/>
        <item x="69"/>
        <item x="15"/>
        <item x="18"/>
        <item x="19"/>
        <item x="20"/>
        <item x="70"/>
        <item x="21"/>
        <item x="22"/>
        <item x="71"/>
        <item x="23"/>
        <item x="87"/>
        <item x="24"/>
        <item x="25"/>
        <item x="72"/>
        <item x="26"/>
        <item x="28"/>
        <item x="29"/>
        <item x="73"/>
        <item x="30"/>
        <item x="31"/>
        <item x="32"/>
        <item x="34"/>
        <item x="74"/>
        <item x="35"/>
        <item x="75"/>
        <item x="76"/>
        <item x="36"/>
        <item x="37"/>
        <item x="38"/>
        <item x="77"/>
        <item x="78"/>
        <item x="39"/>
        <item x="40"/>
        <item x="79"/>
        <item x="80"/>
        <item x="42"/>
        <item x="43"/>
        <item x="82"/>
        <item x="83"/>
        <item x="45"/>
        <item x="46"/>
        <item x="47"/>
        <item x="48"/>
        <item x="50"/>
        <item x="52"/>
        <item x="84"/>
        <item x="53"/>
        <item x="85"/>
        <item x="86"/>
        <item x="3"/>
        <item x="11"/>
        <item x="16"/>
        <item x="33"/>
        <item x="81"/>
        <item x="51"/>
        <item x="55"/>
        <item x="0"/>
        <item x="5"/>
        <item x="41"/>
        <item x="54"/>
        <item x="57"/>
        <item x="58"/>
        <item x="1"/>
        <item x="4"/>
        <item x="17"/>
        <item x="56"/>
        <item x="2"/>
        <item x="7"/>
        <item x="8"/>
        <item x="27"/>
        <item x="44"/>
        <item x="49"/>
      </items>
    </pivotField>
    <pivotField compact="0" outline="0" showAll="0"/>
    <pivotField axis="axisRow" compact="0" outline="0" showAll="0">
      <items count="114">
        <item x="70"/>
        <item x="43"/>
        <item x="21"/>
        <item x="19"/>
        <item x="26"/>
        <item x="105"/>
        <item x="40"/>
        <item x="29"/>
        <item x="12"/>
        <item x="50"/>
        <item x="80"/>
        <item x="78"/>
        <item x="27"/>
        <item x="95"/>
        <item x="34"/>
        <item x="46"/>
        <item x="109"/>
        <item x="87"/>
        <item x="15"/>
        <item x="107"/>
        <item x="91"/>
        <item x="102"/>
        <item x="86"/>
        <item x="60"/>
        <item x="90"/>
        <item x="111"/>
        <item x="93"/>
        <item x="83"/>
        <item x="58"/>
        <item x="85"/>
        <item x="63"/>
        <item x="37"/>
        <item x="71"/>
        <item x="45"/>
        <item x="79"/>
        <item x="110"/>
        <item x="99"/>
        <item x="57"/>
        <item x="62"/>
        <item x="48"/>
        <item x="88"/>
        <item x="56"/>
        <item x="94"/>
        <item x="31"/>
        <item x="36"/>
        <item x="89"/>
        <item x="76"/>
        <item x="47"/>
        <item x="108"/>
        <item x="18"/>
        <item x="39"/>
        <item x="55"/>
        <item x="77"/>
        <item x="24"/>
        <item x="97"/>
        <item x="101"/>
        <item x="16"/>
        <item x="20"/>
        <item x="106"/>
        <item x="96"/>
        <item x="25"/>
        <item x="33"/>
        <item x="81"/>
        <item x="98"/>
        <item x="30"/>
        <item x="112"/>
        <item x="44"/>
        <item x="32"/>
        <item x="104"/>
        <item x="42"/>
        <item x="92"/>
        <item x="28"/>
        <item x="9"/>
        <item x="82"/>
        <item x="84"/>
        <item x="17"/>
        <item x="22"/>
        <item x="38"/>
        <item x="41"/>
        <item x="100"/>
        <item x="51"/>
        <item x="103"/>
        <item x="61"/>
        <item x="65"/>
        <item x="6"/>
        <item x="0"/>
        <item x="11"/>
        <item x="73"/>
        <item x="75"/>
        <item x="64"/>
        <item x="68"/>
        <item x="7"/>
        <item x="10"/>
        <item x="69"/>
        <item x="72"/>
        <item x="74"/>
        <item x="67"/>
        <item x="1"/>
        <item x="2"/>
        <item x="3"/>
        <item x="4"/>
        <item x="5"/>
        <item x="8"/>
        <item x="13"/>
        <item x="14"/>
        <item x="23"/>
        <item x="35"/>
        <item x="49"/>
        <item x="52"/>
        <item x="53"/>
        <item x="54"/>
        <item x="59"/>
        <item x="66"/>
        <item t="default"/>
      </items>
    </pivotField>
    <pivotField axis="axisRow" compact="0" outline="0" showAll="0" defaultSubtotal="0">
      <items count="47">
        <item x="17"/>
        <item x="39"/>
        <item x="0"/>
        <item x="40"/>
        <item x="18"/>
        <item x="8"/>
        <item x="3"/>
        <item x="41"/>
        <item x="32"/>
        <item x="25"/>
        <item x="5"/>
        <item x="14"/>
        <item x="16"/>
        <item x="6"/>
        <item x="19"/>
        <item x="38"/>
        <item x="34"/>
        <item x="1"/>
        <item x="13"/>
        <item x="15"/>
        <item x="20"/>
        <item x="2"/>
        <item x="12"/>
        <item m="1" x="46"/>
        <item x="30"/>
        <item x="31"/>
        <item x="11"/>
        <item x="33"/>
        <item m="1" x="44"/>
        <item m="1" x="43"/>
        <item m="1" x="42"/>
        <item x="22"/>
        <item x="35"/>
        <item x="36"/>
        <item x="37"/>
        <item x="7"/>
        <item x="27"/>
        <item m="1" x="45"/>
        <item x="29"/>
        <item x="9"/>
        <item x="21"/>
        <item x="26"/>
        <item x="28"/>
        <item x="4"/>
        <item x="10"/>
        <item x="23"/>
        <item x="24"/>
      </items>
    </pivotField>
    <pivotField axis="axisPage" compact="0" outline="0" showAll="0" defaultSubtotal="0">
      <items count="15">
        <item x="11"/>
        <item x="12"/>
        <item x="10"/>
        <item x="13"/>
        <item m="1" x="14"/>
        <item x="4"/>
        <item x="5"/>
        <item x="9"/>
        <item x="3"/>
        <item x="2"/>
        <item x="0"/>
        <item x="8"/>
        <item x="6"/>
        <item x="1"/>
        <item x="7"/>
      </items>
    </pivotField>
    <pivotField dataField="1" compact="0" outline="0" showAll="0"/>
    <pivotField axis="axisRow" compact="0" outline="0" showAll="0" sortType="ascending" defaultSubtotal="0">
      <items count="193">
        <item x="4"/>
        <item x="3"/>
        <item x="5"/>
        <item x="1"/>
        <item x="52"/>
        <item x="2"/>
        <item x="157"/>
        <item x="15"/>
        <item x="156"/>
        <item x="107"/>
        <item x="16"/>
        <item x="58"/>
        <item x="166"/>
        <item x="154"/>
        <item x="118"/>
        <item x="54"/>
        <item x="172"/>
        <item x="97"/>
        <item x="56"/>
        <item x="27"/>
        <item x="105"/>
        <item x="117"/>
        <item x="55"/>
        <item x="57"/>
        <item x="164"/>
        <item m="1" x="189"/>
        <item x="78"/>
        <item x="22"/>
        <item x="115"/>
        <item x="63"/>
        <item x="93"/>
        <item m="1" x="190"/>
        <item x="171"/>
        <item x="121"/>
        <item x="11"/>
        <item x="64"/>
        <item x="160"/>
        <item x="100"/>
        <item x="59"/>
        <item x="21"/>
        <item x="182"/>
        <item x="91"/>
        <item x="10"/>
        <item x="28"/>
        <item x="180"/>
        <item x="77"/>
        <item x="140"/>
        <item x="14"/>
        <item x="68"/>
        <item x="158"/>
        <item x="185"/>
        <item x="67"/>
        <item x="49"/>
        <item x="181"/>
        <item x="106"/>
        <item x="18"/>
        <item x="163"/>
        <item x="184"/>
        <item x="47"/>
        <item x="89"/>
        <item x="76"/>
        <item x="7"/>
        <item x="162"/>
        <item x="88"/>
        <item x="61"/>
        <item x="74"/>
        <item x="122"/>
        <item x="6"/>
        <item x="62"/>
        <item x="51"/>
        <item x="43"/>
        <item x="37"/>
        <item x="46"/>
        <item x="60"/>
        <item x="48"/>
        <item x="50"/>
        <item x="69"/>
        <item x="38"/>
        <item x="39"/>
        <item x="116"/>
        <item x="40"/>
        <item x="104"/>
        <item x="79"/>
        <item x="44"/>
        <item m="1" x="191"/>
        <item x="30"/>
        <item x="36"/>
        <item x="119"/>
        <item x="53"/>
        <item x="137"/>
        <item x="120"/>
        <item x="141"/>
        <item x="95"/>
        <item x="101"/>
        <item x="165"/>
        <item x="80"/>
        <item x="35"/>
        <item x="142"/>
        <item x="29"/>
        <item x="167"/>
        <item m="1" x="192"/>
        <item x="90"/>
        <item x="25"/>
        <item x="75"/>
        <item x="136"/>
        <item x="31"/>
        <item x="173"/>
        <item x="26"/>
        <item x="12"/>
        <item x="45"/>
        <item x="102"/>
        <item x="87"/>
        <item x="13"/>
        <item x="86"/>
        <item x="133"/>
        <item x="110"/>
        <item x="23"/>
        <item x="144"/>
        <item x="20"/>
        <item x="70"/>
        <item x="152"/>
        <item x="8"/>
        <item x="153"/>
        <item x="24"/>
        <item m="1" x="188"/>
        <item x="103"/>
        <item x="124"/>
        <item x="41"/>
        <item x="168"/>
        <item x="85"/>
        <item x="19"/>
        <item x="113"/>
        <item x="161"/>
        <item x="127"/>
        <item x="130"/>
        <item x="150"/>
        <item x="148"/>
        <item m="1" x="186"/>
        <item x="66"/>
        <item x="92"/>
        <item x="17"/>
        <item m="1" x="187"/>
        <item x="175"/>
        <item x="33"/>
        <item x="82"/>
        <item x="139"/>
        <item x="98"/>
        <item x="32"/>
        <item x="84"/>
        <item x="155"/>
        <item x="111"/>
        <item x="149"/>
        <item x="81"/>
        <item x="34"/>
        <item x="112"/>
        <item x="159"/>
        <item x="178"/>
        <item x="126"/>
        <item x="42"/>
        <item x="83"/>
        <item x="65"/>
        <item x="169"/>
        <item x="131"/>
        <item x="99"/>
        <item x="170"/>
        <item x="96"/>
        <item x="147"/>
        <item x="123"/>
        <item x="179"/>
        <item x="183"/>
        <item x="146"/>
        <item x="114"/>
        <item x="9"/>
        <item x="108"/>
        <item x="109"/>
        <item x="135"/>
        <item x="145"/>
        <item x="132"/>
        <item x="129"/>
        <item x="177"/>
        <item x="176"/>
        <item x="134"/>
        <item x="125"/>
        <item x="128"/>
        <item x="138"/>
        <item x="71"/>
        <item x="174"/>
        <item x="143"/>
        <item x="151"/>
        <item x="94"/>
        <item x="73"/>
        <item x="72"/>
        <item x="0"/>
      </items>
    </pivotField>
  </pivotFields>
  <rowFields count="4">
    <field x="7"/>
    <field x="4"/>
    <field x="1"/>
    <field x="3"/>
  </rowFields>
  <rowItems count="8">
    <i>
      <x v="29"/>
      <x v="10"/>
      <x v="59"/>
      <x v="23"/>
    </i>
    <i>
      <x v="39"/>
      <x v="19"/>
      <x v="15"/>
      <x v="57"/>
    </i>
    <i>
      <x v="61"/>
      <x v="13"/>
      <x v="78"/>
      <x v="91"/>
    </i>
    <i>
      <x v="116"/>
      <x v="21"/>
      <x v="67"/>
      <x v="76"/>
    </i>
    <i>
      <x v="123"/>
      <x v="2"/>
      <x v="80"/>
      <x v="105"/>
    </i>
    <i>
      <x v="140"/>
      <x v="22"/>
      <x v="9"/>
      <x v="56"/>
    </i>
    <i>
      <x v="172"/>
      <x v="35"/>
      <x v="82"/>
      <x v="102"/>
    </i>
    <i t="grand">
      <x/>
    </i>
  </rowItems>
  <colItems count="1">
    <i/>
  </colItems>
  <pageFields count="2">
    <pageField fld="0" item="4" hier="-1"/>
    <pageField fld="5" item="8" hier="-1"/>
  </pageFields>
  <dataFields count="1">
    <dataField name="Sum of Total Cap" fld="6" baseField="4" baseItem="2"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PivotTable4" cacheId="93" applyNumberFormats="0" applyBorderFormats="0" applyFontFormats="0" applyPatternFormats="0" applyAlignmentFormats="0" applyWidthHeightFormats="1" dataCaption="Values" updatedVersion="7" minRefreshableVersion="3" itemPrintTitles="1" createdVersion="5" indent="0" compact="0" compactData="0" gridDropZones="1" multipleFieldFilters="0" fieldListSortAscending="1">
  <location ref="A89:E99" firstHeaderRow="2" firstDataRow="2" firstDataCol="4" rowPageCount="2" colPageCount="1"/>
  <pivotFields count="8">
    <pivotField axis="axisPage" compact="0" outline="0" showAll="0" defaultSubtotal="0">
      <items count="5">
        <item x="4"/>
        <item x="3"/>
        <item x="2"/>
        <item x="1"/>
        <item x="0"/>
      </items>
    </pivotField>
    <pivotField axis="axisRow" compact="0" outline="0" showAll="0" defaultSubtotal="0">
      <items count="88">
        <item x="59"/>
        <item x="60"/>
        <item x="61"/>
        <item x="62"/>
        <item x="6"/>
        <item x="63"/>
        <item x="64"/>
        <item x="65"/>
        <item x="9"/>
        <item x="10"/>
        <item x="66"/>
        <item x="67"/>
        <item x="12"/>
        <item x="13"/>
        <item x="68"/>
        <item x="14"/>
        <item x="69"/>
        <item x="15"/>
        <item x="18"/>
        <item x="19"/>
        <item x="20"/>
        <item x="70"/>
        <item x="21"/>
        <item x="22"/>
        <item x="71"/>
        <item x="23"/>
        <item x="87"/>
        <item x="24"/>
        <item x="25"/>
        <item x="72"/>
        <item x="26"/>
        <item x="28"/>
        <item x="29"/>
        <item x="73"/>
        <item x="30"/>
        <item x="31"/>
        <item x="32"/>
        <item x="34"/>
        <item x="74"/>
        <item x="35"/>
        <item x="75"/>
        <item x="76"/>
        <item x="36"/>
        <item x="37"/>
        <item x="38"/>
        <item x="77"/>
        <item x="78"/>
        <item x="39"/>
        <item x="40"/>
        <item x="79"/>
        <item x="80"/>
        <item x="42"/>
        <item x="43"/>
        <item x="82"/>
        <item x="83"/>
        <item x="45"/>
        <item x="46"/>
        <item x="47"/>
        <item x="48"/>
        <item x="50"/>
        <item x="52"/>
        <item x="84"/>
        <item x="53"/>
        <item x="85"/>
        <item x="86"/>
        <item x="3"/>
        <item x="11"/>
        <item x="16"/>
        <item x="33"/>
        <item x="81"/>
        <item x="51"/>
        <item x="55"/>
        <item x="0"/>
        <item x="5"/>
        <item x="41"/>
        <item x="54"/>
        <item x="57"/>
        <item x="58"/>
        <item x="1"/>
        <item x="4"/>
        <item x="17"/>
        <item x="56"/>
        <item x="2"/>
        <item x="7"/>
        <item x="8"/>
        <item x="27"/>
        <item x="44"/>
        <item x="49"/>
      </items>
    </pivotField>
    <pivotField compact="0" outline="0" showAll="0"/>
    <pivotField axis="axisRow" compact="0" outline="0" showAll="0">
      <items count="114">
        <item x="70"/>
        <item x="43"/>
        <item x="21"/>
        <item x="19"/>
        <item x="26"/>
        <item x="105"/>
        <item x="40"/>
        <item x="29"/>
        <item x="12"/>
        <item x="50"/>
        <item x="80"/>
        <item x="78"/>
        <item x="27"/>
        <item x="95"/>
        <item x="34"/>
        <item x="46"/>
        <item x="109"/>
        <item x="87"/>
        <item x="15"/>
        <item x="107"/>
        <item x="91"/>
        <item x="102"/>
        <item x="86"/>
        <item x="60"/>
        <item x="90"/>
        <item x="111"/>
        <item x="93"/>
        <item x="83"/>
        <item x="58"/>
        <item x="85"/>
        <item x="63"/>
        <item x="37"/>
        <item x="71"/>
        <item x="45"/>
        <item x="79"/>
        <item x="110"/>
        <item x="99"/>
        <item x="57"/>
        <item x="62"/>
        <item x="48"/>
        <item x="88"/>
        <item x="56"/>
        <item x="94"/>
        <item x="31"/>
        <item x="36"/>
        <item x="89"/>
        <item x="76"/>
        <item x="47"/>
        <item x="108"/>
        <item x="18"/>
        <item x="39"/>
        <item x="55"/>
        <item x="77"/>
        <item x="24"/>
        <item x="97"/>
        <item x="101"/>
        <item x="16"/>
        <item x="20"/>
        <item x="106"/>
        <item x="96"/>
        <item x="25"/>
        <item x="33"/>
        <item x="81"/>
        <item x="98"/>
        <item x="30"/>
        <item x="112"/>
        <item x="44"/>
        <item x="32"/>
        <item x="104"/>
        <item x="42"/>
        <item x="92"/>
        <item x="28"/>
        <item x="9"/>
        <item x="82"/>
        <item x="84"/>
        <item x="17"/>
        <item x="22"/>
        <item x="38"/>
        <item x="41"/>
        <item x="100"/>
        <item x="51"/>
        <item x="103"/>
        <item x="61"/>
        <item x="65"/>
        <item x="6"/>
        <item x="0"/>
        <item x="11"/>
        <item x="73"/>
        <item x="75"/>
        <item x="64"/>
        <item x="68"/>
        <item x="7"/>
        <item x="10"/>
        <item x="69"/>
        <item x="72"/>
        <item x="74"/>
        <item x="67"/>
        <item x="1"/>
        <item x="2"/>
        <item x="3"/>
        <item x="4"/>
        <item x="5"/>
        <item x="8"/>
        <item x="13"/>
        <item x="14"/>
        <item x="23"/>
        <item x="35"/>
        <item x="49"/>
        <item x="52"/>
        <item x="53"/>
        <item x="54"/>
        <item x="59"/>
        <item x="66"/>
        <item t="default"/>
      </items>
    </pivotField>
    <pivotField axis="axisRow" compact="0" outline="0" showAll="0" defaultSubtotal="0">
      <items count="47">
        <item x="17"/>
        <item x="39"/>
        <item x="0"/>
        <item x="40"/>
        <item x="18"/>
        <item x="8"/>
        <item x="3"/>
        <item x="41"/>
        <item x="32"/>
        <item x="25"/>
        <item x="5"/>
        <item x="14"/>
        <item x="16"/>
        <item x="6"/>
        <item x="19"/>
        <item x="38"/>
        <item x="34"/>
        <item x="1"/>
        <item x="13"/>
        <item x="15"/>
        <item x="20"/>
        <item x="2"/>
        <item x="12"/>
        <item m="1" x="46"/>
        <item x="30"/>
        <item x="31"/>
        <item x="11"/>
        <item x="33"/>
        <item m="1" x="44"/>
        <item m="1" x="43"/>
        <item m="1" x="42"/>
        <item x="22"/>
        <item x="35"/>
        <item x="36"/>
        <item x="37"/>
        <item x="7"/>
        <item x="27"/>
        <item m="1" x="45"/>
        <item x="29"/>
        <item x="9"/>
        <item x="21"/>
        <item x="26"/>
        <item x="28"/>
        <item x="4"/>
        <item x="10"/>
        <item x="23"/>
        <item x="24"/>
      </items>
    </pivotField>
    <pivotField axis="axisPage" compact="0" outline="0" showAll="0" defaultSubtotal="0">
      <items count="15">
        <item x="11"/>
        <item x="12"/>
        <item x="10"/>
        <item x="13"/>
        <item m="1" x="14"/>
        <item x="4"/>
        <item x="5"/>
        <item x="9"/>
        <item x="3"/>
        <item x="2"/>
        <item x="0"/>
        <item x="8"/>
        <item x="6"/>
        <item x="1"/>
        <item x="7"/>
      </items>
    </pivotField>
    <pivotField dataField="1" compact="0" outline="0" showAll="0"/>
    <pivotField axis="axisRow" compact="0" outline="0" showAll="0" sortType="ascending" defaultSubtotal="0">
      <items count="193">
        <item x="4"/>
        <item x="3"/>
        <item x="5"/>
        <item x="1"/>
        <item x="52"/>
        <item x="2"/>
        <item x="157"/>
        <item x="15"/>
        <item x="156"/>
        <item x="107"/>
        <item x="16"/>
        <item x="58"/>
        <item x="166"/>
        <item x="154"/>
        <item x="118"/>
        <item x="54"/>
        <item x="172"/>
        <item x="97"/>
        <item x="56"/>
        <item x="27"/>
        <item x="105"/>
        <item x="117"/>
        <item x="55"/>
        <item x="57"/>
        <item x="164"/>
        <item m="1" x="189"/>
        <item x="78"/>
        <item x="22"/>
        <item x="115"/>
        <item x="63"/>
        <item x="93"/>
        <item m="1" x="190"/>
        <item x="171"/>
        <item x="121"/>
        <item x="11"/>
        <item x="64"/>
        <item x="160"/>
        <item x="100"/>
        <item x="59"/>
        <item x="21"/>
        <item x="182"/>
        <item x="91"/>
        <item x="10"/>
        <item x="28"/>
        <item x="180"/>
        <item x="77"/>
        <item x="140"/>
        <item x="14"/>
        <item x="68"/>
        <item x="158"/>
        <item x="185"/>
        <item x="67"/>
        <item x="49"/>
        <item x="181"/>
        <item x="106"/>
        <item x="18"/>
        <item x="163"/>
        <item x="184"/>
        <item x="47"/>
        <item x="89"/>
        <item x="76"/>
        <item x="7"/>
        <item x="162"/>
        <item x="88"/>
        <item x="61"/>
        <item x="74"/>
        <item x="122"/>
        <item x="6"/>
        <item x="62"/>
        <item x="51"/>
        <item x="43"/>
        <item x="37"/>
        <item x="46"/>
        <item x="60"/>
        <item x="48"/>
        <item x="50"/>
        <item x="69"/>
        <item x="38"/>
        <item x="39"/>
        <item x="116"/>
        <item x="40"/>
        <item x="104"/>
        <item x="79"/>
        <item x="44"/>
        <item m="1" x="191"/>
        <item x="30"/>
        <item x="36"/>
        <item x="119"/>
        <item x="53"/>
        <item x="137"/>
        <item x="120"/>
        <item x="141"/>
        <item x="95"/>
        <item x="101"/>
        <item x="165"/>
        <item x="80"/>
        <item x="35"/>
        <item x="142"/>
        <item x="29"/>
        <item x="167"/>
        <item m="1" x="192"/>
        <item x="90"/>
        <item x="25"/>
        <item x="75"/>
        <item x="136"/>
        <item x="31"/>
        <item x="173"/>
        <item x="26"/>
        <item x="12"/>
        <item x="45"/>
        <item x="102"/>
        <item x="87"/>
        <item x="13"/>
        <item x="86"/>
        <item x="133"/>
        <item x="110"/>
        <item x="23"/>
        <item x="144"/>
        <item x="20"/>
        <item x="70"/>
        <item x="152"/>
        <item x="8"/>
        <item x="153"/>
        <item x="24"/>
        <item m="1" x="188"/>
        <item x="103"/>
        <item x="124"/>
        <item x="41"/>
        <item x="168"/>
        <item x="85"/>
        <item x="19"/>
        <item x="113"/>
        <item x="161"/>
        <item x="127"/>
        <item x="130"/>
        <item x="150"/>
        <item x="148"/>
        <item m="1" x="186"/>
        <item x="66"/>
        <item x="92"/>
        <item x="17"/>
        <item m="1" x="187"/>
        <item x="175"/>
        <item x="33"/>
        <item x="82"/>
        <item x="139"/>
        <item x="98"/>
        <item x="32"/>
        <item x="84"/>
        <item x="155"/>
        <item x="111"/>
        <item x="149"/>
        <item x="81"/>
        <item x="34"/>
        <item x="112"/>
        <item x="159"/>
        <item x="178"/>
        <item x="126"/>
        <item x="42"/>
        <item x="83"/>
        <item x="65"/>
        <item x="169"/>
        <item x="131"/>
        <item x="99"/>
        <item x="170"/>
        <item x="96"/>
        <item x="147"/>
        <item x="123"/>
        <item x="179"/>
        <item x="183"/>
        <item x="146"/>
        <item x="114"/>
        <item x="9"/>
        <item x="108"/>
        <item x="109"/>
        <item x="135"/>
        <item x="145"/>
        <item x="132"/>
        <item x="129"/>
        <item x="177"/>
        <item x="176"/>
        <item x="134"/>
        <item x="125"/>
        <item x="128"/>
        <item x="138"/>
        <item x="71"/>
        <item x="174"/>
        <item x="143"/>
        <item x="151"/>
        <item x="94"/>
        <item x="73"/>
        <item x="72"/>
        <item x="0"/>
      </items>
    </pivotField>
  </pivotFields>
  <rowFields count="4">
    <field x="7"/>
    <field x="4"/>
    <field x="1"/>
    <field x="3"/>
  </rowFields>
  <rowItems count="9">
    <i>
      <x v="4"/>
      <x v="40"/>
      <x v="74"/>
      <x v="107"/>
    </i>
    <i>
      <x v="48"/>
      <x v="41"/>
      <x v="75"/>
      <x v="89"/>
    </i>
    <i>
      <x v="67"/>
      <x v="10"/>
      <x v="72"/>
      <x v="84"/>
    </i>
    <i>
      <x v="68"/>
      <x v="46"/>
      <x v="87"/>
      <x v="111"/>
    </i>
    <i>
      <x v="69"/>
      <x v="20"/>
      <x v="74"/>
      <x v="105"/>
    </i>
    <i>
      <x v="119"/>
      <x v="42"/>
      <x v="81"/>
      <x v="112"/>
    </i>
    <i>
      <x v="138"/>
      <x v="9"/>
      <x v="60"/>
      <x v="38"/>
    </i>
    <i>
      <x v="185"/>
      <x v="42"/>
      <x v="81"/>
      <x v="96"/>
    </i>
    <i t="grand">
      <x/>
    </i>
  </rowItems>
  <colItems count="1">
    <i/>
  </colItems>
  <pageFields count="2">
    <pageField fld="0" item="4" hier="-1"/>
    <pageField fld="5" item="9" hier="-1"/>
  </pageFields>
  <dataFields count="1">
    <dataField name="Sum of Total Cap" fld="6" baseField="4" baseItem="2"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93" applyNumberFormats="0" applyBorderFormats="0" applyFontFormats="0" applyPatternFormats="0" applyAlignmentFormats="0" applyWidthHeightFormats="1" dataCaption="Values" updatedVersion="7" minRefreshableVersion="3" itemPrintTitles="1" createdVersion="5" indent="0" compact="0" compactData="0" gridDropZones="1" multipleFieldFilters="0" fieldListSortAscending="1">
  <location ref="A42:E64" firstHeaderRow="2" firstDataRow="2" firstDataCol="4" rowPageCount="2" colPageCount="1"/>
  <pivotFields count="8">
    <pivotField axis="axisPage" compact="0" outline="0" showAll="0" defaultSubtotal="0">
      <items count="5">
        <item x="4"/>
        <item x="3"/>
        <item x="2"/>
        <item x="1"/>
        <item x="0"/>
      </items>
    </pivotField>
    <pivotField axis="axisRow" compact="0" outline="0" showAll="0" defaultSubtotal="0">
      <items count="88">
        <item x="59"/>
        <item x="60"/>
        <item x="61"/>
        <item x="62"/>
        <item x="6"/>
        <item x="63"/>
        <item x="64"/>
        <item x="65"/>
        <item x="9"/>
        <item x="10"/>
        <item x="66"/>
        <item x="67"/>
        <item x="12"/>
        <item x="13"/>
        <item x="68"/>
        <item x="14"/>
        <item x="69"/>
        <item x="15"/>
        <item x="18"/>
        <item x="19"/>
        <item x="20"/>
        <item x="70"/>
        <item x="21"/>
        <item x="22"/>
        <item x="71"/>
        <item x="23"/>
        <item x="87"/>
        <item x="24"/>
        <item x="25"/>
        <item x="72"/>
        <item x="26"/>
        <item x="28"/>
        <item x="29"/>
        <item x="73"/>
        <item x="30"/>
        <item x="31"/>
        <item x="32"/>
        <item x="34"/>
        <item x="74"/>
        <item x="35"/>
        <item x="75"/>
        <item x="76"/>
        <item x="36"/>
        <item x="37"/>
        <item x="38"/>
        <item x="77"/>
        <item x="78"/>
        <item x="39"/>
        <item x="40"/>
        <item x="79"/>
        <item x="80"/>
        <item x="42"/>
        <item x="43"/>
        <item x="82"/>
        <item x="83"/>
        <item x="45"/>
        <item x="46"/>
        <item x="47"/>
        <item x="48"/>
        <item x="50"/>
        <item x="52"/>
        <item x="84"/>
        <item x="53"/>
        <item x="85"/>
        <item x="86"/>
        <item x="3"/>
        <item x="11"/>
        <item x="16"/>
        <item x="33"/>
        <item x="81"/>
        <item x="51"/>
        <item x="55"/>
        <item x="0"/>
        <item x="5"/>
        <item x="41"/>
        <item x="54"/>
        <item x="57"/>
        <item x="58"/>
        <item x="1"/>
        <item x="4"/>
        <item x="17"/>
        <item x="56"/>
        <item x="2"/>
        <item x="7"/>
        <item x="8"/>
        <item x="27"/>
        <item x="44"/>
        <item x="49"/>
      </items>
    </pivotField>
    <pivotField compact="0" outline="0" showAll="0"/>
    <pivotField axis="axisRow" compact="0" outline="0" showAll="0">
      <items count="114">
        <item x="70"/>
        <item x="43"/>
        <item x="21"/>
        <item x="19"/>
        <item x="26"/>
        <item x="105"/>
        <item x="40"/>
        <item x="29"/>
        <item x="12"/>
        <item x="50"/>
        <item x="80"/>
        <item x="78"/>
        <item x="27"/>
        <item x="95"/>
        <item x="34"/>
        <item x="46"/>
        <item x="109"/>
        <item x="87"/>
        <item x="15"/>
        <item x="107"/>
        <item x="91"/>
        <item x="102"/>
        <item x="86"/>
        <item x="60"/>
        <item x="90"/>
        <item x="111"/>
        <item x="93"/>
        <item x="83"/>
        <item x="58"/>
        <item x="85"/>
        <item x="63"/>
        <item x="37"/>
        <item x="71"/>
        <item x="45"/>
        <item x="79"/>
        <item x="110"/>
        <item x="99"/>
        <item x="57"/>
        <item x="62"/>
        <item x="48"/>
        <item x="88"/>
        <item x="56"/>
        <item x="94"/>
        <item x="31"/>
        <item x="36"/>
        <item x="89"/>
        <item x="76"/>
        <item x="47"/>
        <item x="108"/>
        <item x="18"/>
        <item x="39"/>
        <item x="55"/>
        <item x="77"/>
        <item x="24"/>
        <item x="97"/>
        <item x="101"/>
        <item x="16"/>
        <item x="20"/>
        <item x="106"/>
        <item x="96"/>
        <item x="25"/>
        <item x="33"/>
        <item x="81"/>
        <item x="98"/>
        <item x="30"/>
        <item x="112"/>
        <item x="44"/>
        <item x="32"/>
        <item x="104"/>
        <item x="42"/>
        <item x="92"/>
        <item x="28"/>
        <item x="9"/>
        <item x="82"/>
        <item x="84"/>
        <item x="17"/>
        <item x="22"/>
        <item x="38"/>
        <item x="41"/>
        <item x="100"/>
        <item x="51"/>
        <item x="103"/>
        <item x="61"/>
        <item x="65"/>
        <item x="6"/>
        <item x="0"/>
        <item x="11"/>
        <item x="73"/>
        <item x="75"/>
        <item x="64"/>
        <item x="68"/>
        <item x="7"/>
        <item x="10"/>
        <item x="69"/>
        <item x="72"/>
        <item x="74"/>
        <item x="67"/>
        <item x="1"/>
        <item x="2"/>
        <item x="3"/>
        <item x="4"/>
        <item x="5"/>
        <item x="8"/>
        <item x="13"/>
        <item x="14"/>
        <item x="23"/>
        <item x="35"/>
        <item x="49"/>
        <item x="52"/>
        <item x="53"/>
        <item x="54"/>
        <item x="59"/>
        <item x="66"/>
        <item t="default"/>
      </items>
    </pivotField>
    <pivotField axis="axisRow" compact="0" outline="0" showAll="0" defaultSubtotal="0">
      <items count="47">
        <item x="17"/>
        <item x="39"/>
        <item x="0"/>
        <item x="40"/>
        <item x="18"/>
        <item x="8"/>
        <item x="3"/>
        <item x="41"/>
        <item x="32"/>
        <item x="25"/>
        <item x="5"/>
        <item x="14"/>
        <item x="16"/>
        <item x="6"/>
        <item x="19"/>
        <item x="38"/>
        <item x="34"/>
        <item x="1"/>
        <item x="13"/>
        <item x="15"/>
        <item x="20"/>
        <item x="2"/>
        <item x="12"/>
        <item m="1" x="46"/>
        <item x="30"/>
        <item x="31"/>
        <item x="11"/>
        <item x="33"/>
        <item m="1" x="44"/>
        <item m="1" x="43"/>
        <item m="1" x="42"/>
        <item x="22"/>
        <item x="35"/>
        <item x="36"/>
        <item x="37"/>
        <item x="7"/>
        <item x="27"/>
        <item m="1" x="45"/>
        <item x="29"/>
        <item x="9"/>
        <item x="21"/>
        <item x="26"/>
        <item x="28"/>
        <item x="4"/>
        <item x="10"/>
        <item x="23"/>
        <item x="24"/>
      </items>
    </pivotField>
    <pivotField axis="axisPage" compact="0" outline="0" showAll="0" defaultSubtotal="0">
      <items count="15">
        <item x="11"/>
        <item x="12"/>
        <item x="10"/>
        <item x="13"/>
        <item m="1" x="14"/>
        <item x="4"/>
        <item x="5"/>
        <item x="9"/>
        <item x="3"/>
        <item x="2"/>
        <item x="0"/>
        <item x="8"/>
        <item x="6"/>
        <item x="1"/>
        <item x="7"/>
      </items>
    </pivotField>
    <pivotField dataField="1" compact="0" outline="0" showAll="0"/>
    <pivotField axis="axisRow" compact="0" outline="0" showAll="0" sortType="ascending" defaultSubtotal="0">
      <items count="193">
        <item x="4"/>
        <item x="3"/>
        <item x="5"/>
        <item x="1"/>
        <item x="52"/>
        <item x="2"/>
        <item x="157"/>
        <item x="15"/>
        <item x="156"/>
        <item x="107"/>
        <item sd="0" x="16"/>
        <item x="58"/>
        <item x="166"/>
        <item x="154"/>
        <item x="118"/>
        <item x="54"/>
        <item x="172"/>
        <item x="97"/>
        <item x="56"/>
        <item x="27"/>
        <item x="105"/>
        <item x="117"/>
        <item x="55"/>
        <item x="57"/>
        <item x="164"/>
        <item m="1" x="189"/>
        <item x="78"/>
        <item x="22"/>
        <item x="115"/>
        <item x="63"/>
        <item x="93"/>
        <item m="1" x="190"/>
        <item x="171"/>
        <item x="121"/>
        <item x="11"/>
        <item x="64"/>
        <item x="160"/>
        <item x="100"/>
        <item x="59"/>
        <item x="21"/>
        <item x="182"/>
        <item x="91"/>
        <item x="10"/>
        <item x="28"/>
        <item x="180"/>
        <item x="77"/>
        <item x="140"/>
        <item x="14"/>
        <item x="68"/>
        <item x="158"/>
        <item x="185"/>
        <item x="67"/>
        <item x="49"/>
        <item x="181"/>
        <item x="106"/>
        <item x="18"/>
        <item x="163"/>
        <item x="184"/>
        <item x="47"/>
        <item x="89"/>
        <item x="76"/>
        <item x="7"/>
        <item x="162"/>
        <item x="88"/>
        <item x="61"/>
        <item x="74"/>
        <item x="122"/>
        <item x="6"/>
        <item x="62"/>
        <item x="51"/>
        <item x="43"/>
        <item x="37"/>
        <item x="46"/>
        <item x="60"/>
        <item x="48"/>
        <item x="50"/>
        <item x="69"/>
        <item x="38"/>
        <item x="39"/>
        <item x="116"/>
        <item x="40"/>
        <item x="104"/>
        <item x="79"/>
        <item x="44"/>
        <item m="1" x="191"/>
        <item x="30"/>
        <item x="36"/>
        <item x="119"/>
        <item x="53"/>
        <item x="137"/>
        <item x="120"/>
        <item x="141"/>
        <item x="95"/>
        <item x="101"/>
        <item x="165"/>
        <item x="80"/>
        <item x="35"/>
        <item x="142"/>
        <item x="29"/>
        <item x="167"/>
        <item m="1" x="192"/>
        <item x="90"/>
        <item x="25"/>
        <item x="75"/>
        <item x="136"/>
        <item x="31"/>
        <item x="173"/>
        <item x="26"/>
        <item x="12"/>
        <item x="45"/>
        <item x="102"/>
        <item x="87"/>
        <item x="13"/>
        <item x="86"/>
        <item x="133"/>
        <item x="110"/>
        <item x="23"/>
        <item x="144"/>
        <item x="20"/>
        <item x="70"/>
        <item x="152"/>
        <item x="8"/>
        <item x="153"/>
        <item x="24"/>
        <item m="1" x="188"/>
        <item x="103"/>
        <item x="124"/>
        <item x="41"/>
        <item x="168"/>
        <item x="85"/>
        <item x="19"/>
        <item x="113"/>
        <item x="161"/>
        <item x="127"/>
        <item x="130"/>
        <item x="150"/>
        <item x="148"/>
        <item m="1" x="186"/>
        <item x="66"/>
        <item x="92"/>
        <item x="17"/>
        <item m="1" x="187"/>
        <item x="175"/>
        <item x="33"/>
        <item x="82"/>
        <item x="139"/>
        <item x="98"/>
        <item x="32"/>
        <item x="84"/>
        <item x="155"/>
        <item x="111"/>
        <item x="149"/>
        <item x="81"/>
        <item x="34"/>
        <item x="112"/>
        <item x="159"/>
        <item x="178"/>
        <item x="126"/>
        <item x="42"/>
        <item x="83"/>
        <item x="65"/>
        <item x="169"/>
        <item x="131"/>
        <item x="99"/>
        <item x="170"/>
        <item x="96"/>
        <item x="147"/>
        <item x="123"/>
        <item x="179"/>
        <item x="183"/>
        <item x="146"/>
        <item x="114"/>
        <item x="9"/>
        <item x="108"/>
        <item x="109"/>
        <item x="135"/>
        <item x="145"/>
        <item x="132"/>
        <item x="129"/>
        <item x="177"/>
        <item x="176"/>
        <item x="134"/>
        <item x="125"/>
        <item x="128"/>
        <item x="138"/>
        <item x="71"/>
        <item x="174"/>
        <item x="143"/>
        <item x="151"/>
        <item x="94"/>
        <item x="73"/>
        <item x="72"/>
        <item x="0"/>
      </items>
    </pivotField>
  </pivotFields>
  <rowFields count="4">
    <field x="7"/>
    <field x="4"/>
    <field x="1"/>
    <field x="3"/>
  </rowFields>
  <rowItems count="21">
    <i>
      <x v="7"/>
      <x v="44"/>
      <x v="84"/>
      <x v="104"/>
    </i>
    <i>
      <x v="10"/>
    </i>
    <i>
      <x v="11"/>
      <x v="17"/>
      <x v="55"/>
      <x v="51"/>
    </i>
    <i>
      <x v="15"/>
      <x v="31"/>
      <x v="52"/>
      <x v="80"/>
    </i>
    <i>
      <x v="18"/>
      <x/>
      <x v="86"/>
      <x v="109"/>
    </i>
    <i>
      <x v="19"/>
      <x/>
      <x v="19"/>
      <x v="4"/>
    </i>
    <i>
      <x v="22"/>
      <x v="20"/>
      <x v="86"/>
      <x v="108"/>
    </i>
    <i>
      <x v="23"/>
      <x v="45"/>
      <x v="86"/>
      <x v="110"/>
    </i>
    <i>
      <x v="27"/>
      <x v="11"/>
      <x v="17"/>
      <x v="2"/>
    </i>
    <i>
      <x v="34"/>
      <x v="39"/>
      <x v="79"/>
      <x v="92"/>
    </i>
    <i>
      <x v="38"/>
      <x v="5"/>
      <x v="56"/>
      <x v="41"/>
    </i>
    <i>
      <x v="42"/>
      <x v="5"/>
      <x v="65"/>
      <x v="72"/>
    </i>
    <i>
      <x v="47"/>
      <x v="39"/>
      <x v="83"/>
      <x v="103"/>
    </i>
    <i>
      <x v="51"/>
      <x v="21"/>
      <x v="62"/>
      <x v="30"/>
    </i>
    <i>
      <x v="72"/>
      <x v="13"/>
      <x v="42"/>
      <x v="66"/>
    </i>
    <i>
      <x v="73"/>
      <x v="35"/>
      <x v="57"/>
      <x v="37"/>
    </i>
    <i>
      <x v="102"/>
      <x v="5"/>
      <x v="18"/>
      <x v="53"/>
    </i>
    <i>
      <x v="107"/>
      <x v="12"/>
      <x v="18"/>
      <x v="60"/>
    </i>
    <i>
      <x v="108"/>
      <x v="5"/>
      <x v="73"/>
      <x v="86"/>
    </i>
    <i>
      <x v="121"/>
      <x v="35"/>
      <x v="82"/>
      <x v="102"/>
    </i>
    <i t="grand">
      <x/>
    </i>
  </rowItems>
  <colItems count="1">
    <i/>
  </colItems>
  <pageFields count="2">
    <pageField fld="0" item="4" hier="-1"/>
    <pageField fld="5" item="5" hier="-1"/>
  </pageFields>
  <dataFields count="1">
    <dataField name="Sum of Total Cap" fld="6" baseField="4" baseItem="2"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PivotTable2" cacheId="93" applyNumberFormats="0" applyBorderFormats="0" applyFontFormats="0" applyPatternFormats="0" applyAlignmentFormats="0" applyWidthHeightFormats="1" dataCaption="Values" updatedVersion="7" minRefreshableVersion="3" itemPrintTitles="1" createdVersion="5" indent="0" compact="0" compactData="0" gridDropZones="1" multipleFieldFilters="0" fieldListSortAscending="1">
  <location ref="A4:E35" firstHeaderRow="2" firstDataRow="2" firstDataCol="4" rowPageCount="2" colPageCount="1"/>
  <pivotFields count="8">
    <pivotField axis="axisPage" compact="0" outline="0" showAll="0" defaultSubtotal="0">
      <items count="5">
        <item x="4"/>
        <item x="3"/>
        <item x="2"/>
        <item x="1"/>
        <item x="0"/>
      </items>
    </pivotField>
    <pivotField axis="axisRow" compact="0" outline="0" showAll="0" defaultSubtotal="0">
      <items count="88">
        <item x="59"/>
        <item x="60"/>
        <item x="61"/>
        <item x="62"/>
        <item x="6"/>
        <item x="63"/>
        <item x="64"/>
        <item x="65"/>
        <item x="9"/>
        <item x="10"/>
        <item x="66"/>
        <item x="67"/>
        <item x="12"/>
        <item x="13"/>
        <item x="68"/>
        <item x="14"/>
        <item x="69"/>
        <item x="15"/>
        <item x="18"/>
        <item x="19"/>
        <item x="20"/>
        <item x="70"/>
        <item x="21"/>
        <item x="22"/>
        <item x="71"/>
        <item x="23"/>
        <item x="87"/>
        <item x="24"/>
        <item x="25"/>
        <item x="72"/>
        <item x="26"/>
        <item x="28"/>
        <item x="29"/>
        <item x="73"/>
        <item x="30"/>
        <item x="31"/>
        <item x="32"/>
        <item x="34"/>
        <item x="74"/>
        <item x="35"/>
        <item x="75"/>
        <item x="76"/>
        <item x="36"/>
        <item x="37"/>
        <item x="38"/>
        <item x="77"/>
        <item x="78"/>
        <item x="39"/>
        <item x="40"/>
        <item x="79"/>
        <item x="80"/>
        <item x="42"/>
        <item x="43"/>
        <item x="82"/>
        <item x="83"/>
        <item x="45"/>
        <item x="46"/>
        <item x="47"/>
        <item x="48"/>
        <item x="50"/>
        <item x="52"/>
        <item x="84"/>
        <item x="53"/>
        <item x="85"/>
        <item x="86"/>
        <item x="3"/>
        <item x="11"/>
        <item x="16"/>
        <item x="33"/>
        <item x="81"/>
        <item x="51"/>
        <item x="55"/>
        <item x="0"/>
        <item x="5"/>
        <item x="41"/>
        <item x="54"/>
        <item x="57"/>
        <item x="58"/>
        <item x="1"/>
        <item x="4"/>
        <item x="17"/>
        <item x="56"/>
        <item x="2"/>
        <item x="7"/>
        <item x="8"/>
        <item x="27"/>
        <item x="44"/>
        <item x="49"/>
      </items>
    </pivotField>
    <pivotField compact="0" outline="0" showAll="0"/>
    <pivotField axis="axisRow" compact="0" outline="0" showAll="0">
      <items count="114">
        <item x="70"/>
        <item x="43"/>
        <item x="21"/>
        <item x="19"/>
        <item x="26"/>
        <item x="105"/>
        <item x="40"/>
        <item x="29"/>
        <item x="12"/>
        <item x="50"/>
        <item x="80"/>
        <item x="78"/>
        <item x="27"/>
        <item x="95"/>
        <item x="34"/>
        <item x="46"/>
        <item x="109"/>
        <item x="87"/>
        <item x="15"/>
        <item x="107"/>
        <item x="91"/>
        <item x="102"/>
        <item x="86"/>
        <item x="60"/>
        <item x="90"/>
        <item x="111"/>
        <item x="93"/>
        <item x="83"/>
        <item x="58"/>
        <item x="85"/>
        <item x="63"/>
        <item x="37"/>
        <item x="71"/>
        <item x="45"/>
        <item x="79"/>
        <item x="110"/>
        <item x="99"/>
        <item x="57"/>
        <item x="62"/>
        <item x="48"/>
        <item x="88"/>
        <item x="56"/>
        <item x="94"/>
        <item x="31"/>
        <item x="36"/>
        <item x="89"/>
        <item x="76"/>
        <item x="47"/>
        <item x="108"/>
        <item x="18"/>
        <item x="39"/>
        <item x="55"/>
        <item x="77"/>
        <item x="24"/>
        <item x="97"/>
        <item x="101"/>
        <item x="16"/>
        <item x="20"/>
        <item x="106"/>
        <item x="96"/>
        <item x="25"/>
        <item x="33"/>
        <item x="81"/>
        <item x="98"/>
        <item x="30"/>
        <item x="112"/>
        <item x="44"/>
        <item x="32"/>
        <item x="104"/>
        <item x="42"/>
        <item x="92"/>
        <item x="28"/>
        <item x="9"/>
        <item x="82"/>
        <item x="84"/>
        <item x="17"/>
        <item x="22"/>
        <item x="38"/>
        <item x="41"/>
        <item x="100"/>
        <item x="51"/>
        <item x="103"/>
        <item x="61"/>
        <item x="65"/>
        <item x="6"/>
        <item x="0"/>
        <item x="11"/>
        <item x="73"/>
        <item x="75"/>
        <item x="64"/>
        <item x="68"/>
        <item x="7"/>
        <item x="10"/>
        <item x="69"/>
        <item x="72"/>
        <item x="74"/>
        <item x="67"/>
        <item x="1"/>
        <item x="2"/>
        <item x="3"/>
        <item x="4"/>
        <item x="5"/>
        <item x="8"/>
        <item x="13"/>
        <item x="14"/>
        <item x="23"/>
        <item x="35"/>
        <item x="49"/>
        <item x="52"/>
        <item x="53"/>
        <item x="54"/>
        <item x="59"/>
        <item x="66"/>
        <item t="default"/>
      </items>
    </pivotField>
    <pivotField axis="axisRow" compact="0" outline="0" showAll="0" defaultSubtotal="0">
      <items count="47">
        <item x="17"/>
        <item x="39"/>
        <item x="0"/>
        <item x="40"/>
        <item x="18"/>
        <item x="8"/>
        <item x="3"/>
        <item x="41"/>
        <item x="32"/>
        <item x="25"/>
        <item x="5"/>
        <item x="14"/>
        <item x="16"/>
        <item x="6"/>
        <item x="19"/>
        <item x="38"/>
        <item x="34"/>
        <item x="1"/>
        <item x="13"/>
        <item x="15"/>
        <item x="20"/>
        <item x="2"/>
        <item x="12"/>
        <item m="1" x="46"/>
        <item x="30"/>
        <item x="31"/>
        <item x="11"/>
        <item x="33"/>
        <item m="1" x="44"/>
        <item m="1" x="43"/>
        <item m="1" x="42"/>
        <item x="22"/>
        <item x="35"/>
        <item x="36"/>
        <item x="37"/>
        <item x="7"/>
        <item x="27"/>
        <item m="1" x="45"/>
        <item x="29"/>
        <item x="9"/>
        <item x="21"/>
        <item x="26"/>
        <item x="28"/>
        <item x="4"/>
        <item x="10"/>
        <item x="23"/>
        <item x="24"/>
      </items>
    </pivotField>
    <pivotField axis="axisPage" compact="0" outline="0" showAll="0" defaultSubtotal="0">
      <items count="15">
        <item x="11"/>
        <item x="12"/>
        <item x="10"/>
        <item x="13"/>
        <item m="1" x="14"/>
        <item x="4"/>
        <item x="5"/>
        <item x="9"/>
        <item x="3"/>
        <item x="2"/>
        <item x="0"/>
        <item x="8"/>
        <item x="6"/>
        <item x="1"/>
        <item x="7"/>
      </items>
    </pivotField>
    <pivotField dataField="1" compact="0" outline="0" showAll="0"/>
    <pivotField axis="axisRow" compact="0" outline="0" showAll="0" sortType="ascending" defaultSubtotal="0">
      <items count="193">
        <item x="4"/>
        <item x="3"/>
        <item x="5"/>
        <item x="1"/>
        <item x="52"/>
        <item x="2"/>
        <item x="157"/>
        <item x="15"/>
        <item x="156"/>
        <item x="107"/>
        <item x="16"/>
        <item x="58"/>
        <item x="166"/>
        <item x="154"/>
        <item x="118"/>
        <item x="54"/>
        <item x="172"/>
        <item x="97"/>
        <item x="56"/>
        <item x="27"/>
        <item x="105"/>
        <item x="117"/>
        <item x="55"/>
        <item x="57"/>
        <item x="164"/>
        <item m="1" x="189"/>
        <item x="78"/>
        <item x="22"/>
        <item x="115"/>
        <item x="63"/>
        <item x="93"/>
        <item m="1" x="190"/>
        <item x="171"/>
        <item x="121"/>
        <item x="11"/>
        <item x="64"/>
        <item x="160"/>
        <item x="100"/>
        <item x="59"/>
        <item x="21"/>
        <item x="182"/>
        <item x="91"/>
        <item x="10"/>
        <item x="28"/>
        <item x="180"/>
        <item x="77"/>
        <item x="140"/>
        <item x="14"/>
        <item x="68"/>
        <item x="158"/>
        <item x="185"/>
        <item x="67"/>
        <item x="49"/>
        <item x="181"/>
        <item x="106"/>
        <item x="18"/>
        <item x="163"/>
        <item x="184"/>
        <item x="47"/>
        <item x="89"/>
        <item x="76"/>
        <item x="7"/>
        <item x="162"/>
        <item x="88"/>
        <item x="61"/>
        <item x="74"/>
        <item x="122"/>
        <item x="6"/>
        <item x="62"/>
        <item x="51"/>
        <item x="43"/>
        <item x="37"/>
        <item x="46"/>
        <item x="60"/>
        <item x="48"/>
        <item x="50"/>
        <item x="69"/>
        <item x="38"/>
        <item x="39"/>
        <item x="116"/>
        <item x="40"/>
        <item x="104"/>
        <item x="79"/>
        <item x="44"/>
        <item m="1" x="191"/>
        <item x="30"/>
        <item x="36"/>
        <item x="119"/>
        <item x="53"/>
        <item x="137"/>
        <item x="120"/>
        <item x="141"/>
        <item x="95"/>
        <item x="101"/>
        <item x="165"/>
        <item x="80"/>
        <item x="35"/>
        <item x="142"/>
        <item x="29"/>
        <item x="167"/>
        <item m="1" x="192"/>
        <item x="90"/>
        <item x="25"/>
        <item x="75"/>
        <item x="136"/>
        <item x="31"/>
        <item x="173"/>
        <item x="26"/>
        <item x="12"/>
        <item x="45"/>
        <item x="102"/>
        <item x="87"/>
        <item x="13"/>
        <item x="86"/>
        <item x="133"/>
        <item x="110"/>
        <item x="23"/>
        <item x="144"/>
        <item x="20"/>
        <item x="70"/>
        <item x="152"/>
        <item x="8"/>
        <item x="153"/>
        <item x="24"/>
        <item m="1" x="188"/>
        <item x="103"/>
        <item x="124"/>
        <item x="41"/>
        <item x="168"/>
        <item x="85"/>
        <item x="19"/>
        <item x="113"/>
        <item x="161"/>
        <item x="127"/>
        <item x="130"/>
        <item x="150"/>
        <item x="148"/>
        <item m="1" x="186"/>
        <item x="66"/>
        <item x="92"/>
        <item x="17"/>
        <item m="1" x="187"/>
        <item x="175"/>
        <item x="33"/>
        <item x="82"/>
        <item x="139"/>
        <item x="98"/>
        <item x="32"/>
        <item x="84"/>
        <item x="155"/>
        <item x="111"/>
        <item x="149"/>
        <item x="81"/>
        <item x="34"/>
        <item x="112"/>
        <item x="159"/>
        <item x="178"/>
        <item x="126"/>
        <item x="42"/>
        <item x="83"/>
        <item x="65"/>
        <item x="169"/>
        <item x="131"/>
        <item x="99"/>
        <item x="170"/>
        <item x="96"/>
        <item x="147"/>
        <item x="123"/>
        <item x="179"/>
        <item x="183"/>
        <item x="146"/>
        <item x="114"/>
        <item x="9"/>
        <item x="108"/>
        <item x="109"/>
        <item x="135"/>
        <item x="145"/>
        <item x="132"/>
        <item x="129"/>
        <item x="177"/>
        <item x="176"/>
        <item x="134"/>
        <item x="125"/>
        <item x="128"/>
        <item x="138"/>
        <item x="71"/>
        <item x="174"/>
        <item x="143"/>
        <item x="151"/>
        <item x="94"/>
        <item x="73"/>
        <item x="72"/>
        <item x="0"/>
      </items>
    </pivotField>
  </pivotFields>
  <rowFields count="4">
    <field x="7"/>
    <field x="4"/>
    <field x="1"/>
    <field x="3"/>
  </rowFields>
  <rowItems count="30">
    <i>
      <x v="43"/>
      <x v="18"/>
      <x v="20"/>
      <x v="12"/>
    </i>
    <i>
      <x v="52"/>
      <x v="14"/>
      <x v="47"/>
      <x v="47"/>
    </i>
    <i>
      <x v="55"/>
      <x v="5"/>
      <x v="66"/>
      <x v="75"/>
    </i>
    <i>
      <x v="58"/>
      <x v="14"/>
      <x v="43"/>
      <x v="33"/>
    </i>
    <i>
      <x v="64"/>
      <x v="13"/>
      <x v="58"/>
      <x v="28"/>
    </i>
    <i>
      <x v="70"/>
      <x v="14"/>
      <x v="68"/>
      <x v="78"/>
    </i>
    <i>
      <x v="71"/>
      <x v="5"/>
      <x v="85"/>
      <x v="106"/>
    </i>
    <i>
      <x v="74"/>
      <x v="5"/>
      <x v="44"/>
      <x v="15"/>
    </i>
    <i>
      <x v="75"/>
      <x v="14"/>
      <x v="48"/>
      <x v="39"/>
    </i>
    <i>
      <x v="77"/>
      <x v="18"/>
      <x v="31"/>
      <x v="44"/>
    </i>
    <i>
      <x v="78"/>
      <x v="18"/>
      <x v="32"/>
      <x v="31"/>
    </i>
    <i>
      <x v="80"/>
      <x v="18"/>
      <x v="34"/>
      <x v="77"/>
    </i>
    <i>
      <x v="83"/>
      <x v="18"/>
      <x v="37"/>
      <x v="69"/>
    </i>
    <i>
      <x v="85"/>
      <x v="18"/>
      <x v="23"/>
      <x v="7"/>
    </i>
    <i>
      <x v="86"/>
      <x v="5"/>
      <x v="30"/>
      <x v="14"/>
    </i>
    <i>
      <x v="88"/>
      <x v="14"/>
      <x v="51"/>
      <x v="9"/>
    </i>
    <i>
      <x v="96"/>
      <x v="4"/>
      <x v="28"/>
      <x v="61"/>
    </i>
    <i>
      <x v="98"/>
      <x v="4"/>
      <x v="22"/>
      <x v="71"/>
    </i>
    <i>
      <x v="105"/>
      <x v="14"/>
      <x v="25"/>
      <x v="64"/>
    </i>
    <i>
      <x v="109"/>
      <x v="14"/>
      <x v="39"/>
      <x v="1"/>
    </i>
    <i>
      <x v="112"/>
      <x v="17"/>
      <x v="4"/>
      <x v="8"/>
    </i>
    <i>
      <x v="118"/>
      <x v="11"/>
      <x v="13"/>
      <x v="3"/>
    </i>
    <i>
      <x v="127"/>
      <x v="18"/>
      <x v="35"/>
      <x v="50"/>
    </i>
    <i>
      <x v="130"/>
      <x v="18"/>
      <x v="12"/>
      <x v="49"/>
    </i>
    <i>
      <x v="143"/>
      <x v="18"/>
      <x v="27"/>
      <x v="43"/>
    </i>
    <i>
      <x v="147"/>
      <x v="18"/>
      <x v="27"/>
      <x v="105"/>
    </i>
    <i>
      <x v="153"/>
      <x v="18"/>
      <x v="27"/>
      <x v="67"/>
    </i>
    <i>
      <x v="158"/>
      <x v="11"/>
      <x v="36"/>
      <x v="6"/>
    </i>
    <i>
      <x v="160"/>
      <x v="18"/>
      <x v="70"/>
      <x v="82"/>
    </i>
    <i t="grand">
      <x/>
    </i>
  </rowItems>
  <colItems count="1">
    <i/>
  </colItems>
  <pageFields count="2">
    <pageField fld="5" item="6" hier="-1"/>
    <pageField fld="0" item="4" hier="-1"/>
  </pageFields>
  <dataFields count="1">
    <dataField name="Sum of Total Cap" fld="6" baseField="4" baseItem="2"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1" cacheId="94" applyNumberFormats="0" applyBorderFormats="0" applyFontFormats="0" applyPatternFormats="0" applyAlignmentFormats="0" applyWidthHeightFormats="1" dataCaption="Values" updatedVersion="7" minRefreshableVersion="3" rowGrandTotals="0" colGrandTotals="0" itemPrintTitles="1" createdVersion="5" indent="0" compact="0" compactData="0" gridDropZones="1" multipleFieldFilters="0" fieldListSortAscending="1">
  <location ref="A3:L43" firstHeaderRow="1" firstDataRow="3" firstDataCol="2"/>
  <pivotFields count="5">
    <pivotField axis="axisCol" compact="0" outline="0" showAll="0" sortType="descending" defaultSubtotal="0">
      <items count="6">
        <item x="5"/>
        <item x="4"/>
        <item x="3"/>
        <item x="2"/>
        <item x="1"/>
        <item x="0"/>
      </items>
    </pivotField>
    <pivotField axis="axisCol" compact="0" outline="0" showAll="0" sortType="descending">
      <items count="7">
        <item x="5"/>
        <item x="4"/>
        <item x="3"/>
        <item x="2"/>
        <item x="1"/>
        <item x="0"/>
        <item t="default"/>
      </items>
    </pivotField>
    <pivotField axis="axisRow" compact="0" outline="0" showAll="0">
      <items count="22">
        <item x="11"/>
        <item x="12"/>
        <item x="8"/>
        <item x="3"/>
        <item x="0"/>
        <item x="1"/>
        <item x="4"/>
        <item m="1" x="20"/>
        <item x="7"/>
        <item x="9"/>
        <item x="10"/>
        <item x="16"/>
        <item x="13"/>
        <item x="14"/>
        <item x="15"/>
        <item x="17"/>
        <item x="18"/>
        <item x="19"/>
        <item x="2"/>
        <item x="5"/>
        <item x="6"/>
        <item t="default"/>
      </items>
    </pivotField>
    <pivotField axis="axisRow" compact="0" outline="0" showAll="0" defaultSubtotal="0">
      <items count="6">
        <item x="1"/>
        <item x="2"/>
        <item x="0"/>
        <item x="3"/>
        <item x="4"/>
        <item x="5"/>
      </items>
    </pivotField>
    <pivotField dataField="1" compact="0" outline="0" showAll="0"/>
  </pivotFields>
  <rowFields count="2">
    <field x="3"/>
    <field x="2"/>
  </rowFields>
  <rowItems count="38">
    <i>
      <x/>
      <x/>
    </i>
    <i r="1">
      <x v="1"/>
    </i>
    <i r="1">
      <x v="2"/>
    </i>
    <i r="1">
      <x v="3"/>
    </i>
    <i r="1">
      <x v="4"/>
    </i>
    <i r="1">
      <x v="6"/>
    </i>
    <i r="1">
      <x v="8"/>
    </i>
    <i r="1">
      <x v="9"/>
    </i>
    <i r="1">
      <x v="10"/>
    </i>
    <i r="1">
      <x v="11"/>
    </i>
    <i r="1">
      <x v="12"/>
    </i>
    <i r="1">
      <x v="13"/>
    </i>
    <i>
      <x v="1"/>
      <x/>
    </i>
    <i r="1">
      <x v="3"/>
    </i>
    <i r="1">
      <x v="13"/>
    </i>
    <i>
      <x v="2"/>
      <x/>
    </i>
    <i r="1">
      <x v="1"/>
    </i>
    <i r="1">
      <x v="2"/>
    </i>
    <i r="1">
      <x v="3"/>
    </i>
    <i r="1">
      <x v="4"/>
    </i>
    <i r="1">
      <x v="5"/>
    </i>
    <i r="1">
      <x v="6"/>
    </i>
    <i r="1">
      <x v="8"/>
    </i>
    <i r="1">
      <x v="9"/>
    </i>
    <i r="1">
      <x v="11"/>
    </i>
    <i r="1">
      <x v="18"/>
    </i>
    <i>
      <x v="3"/>
      <x v="14"/>
    </i>
    <i r="1">
      <x v="19"/>
    </i>
    <i r="1">
      <x v="20"/>
    </i>
    <i>
      <x v="4"/>
      <x/>
    </i>
    <i r="1">
      <x v="3"/>
    </i>
    <i r="1">
      <x v="11"/>
    </i>
    <i r="1">
      <x v="15"/>
    </i>
    <i r="1">
      <x v="16"/>
    </i>
    <i>
      <x v="5"/>
      <x v="2"/>
    </i>
    <i r="1">
      <x v="4"/>
    </i>
    <i r="1">
      <x v="5"/>
    </i>
    <i r="1">
      <x v="17"/>
    </i>
  </rowItems>
  <colFields count="2">
    <field x="0"/>
    <field x="1"/>
  </colFields>
  <colItems count="10">
    <i>
      <x/>
      <x/>
    </i>
    <i r="1">
      <x v="1"/>
    </i>
    <i>
      <x v="1"/>
      <x v="1"/>
    </i>
    <i r="1">
      <x v="2"/>
    </i>
    <i>
      <x v="2"/>
      <x v="2"/>
    </i>
    <i r="1">
      <x v="3"/>
    </i>
    <i>
      <x v="3"/>
      <x v="3"/>
    </i>
    <i r="1">
      <x v="4"/>
    </i>
    <i>
      <x v="4"/>
      <x v="4"/>
    </i>
    <i>
      <x v="5"/>
      <x v="5"/>
    </i>
  </colItems>
  <dataFields count="1">
    <dataField name="Sum of value" fld="4" baseField="2" baseItem="3" numFmtId="166"/>
  </dataFields>
  <formats count="29">
    <format dxfId="28">
      <pivotArea outline="0" fieldPosition="0">
        <references count="1">
          <reference field="3" count="2" selected="0">
            <x v="4"/>
            <x v="5"/>
          </reference>
        </references>
      </pivotArea>
    </format>
    <format dxfId="27">
      <pivotArea outline="0" fieldPosition="0">
        <references count="4">
          <reference field="0" count="1" selected="0">
            <x v="0"/>
          </reference>
          <reference field="1" count="1" selected="0">
            <x v="0"/>
          </reference>
          <reference field="2" count="12" selected="0">
            <x v="0"/>
            <x v="1"/>
            <x v="2"/>
            <x v="3"/>
            <x v="4"/>
            <x v="6"/>
            <x v="8"/>
            <x v="9"/>
            <x v="10"/>
            <x v="11"/>
            <x v="12"/>
            <x v="13"/>
          </reference>
          <reference field="3" count="1" selected="0">
            <x v="0"/>
          </reference>
        </references>
      </pivotArea>
    </format>
    <format dxfId="26">
      <pivotArea outline="0" fieldPosition="0">
        <references count="4">
          <reference field="0" count="1" selected="0">
            <x v="1"/>
          </reference>
          <reference field="1" count="1" selected="0">
            <x v="1"/>
          </reference>
          <reference field="2" count="12" selected="0">
            <x v="0"/>
            <x v="1"/>
            <x v="2"/>
            <x v="3"/>
            <x v="4"/>
            <x v="6"/>
            <x v="8"/>
            <x v="9"/>
            <x v="10"/>
            <x v="11"/>
            <x v="12"/>
            <x v="13"/>
          </reference>
          <reference field="3" count="1" selected="0">
            <x v="0"/>
          </reference>
        </references>
      </pivotArea>
    </format>
    <format dxfId="25">
      <pivotArea outline="0" fieldPosition="0">
        <references count="4">
          <reference field="0" count="1" selected="0">
            <x v="2"/>
          </reference>
          <reference field="1" count="1" selected="0">
            <x v="2"/>
          </reference>
          <reference field="2" count="12" selected="0">
            <x v="0"/>
            <x v="1"/>
            <x v="2"/>
            <x v="3"/>
            <x v="4"/>
            <x v="6"/>
            <x v="8"/>
            <x v="9"/>
            <x v="10"/>
            <x v="11"/>
            <x v="12"/>
            <x v="13"/>
          </reference>
          <reference field="3" count="1" selected="0">
            <x v="0"/>
          </reference>
        </references>
      </pivotArea>
    </format>
    <format dxfId="24">
      <pivotArea outline="0" fieldPosition="0">
        <references count="4">
          <reference field="0" count="1" selected="0">
            <x v="0"/>
          </reference>
          <reference field="1" count="1" selected="0">
            <x v="0"/>
          </reference>
          <reference field="2" count="3" selected="0">
            <x v="0"/>
            <x v="3"/>
            <x v="13"/>
          </reference>
          <reference field="3" count="1" selected="0">
            <x v="1"/>
          </reference>
        </references>
      </pivotArea>
    </format>
    <format dxfId="23">
      <pivotArea outline="0" fieldPosition="0">
        <references count="4">
          <reference field="0" count="1" selected="0">
            <x v="1"/>
          </reference>
          <reference field="1" count="1" selected="0">
            <x v="1"/>
          </reference>
          <reference field="2" count="3" selected="0">
            <x v="0"/>
            <x v="3"/>
            <x v="13"/>
          </reference>
          <reference field="3" count="1" selected="0">
            <x v="1"/>
          </reference>
        </references>
      </pivotArea>
    </format>
    <format dxfId="22">
      <pivotArea outline="0" fieldPosition="0">
        <references count="4">
          <reference field="0" count="1" selected="0">
            <x v="2"/>
          </reference>
          <reference field="1" count="1" selected="0">
            <x v="2"/>
          </reference>
          <reference field="2" count="3" selected="0">
            <x v="0"/>
            <x v="3"/>
            <x v="13"/>
          </reference>
          <reference field="3" count="1" selected="0">
            <x v="1"/>
          </reference>
        </references>
      </pivotArea>
    </format>
    <format dxfId="21">
      <pivotArea outline="0" fieldPosition="0">
        <references count="4">
          <reference field="0" count="1" selected="0">
            <x v="0"/>
          </reference>
          <reference field="1" count="1" selected="0">
            <x v="0"/>
          </reference>
          <reference field="2" count="10" selected="0">
            <x v="0"/>
            <x v="1"/>
            <x v="2"/>
            <x v="3"/>
            <x v="4"/>
            <x v="5"/>
            <x v="6"/>
            <x v="8"/>
            <x v="9"/>
            <x v="11"/>
          </reference>
          <reference field="3" count="1" selected="0">
            <x v="2"/>
          </reference>
        </references>
      </pivotArea>
    </format>
    <format dxfId="20">
      <pivotArea outline="0" fieldPosition="0">
        <references count="4">
          <reference field="0" count="1" selected="0">
            <x v="0"/>
          </reference>
          <reference field="1" count="1" selected="0">
            <x v="1"/>
          </reference>
          <reference field="2" count="1" selected="0">
            <x v="2"/>
          </reference>
          <reference field="3" count="1" selected="0">
            <x v="2"/>
          </reference>
        </references>
      </pivotArea>
    </format>
    <format dxfId="19">
      <pivotArea outline="0" fieldPosition="0">
        <references count="4">
          <reference field="0" count="1" selected="0">
            <x v="0"/>
          </reference>
          <reference field="1" count="1" selected="0">
            <x v="1"/>
          </reference>
          <reference field="2" count="1" selected="0">
            <x v="4"/>
          </reference>
          <reference field="3" count="1" selected="0">
            <x v="2"/>
          </reference>
        </references>
      </pivotArea>
    </format>
    <format dxfId="18">
      <pivotArea outline="0" fieldPosition="0">
        <references count="4">
          <reference field="0" count="1" selected="0">
            <x v="0"/>
          </reference>
          <reference field="1" count="1" selected="0">
            <x v="1"/>
          </reference>
          <reference field="2" count="1" selected="0">
            <x v="5"/>
          </reference>
          <reference field="3" count="1" selected="0">
            <x v="2"/>
          </reference>
        </references>
      </pivotArea>
    </format>
    <format dxfId="17">
      <pivotArea outline="0" fieldPosition="0">
        <references count="4">
          <reference field="0" count="1" selected="0">
            <x v="0"/>
          </reference>
          <reference field="1" count="1" selected="0">
            <x v="1"/>
          </reference>
          <reference field="2" count="1" selected="0">
            <x v="6"/>
          </reference>
          <reference field="3" count="1" selected="0">
            <x v="2"/>
          </reference>
        </references>
      </pivotArea>
    </format>
    <format dxfId="16">
      <pivotArea outline="0" fieldPosition="0">
        <references count="4">
          <reference field="0" count="1" selected="0">
            <x v="1"/>
          </reference>
          <reference field="1" count="1" selected="0">
            <x v="1"/>
          </reference>
          <reference field="2" count="2" selected="0">
            <x v="0"/>
            <x v="1"/>
          </reference>
          <reference field="3" count="1" selected="0">
            <x v="2"/>
          </reference>
        </references>
      </pivotArea>
    </format>
    <format dxfId="15">
      <pivotArea outline="0" fieldPosition="0">
        <references count="4">
          <reference field="0" count="1" selected="0">
            <x v="1"/>
          </reference>
          <reference field="1" count="1" selected="0">
            <x v="1"/>
          </reference>
          <reference field="2" count="1" selected="0">
            <x v="3"/>
          </reference>
          <reference field="3" count="1" selected="0">
            <x v="2"/>
          </reference>
        </references>
      </pivotArea>
    </format>
    <format dxfId="14">
      <pivotArea outline="0" fieldPosition="0">
        <references count="4">
          <reference field="0" count="1" selected="0">
            <x v="1"/>
          </reference>
          <reference field="1" count="1" selected="0">
            <x v="1"/>
          </reference>
          <reference field="2" count="3" selected="0">
            <x v="8"/>
            <x v="9"/>
            <x v="11"/>
          </reference>
          <reference field="3" count="1" selected="0">
            <x v="2"/>
          </reference>
        </references>
      </pivotArea>
    </format>
    <format dxfId="13">
      <pivotArea outline="0" fieldPosition="0">
        <references count="4">
          <reference field="0" count="1" selected="0">
            <x v="1"/>
          </reference>
          <reference field="1" count="1" selected="0">
            <x v="2"/>
          </reference>
          <reference field="2" count="1" selected="0">
            <x v="2"/>
          </reference>
          <reference field="3" count="1" selected="0">
            <x v="2"/>
          </reference>
        </references>
      </pivotArea>
    </format>
    <format dxfId="12">
      <pivotArea outline="0" fieldPosition="0">
        <references count="4">
          <reference field="0" count="1" selected="0">
            <x v="1"/>
          </reference>
          <reference field="1" count="1" selected="0">
            <x v="2"/>
          </reference>
          <reference field="2" count="3" selected="0">
            <x v="4"/>
            <x v="5"/>
            <x v="6"/>
          </reference>
          <reference field="3" count="1" selected="0">
            <x v="2"/>
          </reference>
        </references>
      </pivotArea>
    </format>
    <format dxfId="11">
      <pivotArea outline="0" fieldPosition="0">
        <references count="4">
          <reference field="0" count="1" selected="0">
            <x v="2"/>
          </reference>
          <reference field="1" count="1" selected="0">
            <x v="2"/>
          </reference>
          <reference field="2" count="2" selected="0">
            <x v="0"/>
            <x v="1"/>
          </reference>
          <reference field="3" count="1" selected="0">
            <x v="2"/>
          </reference>
        </references>
      </pivotArea>
    </format>
    <format dxfId="10">
      <pivotArea outline="0" fieldPosition="0">
        <references count="4">
          <reference field="0" count="1" selected="0">
            <x v="2"/>
          </reference>
          <reference field="1" count="1" selected="0">
            <x v="2"/>
          </reference>
          <reference field="2" count="1" selected="0">
            <x v="3"/>
          </reference>
          <reference field="3" count="1" selected="0">
            <x v="2"/>
          </reference>
        </references>
      </pivotArea>
    </format>
    <format dxfId="9">
      <pivotArea outline="0" fieldPosition="0">
        <references count="4">
          <reference field="0" count="1" selected="0">
            <x v="2"/>
          </reference>
          <reference field="1" count="1" selected="0">
            <x v="2"/>
          </reference>
          <reference field="2" count="3" selected="0">
            <x v="8"/>
            <x v="9"/>
            <x v="11"/>
          </reference>
          <reference field="3" count="1" selected="0">
            <x v="2"/>
          </reference>
        </references>
      </pivotArea>
    </format>
    <format dxfId="8">
      <pivotArea outline="0" fieldPosition="0">
        <references count="3">
          <reference field="0" count="1" selected="0">
            <x v="0"/>
          </reference>
          <reference field="1" count="2" selected="0">
            <x v="0"/>
            <x v="1"/>
          </reference>
          <reference field="3" count="1" selected="0">
            <x v="5"/>
          </reference>
        </references>
      </pivotArea>
    </format>
    <format dxfId="7">
      <pivotArea outline="0" fieldPosition="0">
        <references count="3">
          <reference field="0" count="1" selected="0">
            <x v="1"/>
          </reference>
          <reference field="1" count="1" selected="0">
            <x v="2"/>
          </reference>
          <reference field="3" count="1" selected="0">
            <x v="5"/>
          </reference>
        </references>
      </pivotArea>
    </format>
    <format dxfId="6">
      <pivotArea outline="0" fieldPosition="0">
        <references count="4">
          <reference field="0" count="1" selected="0">
            <x v="0"/>
          </reference>
          <reference field="1" count="2" selected="0">
            <x v="0"/>
            <x v="1"/>
          </reference>
          <reference field="2" count="3" selected="0">
            <x v="11"/>
            <x v="15"/>
            <x v="16"/>
          </reference>
          <reference field="3" count="1" selected="0">
            <x v="4"/>
          </reference>
        </references>
      </pivotArea>
    </format>
    <format dxfId="5">
      <pivotArea outline="0" fieldPosition="0">
        <references count="4">
          <reference field="0" count="1" selected="0">
            <x v="1"/>
          </reference>
          <reference field="1" count="1" selected="0">
            <x v="2"/>
          </reference>
          <reference field="2" count="3" selected="0">
            <x v="11"/>
            <x v="15"/>
            <x v="16"/>
          </reference>
          <reference field="3" count="1" selected="0">
            <x v="4"/>
          </reference>
        </references>
      </pivotArea>
    </format>
    <format dxfId="4">
      <pivotArea outline="0" fieldPosition="0">
        <references count="4">
          <reference field="0" count="1" selected="0">
            <x v="0"/>
          </reference>
          <reference field="1" count="2" selected="0">
            <x v="0"/>
            <x v="1"/>
          </reference>
          <reference field="2" count="1" selected="0">
            <x v="14"/>
          </reference>
          <reference field="3" count="1" selected="0">
            <x v="3"/>
          </reference>
        </references>
      </pivotArea>
    </format>
    <format dxfId="3">
      <pivotArea outline="0" fieldPosition="0">
        <references count="4">
          <reference field="0" count="1" selected="0">
            <x v="1"/>
          </reference>
          <reference field="1" count="1" selected="0">
            <x v="2"/>
          </reference>
          <reference field="2" count="1" selected="0">
            <x v="14"/>
          </reference>
          <reference field="3" count="1" selected="0">
            <x v="3"/>
          </reference>
        </references>
      </pivotArea>
    </format>
    <format dxfId="2">
      <pivotArea outline="0" fieldPosition="0">
        <references count="4">
          <reference field="0" count="1" selected="0">
            <x v="0"/>
          </reference>
          <reference field="1" count="1" selected="0">
            <x v="0"/>
          </reference>
          <reference field="2" count="2" selected="0">
            <x v="19"/>
            <x v="20"/>
          </reference>
          <reference field="3" count="1" selected="0">
            <x v="3"/>
          </reference>
        </references>
      </pivotArea>
    </format>
    <format dxfId="1">
      <pivotArea outline="0" fieldPosition="0">
        <references count="4">
          <reference field="0" count="1" selected="0">
            <x v="1"/>
          </reference>
          <reference field="1" count="1" selected="0">
            <x v="1"/>
          </reference>
          <reference field="2" count="2" selected="0">
            <x v="19"/>
            <x v="20"/>
          </reference>
          <reference field="3" count="1" selected="0">
            <x v="3"/>
          </reference>
        </references>
      </pivotArea>
    </format>
    <format dxfId="0">
      <pivotArea outline="0" fieldPosition="0">
        <references count="4">
          <reference field="0" count="1" selected="0">
            <x v="2"/>
          </reference>
          <reference field="1" count="1" selected="0">
            <x v="2"/>
          </reference>
          <reference field="2" count="2" selected="0">
            <x v="19"/>
            <x v="20"/>
          </reference>
          <reference field="3" count="1" selected="0">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secure.sos.state.or.us/oard/viewSingleRule.action?ruleVrsnRsn=269347"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 Id="rId5" Type="http://schemas.openxmlformats.org/officeDocument/2006/relationships/printerSettings" Target="../printerSettings/printerSettings6.bin"/><Relationship Id="rId4"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163E5-EE9A-46F3-9678-F7CCD879A63D}">
  <dimension ref="A1:G13"/>
  <sheetViews>
    <sheetView workbookViewId="0">
      <selection activeCell="A14" sqref="A14"/>
    </sheetView>
  </sheetViews>
  <sheetFormatPr defaultRowHeight="15" x14ac:dyDescent="0.25"/>
  <sheetData>
    <row r="1" spans="1:7" x14ac:dyDescent="0.25">
      <c r="A1" s="199" t="s">
        <v>880</v>
      </c>
      <c r="B1" s="199"/>
      <c r="C1" s="199"/>
      <c r="D1" s="199"/>
      <c r="E1" s="199"/>
      <c r="F1" s="199"/>
      <c r="G1" s="199"/>
    </row>
    <row r="2" spans="1:7" x14ac:dyDescent="0.25">
      <c r="A2" s="199"/>
      <c r="B2" s="199"/>
      <c r="C2" s="199"/>
      <c r="D2" s="199"/>
      <c r="E2" s="199"/>
      <c r="F2" s="199"/>
      <c r="G2" s="199"/>
    </row>
    <row r="3" spans="1:7" x14ac:dyDescent="0.25">
      <c r="A3" s="199"/>
      <c r="B3" s="199"/>
      <c r="C3" s="199"/>
      <c r="D3" s="199"/>
      <c r="E3" s="199"/>
      <c r="F3" s="199"/>
      <c r="G3" s="199"/>
    </row>
    <row r="4" spans="1:7" x14ac:dyDescent="0.25">
      <c r="A4" s="199"/>
      <c r="B4" s="199"/>
      <c r="C4" s="199"/>
      <c r="D4" s="199"/>
      <c r="E4" s="199"/>
      <c r="F4" s="199"/>
      <c r="G4" s="199"/>
    </row>
    <row r="5" spans="1:7" x14ac:dyDescent="0.25">
      <c r="A5" s="199"/>
      <c r="B5" s="199"/>
      <c r="C5" s="199"/>
      <c r="D5" s="199"/>
      <c r="E5" s="199"/>
      <c r="F5" s="199"/>
      <c r="G5" s="199"/>
    </row>
    <row r="6" spans="1:7" x14ac:dyDescent="0.25">
      <c r="A6" s="199"/>
      <c r="B6" s="199"/>
      <c r="C6" s="199"/>
      <c r="D6" s="199"/>
      <c r="E6" s="199"/>
      <c r="F6" s="199"/>
      <c r="G6" s="199"/>
    </row>
    <row r="7" spans="1:7" x14ac:dyDescent="0.25">
      <c r="A7" s="199"/>
      <c r="B7" s="199"/>
      <c r="C7" s="199"/>
      <c r="D7" s="199"/>
      <c r="E7" s="199"/>
      <c r="F7" s="199"/>
      <c r="G7" s="199"/>
    </row>
    <row r="8" spans="1:7" x14ac:dyDescent="0.25">
      <c r="A8" s="199"/>
      <c r="B8" s="199"/>
      <c r="C8" s="199"/>
      <c r="D8" s="199"/>
      <c r="E8" s="199"/>
      <c r="F8" s="199"/>
      <c r="G8" s="199"/>
    </row>
    <row r="9" spans="1:7" x14ac:dyDescent="0.25">
      <c r="A9" s="199"/>
      <c r="B9" s="199"/>
      <c r="C9" s="199"/>
      <c r="D9" s="199"/>
      <c r="E9" s="199"/>
      <c r="F9" s="199"/>
      <c r="G9" s="199"/>
    </row>
    <row r="10" spans="1:7" x14ac:dyDescent="0.25">
      <c r="A10" s="199"/>
      <c r="B10" s="199"/>
      <c r="C10" s="199"/>
      <c r="D10" s="199"/>
      <c r="E10" s="199"/>
      <c r="F10" s="199"/>
      <c r="G10" s="199"/>
    </row>
    <row r="11" spans="1:7" x14ac:dyDescent="0.25">
      <c r="A11" s="199"/>
      <c r="B11" s="199"/>
      <c r="C11" s="199"/>
      <c r="D11" s="199"/>
      <c r="E11" s="199"/>
      <c r="F11" s="199"/>
      <c r="G11" s="199"/>
    </row>
    <row r="12" spans="1:7" x14ac:dyDescent="0.25">
      <c r="A12" s="199"/>
      <c r="B12" s="199"/>
      <c r="C12" s="199"/>
      <c r="D12" s="199"/>
      <c r="E12" s="199"/>
      <c r="F12" s="199"/>
      <c r="G12" s="199"/>
    </row>
    <row r="13" spans="1:7" x14ac:dyDescent="0.25">
      <c r="A13" s="199"/>
      <c r="B13" s="199"/>
      <c r="C13" s="199"/>
      <c r="D13" s="199"/>
      <c r="E13" s="199"/>
      <c r="F13" s="199"/>
      <c r="G13" s="199"/>
    </row>
  </sheetData>
  <mergeCells count="1">
    <mergeCell ref="A1:G13"/>
  </mergeCells>
  <pageMargins left="0.7" right="0.7" top="0.75" bottom="0.75" header="0.3" footer="0.3"/>
  <pageSetup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V45"/>
  <sheetViews>
    <sheetView zoomScale="85" zoomScaleNormal="85" workbookViewId="0">
      <pane xSplit="2" ySplit="5" topLeftCell="D6" activePane="bottomRight" state="frozen"/>
      <selection pane="topRight" activeCell="C1" sqref="C1"/>
      <selection pane="bottomLeft" activeCell="A6" sqref="A6"/>
      <selection pane="bottomRight" activeCell="P12" sqref="P12"/>
    </sheetView>
  </sheetViews>
  <sheetFormatPr defaultRowHeight="15" x14ac:dyDescent="0.25"/>
  <cols>
    <col min="1" max="1" width="14.140625" bestFit="1" customWidth="1"/>
    <col min="2" max="2" width="17.28515625" bestFit="1" customWidth="1"/>
    <col min="3" max="6" width="16.42578125" customWidth="1"/>
    <col min="7" max="8" width="14.140625" customWidth="1"/>
    <col min="9" max="12" width="14.140625" style="123" customWidth="1"/>
    <col min="13" max="13" width="12" bestFit="1" customWidth="1"/>
    <col min="14" max="14" width="13.42578125" customWidth="1"/>
    <col min="15" max="15" width="18.28515625" customWidth="1"/>
    <col min="16" max="16" width="14.7109375" customWidth="1"/>
    <col min="17" max="17" width="16.28515625" customWidth="1"/>
    <col min="18" max="18" width="16.42578125" customWidth="1"/>
    <col min="21" max="21" width="19.85546875" customWidth="1"/>
    <col min="22" max="24" width="16.85546875" customWidth="1"/>
  </cols>
  <sheetData>
    <row r="3" spans="1:22" x14ac:dyDescent="0.25">
      <c r="A3" s="19" t="s">
        <v>574</v>
      </c>
      <c r="C3" s="19" t="s">
        <v>643</v>
      </c>
      <c r="D3" s="19" t="s">
        <v>249</v>
      </c>
      <c r="I3"/>
      <c r="J3"/>
      <c r="K3"/>
      <c r="L3"/>
      <c r="O3" s="38" t="s">
        <v>663</v>
      </c>
    </row>
    <row r="4" spans="1:22" x14ac:dyDescent="0.25">
      <c r="C4" s="20">
        <v>44927</v>
      </c>
      <c r="E4" s="20">
        <v>44562</v>
      </c>
      <c r="G4" s="20">
        <v>44197</v>
      </c>
      <c r="I4" s="20">
        <v>43831</v>
      </c>
      <c r="J4"/>
      <c r="K4" s="20">
        <v>43466</v>
      </c>
      <c r="L4" s="20">
        <v>43101</v>
      </c>
    </row>
    <row r="5" spans="1:22" ht="30.75" thickBot="1" x14ac:dyDescent="0.3">
      <c r="A5" s="19" t="s">
        <v>565</v>
      </c>
      <c r="B5" s="19" t="s">
        <v>254</v>
      </c>
      <c r="C5" s="20">
        <v>44927</v>
      </c>
      <c r="D5" s="20">
        <v>44562</v>
      </c>
      <c r="E5" s="20">
        <v>44562</v>
      </c>
      <c r="F5" s="20">
        <v>44197</v>
      </c>
      <c r="G5" s="20">
        <v>44197</v>
      </c>
      <c r="H5" s="20">
        <v>43831</v>
      </c>
      <c r="I5" s="20">
        <v>43831</v>
      </c>
      <c r="J5" s="20">
        <v>43466</v>
      </c>
      <c r="K5" s="20">
        <v>43466</v>
      </c>
      <c r="L5" s="20">
        <v>43101</v>
      </c>
      <c r="P5" s="35" t="s">
        <v>596</v>
      </c>
      <c r="Q5" s="35" t="s">
        <v>597</v>
      </c>
      <c r="R5" s="35" t="s">
        <v>598</v>
      </c>
    </row>
    <row r="6" spans="1:22" x14ac:dyDescent="0.25">
      <c r="A6" s="174" t="s">
        <v>570</v>
      </c>
      <c r="B6" s="174" t="s">
        <v>566</v>
      </c>
      <c r="C6" s="182">
        <v>122.48</v>
      </c>
      <c r="D6" s="25"/>
      <c r="E6" s="182">
        <v>122.48</v>
      </c>
      <c r="F6" s="25"/>
      <c r="G6" s="182">
        <v>122.48</v>
      </c>
      <c r="H6" s="25"/>
      <c r="I6" s="25">
        <v>122.48</v>
      </c>
      <c r="J6" s="25"/>
      <c r="K6" s="25">
        <v>118.383</v>
      </c>
      <c r="L6" s="25">
        <v>116.09</v>
      </c>
      <c r="O6" s="62" t="s">
        <v>4</v>
      </c>
      <c r="P6" s="16">
        <f>+ED_gas_T0</f>
        <v>122.48</v>
      </c>
      <c r="Q6" s="16">
        <f>+CIT_gas_T0</f>
        <v>91.68</v>
      </c>
      <c r="R6" s="49">
        <f>+CIA_gas_T0</f>
        <v>100.14</v>
      </c>
    </row>
    <row r="7" spans="1:22" x14ac:dyDescent="0.25">
      <c r="B7" s="174" t="s">
        <v>568</v>
      </c>
      <c r="C7" s="182">
        <v>122.48</v>
      </c>
      <c r="D7" s="25"/>
      <c r="E7" s="182">
        <v>122.48</v>
      </c>
      <c r="F7" s="25"/>
      <c r="G7" s="182">
        <v>122.48</v>
      </c>
      <c r="H7" s="25"/>
      <c r="I7" s="25">
        <v>122.48</v>
      </c>
      <c r="J7" s="25"/>
      <c r="K7" s="25">
        <v>122.48</v>
      </c>
      <c r="L7" s="25">
        <v>116.09</v>
      </c>
      <c r="O7" s="65" t="s">
        <v>5</v>
      </c>
      <c r="P7" s="5">
        <f>+ED_eth_T0</f>
        <v>81.510000000000005</v>
      </c>
      <c r="Q7" s="5">
        <f>+CIT_gas_T0</f>
        <v>91.68</v>
      </c>
      <c r="R7" s="194">
        <f>+CIA_Eth_T0</f>
        <v>50</v>
      </c>
    </row>
    <row r="8" spans="1:22" x14ac:dyDescent="0.25">
      <c r="B8" s="174" t="s">
        <v>5</v>
      </c>
      <c r="C8" s="182">
        <v>81.510000000000005</v>
      </c>
      <c r="D8" s="25"/>
      <c r="E8" s="182">
        <v>81.510000000000005</v>
      </c>
      <c r="F8" s="25"/>
      <c r="G8" s="182">
        <v>81.510000000000005</v>
      </c>
      <c r="H8" s="25"/>
      <c r="I8" s="25">
        <v>81.510000000000005</v>
      </c>
      <c r="J8" s="25"/>
      <c r="K8" s="25">
        <v>81.510000000000005</v>
      </c>
      <c r="L8" s="25">
        <v>81.510000000000005</v>
      </c>
      <c r="O8" s="65" t="s">
        <v>3</v>
      </c>
      <c r="P8" s="5">
        <f>+ED_die_T0</f>
        <v>134.47999999999999</v>
      </c>
      <c r="Q8" s="5">
        <f>+CIT_die_T0</f>
        <v>92.32</v>
      </c>
      <c r="R8" s="194">
        <f>+CIA_die_T0</f>
        <v>100.74</v>
      </c>
    </row>
    <row r="9" spans="1:22" x14ac:dyDescent="0.25">
      <c r="B9" s="174" t="s">
        <v>567</v>
      </c>
      <c r="C9" s="182">
        <v>134.47999999999999</v>
      </c>
      <c r="D9" s="25"/>
      <c r="E9" s="182">
        <v>134.47999999999999</v>
      </c>
      <c r="F9" s="25"/>
      <c r="G9" s="182">
        <v>134.47999999999999</v>
      </c>
      <c r="H9" s="25"/>
      <c r="I9" s="25">
        <v>134.47999999999999</v>
      </c>
      <c r="J9" s="25"/>
      <c r="K9" s="25">
        <v>134.47999999999999</v>
      </c>
      <c r="L9" s="25">
        <v>129.49</v>
      </c>
      <c r="O9" s="65" t="s">
        <v>7</v>
      </c>
      <c r="P9" s="5">
        <f>+ED_Bio_T0</f>
        <v>126.13</v>
      </c>
      <c r="Q9" s="5">
        <f>+CIT_die_T0</f>
        <v>92.32</v>
      </c>
      <c r="R9" s="194">
        <f>CIA_bio_T0</f>
        <v>39</v>
      </c>
    </row>
    <row r="10" spans="1:22" x14ac:dyDescent="0.25">
      <c r="B10" s="174" t="s">
        <v>7</v>
      </c>
      <c r="C10" s="182">
        <v>126.13</v>
      </c>
      <c r="D10" s="25"/>
      <c r="E10" s="182">
        <v>126.13</v>
      </c>
      <c r="F10" s="25"/>
      <c r="G10" s="182">
        <v>126.13</v>
      </c>
      <c r="H10" s="25"/>
      <c r="I10" s="25">
        <v>126.13</v>
      </c>
      <c r="J10" s="25"/>
      <c r="K10" s="25">
        <v>126.13</v>
      </c>
      <c r="L10" s="25">
        <v>119.55</v>
      </c>
      <c r="O10" s="65" t="s">
        <v>6</v>
      </c>
      <c r="P10" s="5">
        <f>+ED_ren_T0</f>
        <v>129.65</v>
      </c>
      <c r="Q10" s="5">
        <f>+CIT_die_T0</f>
        <v>92.32</v>
      </c>
      <c r="R10" s="194">
        <f>+CIA_ren_T0</f>
        <v>34</v>
      </c>
    </row>
    <row r="11" spans="1:22" x14ac:dyDescent="0.25">
      <c r="B11" s="174" t="s">
        <v>255</v>
      </c>
      <c r="C11" s="182">
        <v>129.65</v>
      </c>
      <c r="D11" s="25"/>
      <c r="E11" s="182">
        <v>129.65</v>
      </c>
      <c r="F11" s="25"/>
      <c r="G11" s="182">
        <v>129.65</v>
      </c>
      <c r="H11" s="25"/>
      <c r="I11" s="25">
        <v>129.65</v>
      </c>
      <c r="J11" s="25"/>
      <c r="K11" s="25">
        <v>129.65</v>
      </c>
      <c r="L11" s="25">
        <v>129.65</v>
      </c>
      <c r="M11" s="10"/>
      <c r="O11" s="65" t="s">
        <v>8</v>
      </c>
      <c r="P11" s="194">
        <f>ED_eon_T0</f>
        <v>3.6</v>
      </c>
      <c r="Q11" s="5">
        <f>+CIT_gas_T0</f>
        <v>91.68</v>
      </c>
      <c r="R11" s="194">
        <f>+CIA_eon_T0</f>
        <v>0</v>
      </c>
      <c r="U11">
        <v>0.56999999999999995</v>
      </c>
    </row>
    <row r="12" spans="1:22" x14ac:dyDescent="0.25">
      <c r="B12" s="174" t="s">
        <v>261</v>
      </c>
      <c r="C12" s="182">
        <v>3.6</v>
      </c>
      <c r="D12" s="25"/>
      <c r="E12" s="182">
        <v>3.6</v>
      </c>
      <c r="F12" s="25"/>
      <c r="G12" s="182">
        <v>3.6</v>
      </c>
      <c r="H12" s="25"/>
      <c r="I12" s="25">
        <v>3.6</v>
      </c>
      <c r="J12" s="25"/>
      <c r="K12" s="25">
        <v>3.6</v>
      </c>
      <c r="L12" s="25">
        <v>3.6</v>
      </c>
      <c r="M12" s="10"/>
      <c r="O12" s="24" t="s">
        <v>599</v>
      </c>
      <c r="P12" s="210">
        <v>3620</v>
      </c>
      <c r="Q12" s="16"/>
      <c r="R12" s="49"/>
      <c r="U12">
        <v>0.43</v>
      </c>
      <c r="V12">
        <v>147</v>
      </c>
    </row>
    <row r="13" spans="1:22" x14ac:dyDescent="0.25">
      <c r="B13" s="174" t="s">
        <v>266</v>
      </c>
      <c r="C13" s="182">
        <v>105.5</v>
      </c>
      <c r="D13" s="25"/>
      <c r="E13" s="182">
        <v>105.5</v>
      </c>
      <c r="F13" s="25"/>
      <c r="G13" s="182">
        <v>105.5</v>
      </c>
      <c r="H13" s="25"/>
      <c r="I13" s="25">
        <v>0.98</v>
      </c>
      <c r="J13" s="25"/>
      <c r="K13" s="25">
        <v>0.98</v>
      </c>
      <c r="L13" s="25">
        <v>0.98</v>
      </c>
      <c r="O13" s="24" t="s">
        <v>707</v>
      </c>
      <c r="P13" s="120">
        <f>EEReon_T0</f>
        <v>3.4</v>
      </c>
      <c r="Q13" s="16"/>
      <c r="R13" s="49"/>
    </row>
    <row r="14" spans="1:22" x14ac:dyDescent="0.25">
      <c r="B14" s="174" t="s">
        <v>275</v>
      </c>
      <c r="C14" s="182">
        <v>78.83</v>
      </c>
      <c r="D14" s="25"/>
      <c r="E14" s="182">
        <v>78.83</v>
      </c>
      <c r="F14" s="25"/>
      <c r="G14" s="182">
        <v>78.83</v>
      </c>
      <c r="H14" s="25"/>
      <c r="I14" s="25">
        <v>78.83</v>
      </c>
      <c r="J14" s="25"/>
      <c r="K14" s="25">
        <v>78.83</v>
      </c>
      <c r="L14" s="25">
        <v>76.84</v>
      </c>
      <c r="O14" s="24" t="s">
        <v>708</v>
      </c>
      <c r="P14" s="120">
        <f>EERng_T0</f>
        <v>0.9</v>
      </c>
      <c r="Q14" s="110"/>
      <c r="R14" s="49"/>
      <c r="V14">
        <f>U12*V12</f>
        <v>63.21</v>
      </c>
    </row>
    <row r="15" spans="1:22" x14ac:dyDescent="0.25">
      <c r="B15" s="174" t="s">
        <v>268</v>
      </c>
      <c r="C15" s="182">
        <v>89.63</v>
      </c>
      <c r="D15" s="25"/>
      <c r="E15" s="182">
        <v>89.63</v>
      </c>
      <c r="F15" s="25"/>
      <c r="G15" s="182">
        <v>89.63</v>
      </c>
      <c r="H15" s="25"/>
      <c r="I15" s="25">
        <v>89.63</v>
      </c>
      <c r="J15" s="25"/>
      <c r="K15" s="25">
        <v>89.63</v>
      </c>
      <c r="L15" s="25">
        <v>96.5</v>
      </c>
      <c r="O15" t="s">
        <v>10</v>
      </c>
      <c r="P15" s="16">
        <f>+ED_die_T0</f>
        <v>134.47999999999999</v>
      </c>
      <c r="Q15" s="16">
        <f>+CIT_die_T0</f>
        <v>92.32</v>
      </c>
      <c r="R15" s="49">
        <f>+CIA_fcg_T0</f>
        <v>79.98</v>
      </c>
    </row>
    <row r="16" spans="1:22" x14ac:dyDescent="0.25">
      <c r="B16" s="174" t="s">
        <v>19</v>
      </c>
      <c r="C16" s="182">
        <v>120</v>
      </c>
      <c r="D16" s="25"/>
      <c r="E16" s="182">
        <v>120</v>
      </c>
      <c r="F16" s="25"/>
      <c r="G16" s="182">
        <v>120</v>
      </c>
      <c r="H16" s="25"/>
      <c r="I16" s="25">
        <v>120</v>
      </c>
      <c r="J16" s="25"/>
      <c r="K16" s="25">
        <v>123</v>
      </c>
      <c r="L16" s="25">
        <v>123</v>
      </c>
      <c r="O16" s="24" t="s">
        <v>31</v>
      </c>
      <c r="P16" s="16">
        <f>+ED_die_T0</f>
        <v>134.47999999999999</v>
      </c>
      <c r="Q16" s="16">
        <f>+CIT_die_T0</f>
        <v>92.32</v>
      </c>
      <c r="R16" s="49">
        <f>+CIA_bgs_T0</f>
        <v>0</v>
      </c>
    </row>
    <row r="17" spans="1:21" x14ac:dyDescent="0.25">
      <c r="B17" s="174" t="s">
        <v>569</v>
      </c>
      <c r="C17" s="182">
        <v>126.37</v>
      </c>
      <c r="D17" s="25"/>
      <c r="E17" s="182">
        <v>126.37</v>
      </c>
      <c r="F17" s="25"/>
      <c r="G17" s="182">
        <v>126.37</v>
      </c>
      <c r="H17" s="25"/>
      <c r="I17" s="25">
        <v>126.37</v>
      </c>
      <c r="J17" s="25"/>
      <c r="K17" s="25">
        <v>0</v>
      </c>
      <c r="L17" s="25">
        <v>0</v>
      </c>
      <c r="O17" t="s">
        <v>600</v>
      </c>
      <c r="P17" s="16">
        <f>+ED_lp_T0</f>
        <v>89.63</v>
      </c>
      <c r="Q17" s="16">
        <f>+CIT_gas_T0</f>
        <v>91.68</v>
      </c>
      <c r="R17" s="49">
        <f>+CIA_lp_T0</f>
        <v>35</v>
      </c>
    </row>
    <row r="18" spans="1:21" x14ac:dyDescent="0.25">
      <c r="A18" s="174" t="s">
        <v>571</v>
      </c>
      <c r="B18" s="174" t="s">
        <v>566</v>
      </c>
      <c r="C18" s="184">
        <v>91.68</v>
      </c>
      <c r="D18" s="25"/>
      <c r="E18" s="184">
        <v>93.15</v>
      </c>
      <c r="F18" s="25"/>
      <c r="G18" s="184">
        <v>94.63</v>
      </c>
      <c r="H18" s="25"/>
      <c r="I18" s="25">
        <v>95.61</v>
      </c>
      <c r="J18" s="25"/>
      <c r="K18" s="25">
        <v>97.16</v>
      </c>
      <c r="L18" s="25">
        <v>97.63</v>
      </c>
    </row>
    <row r="19" spans="1:21" x14ac:dyDescent="0.25">
      <c r="B19" s="174" t="s">
        <v>567</v>
      </c>
      <c r="C19" s="184">
        <v>92.32</v>
      </c>
      <c r="D19" s="25"/>
      <c r="E19" s="184">
        <v>93.81</v>
      </c>
      <c r="F19" s="25"/>
      <c r="G19" s="184">
        <v>95.29</v>
      </c>
      <c r="H19" s="25"/>
      <c r="I19" s="25">
        <v>96.27</v>
      </c>
      <c r="J19" s="25"/>
      <c r="K19" s="25">
        <v>98.12</v>
      </c>
      <c r="L19" s="25">
        <v>98.64</v>
      </c>
    </row>
    <row r="20" spans="1:21" x14ac:dyDescent="0.25">
      <c r="B20" s="174" t="s">
        <v>569</v>
      </c>
      <c r="C20" s="184">
        <v>90.8</v>
      </c>
      <c r="D20" s="25"/>
      <c r="E20" s="184">
        <v>90.8</v>
      </c>
      <c r="F20" s="25"/>
      <c r="G20" s="184">
        <v>90.8</v>
      </c>
      <c r="H20" s="25"/>
      <c r="I20" s="25">
        <v>90.8</v>
      </c>
      <c r="J20" s="25"/>
      <c r="K20" s="25"/>
      <c r="L20" s="25"/>
    </row>
    <row r="21" spans="1:21" x14ac:dyDescent="0.25">
      <c r="A21" s="174" t="s">
        <v>572</v>
      </c>
      <c r="B21" s="174" t="s">
        <v>566</v>
      </c>
      <c r="C21" s="186">
        <v>100.14</v>
      </c>
      <c r="D21" s="25"/>
      <c r="E21" s="186">
        <v>100.14</v>
      </c>
      <c r="F21" s="25"/>
      <c r="G21" s="186">
        <v>100.14</v>
      </c>
      <c r="H21" s="25"/>
      <c r="I21" s="25">
        <v>100.14</v>
      </c>
      <c r="J21" s="25"/>
      <c r="K21" s="25">
        <v>98.64</v>
      </c>
      <c r="L21" s="25">
        <v>98.62</v>
      </c>
    </row>
    <row r="22" spans="1:21" x14ac:dyDescent="0.25">
      <c r="B22" s="174" t="s">
        <v>568</v>
      </c>
      <c r="C22" s="186">
        <v>98.06</v>
      </c>
      <c r="D22" s="25"/>
      <c r="E22" s="186">
        <v>98.06</v>
      </c>
      <c r="F22" s="25"/>
      <c r="G22" s="186">
        <v>98.16</v>
      </c>
      <c r="H22" s="25"/>
      <c r="I22" s="25">
        <v>100.14</v>
      </c>
      <c r="J22" s="25"/>
      <c r="K22" s="25">
        <v>100.77</v>
      </c>
      <c r="L22" s="25">
        <v>100.77</v>
      </c>
    </row>
    <row r="23" spans="1:21" x14ac:dyDescent="0.25">
      <c r="B23" s="174" t="s">
        <v>5</v>
      </c>
      <c r="C23" s="186">
        <v>50</v>
      </c>
      <c r="D23" s="186">
        <v>52</v>
      </c>
      <c r="E23" s="25">
        <v>46.5</v>
      </c>
      <c r="F23" s="186">
        <v>49</v>
      </c>
      <c r="G23" s="25">
        <v>47.5</v>
      </c>
      <c r="H23" s="25">
        <v>52.83</v>
      </c>
      <c r="I23" s="25">
        <v>57.76</v>
      </c>
      <c r="J23" s="25"/>
      <c r="K23" s="25">
        <v>59.01863095238096</v>
      </c>
      <c r="L23" s="25">
        <v>60.877499999999998</v>
      </c>
      <c r="O23" s="208" t="s">
        <v>709</v>
      </c>
      <c r="P23" s="208"/>
      <c r="Q23" s="208"/>
    </row>
    <row r="24" spans="1:21" x14ac:dyDescent="0.25">
      <c r="B24" s="174" t="s">
        <v>567</v>
      </c>
      <c r="C24" s="186">
        <v>100.74</v>
      </c>
      <c r="D24" s="25"/>
      <c r="E24" s="186">
        <v>100.74</v>
      </c>
      <c r="F24" s="25"/>
      <c r="G24" s="186">
        <v>100.74</v>
      </c>
      <c r="H24" s="25"/>
      <c r="I24" s="25">
        <v>100.74</v>
      </c>
      <c r="J24" s="25"/>
      <c r="K24" s="25">
        <v>101.65</v>
      </c>
      <c r="L24" s="25">
        <v>99.64</v>
      </c>
      <c r="O24" t="s">
        <v>710</v>
      </c>
      <c r="P24" t="s">
        <v>711</v>
      </c>
    </row>
    <row r="25" spans="1:21" x14ac:dyDescent="0.25">
      <c r="B25" s="174" t="s">
        <v>7</v>
      </c>
      <c r="C25" s="186">
        <v>39</v>
      </c>
      <c r="D25" s="186">
        <v>40</v>
      </c>
      <c r="E25" s="25">
        <v>31.5</v>
      </c>
      <c r="F25" s="186">
        <v>36</v>
      </c>
      <c r="G25" s="25">
        <v>26.5</v>
      </c>
      <c r="H25" s="25">
        <v>32.596249999999998</v>
      </c>
      <c r="I25" s="25">
        <v>35.4</v>
      </c>
      <c r="J25" s="25"/>
      <c r="K25" s="25">
        <v>47.09</v>
      </c>
      <c r="L25" s="25">
        <v>45.230000000000004</v>
      </c>
      <c r="O25" t="s">
        <v>712</v>
      </c>
      <c r="P25" t="s">
        <v>713</v>
      </c>
    </row>
    <row r="26" spans="1:21" x14ac:dyDescent="0.25">
      <c r="B26" s="174" t="s">
        <v>31</v>
      </c>
      <c r="C26" s="186">
        <v>0</v>
      </c>
      <c r="D26" s="186">
        <v>12</v>
      </c>
      <c r="E26" s="25">
        <v>49</v>
      </c>
      <c r="F26" s="186">
        <v>49</v>
      </c>
      <c r="G26" s="25">
        <v>49</v>
      </c>
      <c r="H26" s="25">
        <v>49</v>
      </c>
      <c r="I26" s="25">
        <v>50</v>
      </c>
      <c r="J26" s="25"/>
      <c r="K26" s="25">
        <v>35</v>
      </c>
      <c r="L26" s="25">
        <v>35</v>
      </c>
      <c r="O26" t="s">
        <v>714</v>
      </c>
      <c r="P26" t="s">
        <v>715</v>
      </c>
      <c r="U26">
        <v>8.5</v>
      </c>
    </row>
    <row r="27" spans="1:21" x14ac:dyDescent="0.25">
      <c r="B27" s="174" t="s">
        <v>255</v>
      </c>
      <c r="C27" s="186">
        <v>34</v>
      </c>
      <c r="D27" s="186">
        <v>36</v>
      </c>
      <c r="E27" s="25">
        <v>34.75</v>
      </c>
      <c r="F27" s="186">
        <v>37.5</v>
      </c>
      <c r="G27" s="25">
        <v>27.2</v>
      </c>
      <c r="H27" s="25">
        <v>33.181249999999999</v>
      </c>
      <c r="I27" s="25">
        <v>29.165339245815588</v>
      </c>
      <c r="J27" s="25"/>
      <c r="K27" s="25">
        <v>45.752499999999998</v>
      </c>
      <c r="L27" s="25">
        <v>39.380000000000003</v>
      </c>
      <c r="U27">
        <v>365</v>
      </c>
    </row>
    <row r="28" spans="1:21" x14ac:dyDescent="0.25">
      <c r="B28" s="174" t="s">
        <v>261</v>
      </c>
      <c r="C28" s="186">
        <v>0</v>
      </c>
      <c r="D28" s="25"/>
      <c r="E28" s="186">
        <v>0</v>
      </c>
      <c r="F28" s="25"/>
      <c r="G28" s="186">
        <v>92</v>
      </c>
      <c r="H28" s="25"/>
      <c r="I28" s="25">
        <v>109.31</v>
      </c>
      <c r="J28" s="25"/>
      <c r="K28" s="25">
        <v>120.27</v>
      </c>
      <c r="L28" s="25">
        <v>120.27</v>
      </c>
      <c r="O28" s="183" t="s">
        <v>716</v>
      </c>
      <c r="P28" s="183" t="s">
        <v>717</v>
      </c>
    </row>
    <row r="29" spans="1:21" x14ac:dyDescent="0.25">
      <c r="B29" s="174" t="s">
        <v>266</v>
      </c>
      <c r="C29" s="186">
        <v>79.98</v>
      </c>
      <c r="D29" s="25"/>
      <c r="E29" s="186">
        <v>79.98</v>
      </c>
      <c r="F29" s="25"/>
      <c r="G29" s="186">
        <v>79.98</v>
      </c>
      <c r="H29" s="25"/>
      <c r="I29" s="25">
        <v>79.98</v>
      </c>
      <c r="J29" s="25"/>
      <c r="K29" s="25">
        <v>79.930000000000007</v>
      </c>
      <c r="L29" s="25">
        <v>79.930000000000007</v>
      </c>
      <c r="O29" s="185" t="s">
        <v>718</v>
      </c>
      <c r="P29" s="185" t="s">
        <v>719</v>
      </c>
      <c r="U29">
        <f>+U26*U27</f>
        <v>3102.5</v>
      </c>
    </row>
    <row r="30" spans="1:21" x14ac:dyDescent="0.25">
      <c r="B30" s="174" t="s">
        <v>268</v>
      </c>
      <c r="C30" s="186">
        <v>35</v>
      </c>
      <c r="D30" s="25"/>
      <c r="E30" s="186">
        <v>48</v>
      </c>
      <c r="F30" s="25"/>
      <c r="G30" s="186">
        <v>66.010000000000005</v>
      </c>
      <c r="H30" s="25"/>
      <c r="I30" s="25">
        <v>80.88</v>
      </c>
      <c r="J30" s="25"/>
      <c r="K30" s="25">
        <v>83.05</v>
      </c>
      <c r="L30" s="25">
        <v>83.05</v>
      </c>
      <c r="O30" s="187" t="s">
        <v>720</v>
      </c>
      <c r="P30" s="187" t="s">
        <v>721</v>
      </c>
    </row>
    <row r="31" spans="1:21" x14ac:dyDescent="0.25">
      <c r="B31" s="174" t="s">
        <v>604</v>
      </c>
      <c r="C31" s="25"/>
      <c r="D31" s="25"/>
      <c r="E31" s="25"/>
      <c r="F31" s="25"/>
      <c r="G31" s="25">
        <v>100.14</v>
      </c>
      <c r="H31" s="25"/>
      <c r="I31" s="25">
        <v>100.14</v>
      </c>
      <c r="J31" s="25"/>
      <c r="K31" s="25">
        <v>100.77</v>
      </c>
      <c r="L31" s="25">
        <v>100.77</v>
      </c>
      <c r="O31" s="189" t="s">
        <v>722</v>
      </c>
      <c r="P31" s="189" t="s">
        <v>606</v>
      </c>
    </row>
    <row r="32" spans="1:21" x14ac:dyDescent="0.25">
      <c r="A32" s="174" t="s">
        <v>573</v>
      </c>
      <c r="B32" s="174" t="s">
        <v>653</v>
      </c>
      <c r="C32" s="154">
        <v>4242.4281992024216</v>
      </c>
      <c r="D32" s="154">
        <v>4062.4281992024216</v>
      </c>
      <c r="E32" s="25">
        <v>4474.2066983916566</v>
      </c>
      <c r="F32" s="154">
        <v>4374.2066983916566</v>
      </c>
      <c r="G32" s="25">
        <v>3506.0776345659137</v>
      </c>
      <c r="H32" s="25">
        <v>3021.0776345659137</v>
      </c>
      <c r="I32" s="25">
        <v>3621</v>
      </c>
      <c r="J32" s="25"/>
      <c r="K32" s="25">
        <v>3470</v>
      </c>
      <c r="L32" s="25">
        <v>3470</v>
      </c>
      <c r="O32" s="191" t="s">
        <v>723</v>
      </c>
      <c r="P32" s="191" t="s">
        <v>642</v>
      </c>
    </row>
    <row r="33" spans="1:18" x14ac:dyDescent="0.25">
      <c r="B33" s="174" t="s">
        <v>705</v>
      </c>
      <c r="C33" s="192">
        <v>3.4</v>
      </c>
      <c r="D33" s="25"/>
      <c r="E33" s="192">
        <v>3.4</v>
      </c>
      <c r="F33" s="25"/>
      <c r="G33" s="192">
        <v>3.4</v>
      </c>
      <c r="H33" s="25"/>
      <c r="I33" s="25">
        <v>3.4</v>
      </c>
      <c r="J33" s="25"/>
      <c r="K33" s="25">
        <v>3.4</v>
      </c>
      <c r="L33" s="25">
        <v>3.4</v>
      </c>
    </row>
    <row r="34" spans="1:18" x14ac:dyDescent="0.25">
      <c r="B34" s="174" t="s">
        <v>706</v>
      </c>
      <c r="C34" s="192">
        <v>0.9</v>
      </c>
      <c r="D34" s="25"/>
      <c r="E34" s="192">
        <v>0.9</v>
      </c>
      <c r="F34" s="25"/>
      <c r="G34" s="192">
        <v>0.9</v>
      </c>
      <c r="H34" s="25"/>
      <c r="I34" s="25">
        <v>0.9</v>
      </c>
      <c r="J34" s="25"/>
      <c r="K34" s="25">
        <v>0.9</v>
      </c>
      <c r="L34" s="25">
        <v>0.9</v>
      </c>
      <c r="O34" t="s">
        <v>855</v>
      </c>
      <c r="P34" t="s">
        <v>863</v>
      </c>
    </row>
    <row r="35" spans="1:18" x14ac:dyDescent="0.25">
      <c r="A35" s="174" t="s">
        <v>642</v>
      </c>
      <c r="B35" s="174" t="s">
        <v>566</v>
      </c>
      <c r="C35" s="28"/>
      <c r="D35" s="28"/>
      <c r="E35" s="28"/>
      <c r="F35" s="28"/>
      <c r="G35" s="28">
        <v>0.10299999999999999</v>
      </c>
      <c r="H35" s="28">
        <v>-0.106</v>
      </c>
      <c r="I35" s="28">
        <v>4.8945290938999996E-3</v>
      </c>
      <c r="J35" s="28">
        <v>4.5776239147999999E-3</v>
      </c>
      <c r="K35" s="28"/>
      <c r="L35" s="28"/>
      <c r="O35" t="s">
        <v>856</v>
      </c>
      <c r="P35" t="s">
        <v>5</v>
      </c>
    </row>
    <row r="36" spans="1:18" x14ac:dyDescent="0.25">
      <c r="B36" s="174" t="s">
        <v>567</v>
      </c>
      <c r="C36" s="28"/>
      <c r="D36" s="28"/>
      <c r="E36" s="28"/>
      <c r="F36" s="28"/>
      <c r="G36" s="28">
        <v>4.6262661114707893E-2</v>
      </c>
      <c r="H36" s="28">
        <v>-3.1046501075563837E-2</v>
      </c>
      <c r="I36" s="28">
        <v>4.4104026435999996E-3</v>
      </c>
      <c r="J36" s="28">
        <v>-1.556351194E-2</v>
      </c>
      <c r="K36" s="28"/>
      <c r="L36" s="28"/>
      <c r="O36" t="s">
        <v>857</v>
      </c>
      <c r="P36" s="25" t="s">
        <v>7</v>
      </c>
      <c r="Q36" s="25"/>
    </row>
    <row r="37" spans="1:18" x14ac:dyDescent="0.25">
      <c r="B37" s="174" t="s">
        <v>268</v>
      </c>
      <c r="C37" s="190">
        <v>0.25</v>
      </c>
      <c r="D37" s="190">
        <v>0.25</v>
      </c>
      <c r="E37" s="28">
        <v>0.7</v>
      </c>
      <c r="F37" s="190">
        <v>0.5</v>
      </c>
      <c r="G37" s="28">
        <v>0.7</v>
      </c>
      <c r="H37" s="28">
        <v>1</v>
      </c>
      <c r="I37" s="28">
        <v>1</v>
      </c>
      <c r="J37" s="28">
        <v>2</v>
      </c>
      <c r="K37" s="28"/>
      <c r="L37" s="28"/>
      <c r="O37" t="s">
        <v>858</v>
      </c>
      <c r="P37" t="s">
        <v>6</v>
      </c>
      <c r="Q37" s="25"/>
    </row>
    <row r="38" spans="1:18" x14ac:dyDescent="0.25">
      <c r="B38" s="174" t="s">
        <v>260</v>
      </c>
      <c r="C38" s="190">
        <v>0.5</v>
      </c>
      <c r="D38" s="190">
        <v>0.5</v>
      </c>
      <c r="E38" s="28">
        <v>0.65</v>
      </c>
      <c r="F38" s="190">
        <v>0.5</v>
      </c>
      <c r="G38" s="28">
        <v>0.75</v>
      </c>
      <c r="H38" s="28">
        <v>0.5</v>
      </c>
      <c r="I38" s="28">
        <v>0.01</v>
      </c>
      <c r="J38" s="28">
        <v>0.01</v>
      </c>
      <c r="K38" s="28"/>
      <c r="L38" s="28"/>
      <c r="O38" t="s">
        <v>859</v>
      </c>
      <c r="P38" t="s">
        <v>864</v>
      </c>
    </row>
    <row r="39" spans="1:18" x14ac:dyDescent="0.25">
      <c r="B39" s="174" t="s">
        <v>644</v>
      </c>
      <c r="C39" s="190">
        <v>0.12</v>
      </c>
      <c r="D39" s="190">
        <v>0.1</v>
      </c>
      <c r="E39" s="28">
        <v>0.35</v>
      </c>
      <c r="F39" s="190">
        <v>0.25</v>
      </c>
      <c r="G39" s="28">
        <v>7.0000000000000007E-2</v>
      </c>
      <c r="H39" s="28">
        <v>0.1</v>
      </c>
      <c r="I39" s="28">
        <v>6.5668580803999996E-2</v>
      </c>
      <c r="J39" s="28">
        <v>0.14299109235999999</v>
      </c>
      <c r="K39" s="28"/>
      <c r="L39" s="28"/>
      <c r="O39" t="s">
        <v>861</v>
      </c>
      <c r="P39" s="25" t="s">
        <v>865</v>
      </c>
      <c r="R39" s="25"/>
    </row>
    <row r="40" spans="1:18" x14ac:dyDescent="0.25">
      <c r="A40" s="174" t="s">
        <v>606</v>
      </c>
      <c r="B40" s="174" t="s">
        <v>5</v>
      </c>
      <c r="C40" s="188">
        <v>0.10199999999999999</v>
      </c>
      <c r="D40" s="188">
        <v>0.10199999999999999</v>
      </c>
      <c r="E40" s="28">
        <v>0.10100000000000001</v>
      </c>
      <c r="F40" s="188">
        <v>0.10100000000000001</v>
      </c>
      <c r="G40" s="28">
        <v>0.10100000000000001</v>
      </c>
      <c r="H40" s="28">
        <v>0.10100000000000001</v>
      </c>
      <c r="I40" s="28">
        <v>0.10100000000000001</v>
      </c>
      <c r="J40" s="28"/>
      <c r="K40" s="28"/>
      <c r="L40" s="28"/>
      <c r="O40" t="s">
        <v>862</v>
      </c>
      <c r="P40" t="s">
        <v>866</v>
      </c>
    </row>
    <row r="41" spans="1:18" x14ac:dyDescent="0.25">
      <c r="B41" s="174" t="s">
        <v>7</v>
      </c>
      <c r="C41" s="188">
        <v>0.11</v>
      </c>
      <c r="D41" s="188">
        <v>0.1</v>
      </c>
      <c r="E41" s="28">
        <v>0.105</v>
      </c>
      <c r="F41" s="188">
        <v>9.8000000000000004E-2</v>
      </c>
      <c r="G41" s="28">
        <v>9.6000000000000002E-2</v>
      </c>
      <c r="H41" s="28">
        <v>8.5999999999999993E-2</v>
      </c>
      <c r="I41" s="28">
        <v>6.9000000000000006E-2</v>
      </c>
      <c r="J41" s="28"/>
      <c r="K41" s="28"/>
      <c r="L41" s="28"/>
      <c r="O41" t="s">
        <v>867</v>
      </c>
      <c r="P41" t="s">
        <v>31</v>
      </c>
    </row>
    <row r="42" spans="1:18" x14ac:dyDescent="0.25">
      <c r="B42" s="174" t="s">
        <v>31</v>
      </c>
      <c r="C42" s="188">
        <v>0.95</v>
      </c>
      <c r="D42" s="188">
        <v>0.92500000000000004</v>
      </c>
      <c r="E42" s="28">
        <v>0.9</v>
      </c>
      <c r="F42" s="188">
        <v>0.875</v>
      </c>
      <c r="G42" s="28">
        <v>0.75</v>
      </c>
      <c r="H42" s="28">
        <v>0.67500000000000004</v>
      </c>
      <c r="I42" s="28">
        <v>0.7</v>
      </c>
      <c r="J42" s="28"/>
      <c r="K42" s="28"/>
      <c r="L42" s="28"/>
      <c r="O42" t="s">
        <v>860</v>
      </c>
      <c r="P42" t="s">
        <v>760</v>
      </c>
    </row>
    <row r="43" spans="1:18" x14ac:dyDescent="0.25">
      <c r="B43" s="174" t="s">
        <v>6</v>
      </c>
      <c r="C43" s="188">
        <v>3.5000000000000003E-2</v>
      </c>
      <c r="D43" s="188">
        <v>0.02</v>
      </c>
      <c r="E43" s="28">
        <v>0.06</v>
      </c>
      <c r="F43" s="188">
        <v>0.03</v>
      </c>
      <c r="G43" s="28">
        <v>7.2999999999999995E-2</v>
      </c>
      <c r="H43" s="28">
        <v>4.2000000000000003E-2</v>
      </c>
      <c r="I43" s="28">
        <v>3.5000000000000003E-2</v>
      </c>
      <c r="J43" s="28"/>
      <c r="K43" s="28"/>
      <c r="L43" s="28"/>
    </row>
    <row r="44" spans="1:18" x14ac:dyDescent="0.25">
      <c r="O44" s="140" t="s">
        <v>868</v>
      </c>
      <c r="P44" s="140" t="s">
        <v>869</v>
      </c>
    </row>
    <row r="45" spans="1:18" x14ac:dyDescent="0.25">
      <c r="O45" s="193" t="s">
        <v>870</v>
      </c>
      <c r="P45" s="193" t="s">
        <v>871</v>
      </c>
    </row>
  </sheetData>
  <mergeCells count="1">
    <mergeCell ref="O23:Q23"/>
  </mergeCell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57"/>
  <sheetViews>
    <sheetView workbookViewId="0">
      <pane xSplit="4" ySplit="1" topLeftCell="E14" activePane="bottomRight" state="frozen"/>
      <selection pane="topRight" activeCell="E1" sqref="E1"/>
      <selection pane="bottomLeft" activeCell="A2" sqref="A2"/>
      <selection pane="bottomRight" activeCell="E32" sqref="E32"/>
    </sheetView>
  </sheetViews>
  <sheetFormatPr defaultRowHeight="15" x14ac:dyDescent="0.25"/>
  <cols>
    <col min="3" max="3" width="19.42578125" customWidth="1"/>
    <col min="4" max="4" width="16.42578125" bestFit="1" customWidth="1"/>
    <col min="5" max="5" width="28.28515625" customWidth="1"/>
  </cols>
  <sheetData>
    <row r="1" spans="1:8" x14ac:dyDescent="0.25">
      <c r="A1" t="s">
        <v>643</v>
      </c>
      <c r="B1" t="s">
        <v>249</v>
      </c>
      <c r="C1" t="s">
        <v>254</v>
      </c>
      <c r="D1" t="s">
        <v>565</v>
      </c>
      <c r="E1" t="s">
        <v>641</v>
      </c>
    </row>
    <row r="2" spans="1:8" x14ac:dyDescent="0.25">
      <c r="A2" s="20">
        <v>44927</v>
      </c>
      <c r="B2" s="20">
        <v>44927</v>
      </c>
      <c r="C2" t="s">
        <v>566</v>
      </c>
      <c r="D2" t="s">
        <v>570</v>
      </c>
      <c r="E2" s="9">
        <v>122.48</v>
      </c>
      <c r="F2" t="s">
        <v>762</v>
      </c>
    </row>
    <row r="3" spans="1:8" x14ac:dyDescent="0.25">
      <c r="A3" s="20">
        <v>44927</v>
      </c>
      <c r="B3" s="20">
        <v>44927</v>
      </c>
      <c r="C3" t="s">
        <v>567</v>
      </c>
      <c r="D3" t="s">
        <v>570</v>
      </c>
      <c r="E3" s="9">
        <v>134.47999999999999</v>
      </c>
      <c r="F3" s="123" t="s">
        <v>762</v>
      </c>
      <c r="H3" t="s">
        <v>725</v>
      </c>
    </row>
    <row r="4" spans="1:8" x14ac:dyDescent="0.25">
      <c r="A4" s="20">
        <v>44927</v>
      </c>
      <c r="B4" s="20">
        <v>44927</v>
      </c>
      <c r="C4" t="s">
        <v>266</v>
      </c>
      <c r="D4" t="s">
        <v>570</v>
      </c>
      <c r="E4" s="9">
        <v>105.5</v>
      </c>
      <c r="F4" s="123" t="s">
        <v>762</v>
      </c>
      <c r="H4" s="90" t="s">
        <v>724</v>
      </c>
    </row>
    <row r="5" spans="1:8" x14ac:dyDescent="0.25">
      <c r="A5" s="20">
        <v>44927</v>
      </c>
      <c r="B5" s="20">
        <v>44927</v>
      </c>
      <c r="C5" t="s">
        <v>275</v>
      </c>
      <c r="D5" t="s">
        <v>570</v>
      </c>
      <c r="E5" s="9">
        <v>78.83</v>
      </c>
      <c r="F5" s="123" t="s">
        <v>762</v>
      </c>
    </row>
    <row r="6" spans="1:8" x14ac:dyDescent="0.25">
      <c r="A6" s="20">
        <v>44927</v>
      </c>
      <c r="B6" s="20">
        <v>44927</v>
      </c>
      <c r="C6" t="s">
        <v>261</v>
      </c>
      <c r="D6" t="s">
        <v>570</v>
      </c>
      <c r="E6" s="9">
        <v>3.6</v>
      </c>
      <c r="F6" s="123" t="s">
        <v>762</v>
      </c>
    </row>
    <row r="7" spans="1:8" x14ac:dyDescent="0.25">
      <c r="A7" s="20">
        <v>44927</v>
      </c>
      <c r="B7" s="20">
        <v>44927</v>
      </c>
      <c r="C7" t="s">
        <v>19</v>
      </c>
      <c r="D7" t="s">
        <v>570</v>
      </c>
      <c r="E7" s="9">
        <v>120</v>
      </c>
      <c r="F7" s="123" t="s">
        <v>762</v>
      </c>
    </row>
    <row r="8" spans="1:8" x14ac:dyDescent="0.25">
      <c r="A8" s="20">
        <v>44927</v>
      </c>
      <c r="B8" s="20">
        <v>44927</v>
      </c>
      <c r="C8" t="s">
        <v>5</v>
      </c>
      <c r="D8" t="s">
        <v>570</v>
      </c>
      <c r="E8" s="9">
        <v>81.510000000000005</v>
      </c>
      <c r="F8" s="123" t="s">
        <v>762</v>
      </c>
    </row>
    <row r="9" spans="1:8" x14ac:dyDescent="0.25">
      <c r="A9" s="20">
        <v>44927</v>
      </c>
      <c r="B9" s="20">
        <v>44927</v>
      </c>
      <c r="C9" t="s">
        <v>7</v>
      </c>
      <c r="D9" t="s">
        <v>570</v>
      </c>
      <c r="E9" s="9">
        <v>126.13</v>
      </c>
      <c r="F9" s="123" t="s">
        <v>762</v>
      </c>
    </row>
    <row r="10" spans="1:8" x14ac:dyDescent="0.25">
      <c r="A10" s="20">
        <v>44927</v>
      </c>
      <c r="B10" s="20">
        <v>44927</v>
      </c>
      <c r="C10" t="s">
        <v>255</v>
      </c>
      <c r="D10" t="s">
        <v>570</v>
      </c>
      <c r="E10" s="9">
        <v>129.65</v>
      </c>
      <c r="F10" s="123" t="s">
        <v>762</v>
      </c>
    </row>
    <row r="11" spans="1:8" x14ac:dyDescent="0.25">
      <c r="A11" s="20">
        <v>44927</v>
      </c>
      <c r="B11" s="20">
        <v>44927</v>
      </c>
      <c r="C11" t="s">
        <v>268</v>
      </c>
      <c r="D11" t="s">
        <v>570</v>
      </c>
      <c r="E11" s="9">
        <v>89.63</v>
      </c>
      <c r="F11" s="123" t="s">
        <v>762</v>
      </c>
      <c r="H11" t="s">
        <v>763</v>
      </c>
    </row>
    <row r="12" spans="1:8" x14ac:dyDescent="0.25">
      <c r="A12" s="20">
        <v>44927</v>
      </c>
      <c r="B12" s="20">
        <v>44927</v>
      </c>
      <c r="C12" t="s">
        <v>568</v>
      </c>
      <c r="D12" t="s">
        <v>570</v>
      </c>
      <c r="E12" s="9">
        <v>122.48</v>
      </c>
      <c r="F12" s="123" t="s">
        <v>762</v>
      </c>
    </row>
    <row r="13" spans="1:8" x14ac:dyDescent="0.25">
      <c r="A13" s="20">
        <v>44927</v>
      </c>
      <c r="B13" s="20">
        <v>44927</v>
      </c>
      <c r="C13" t="s">
        <v>569</v>
      </c>
      <c r="D13" t="s">
        <v>570</v>
      </c>
      <c r="E13" s="9">
        <v>126.37</v>
      </c>
      <c r="F13" s="123" t="s">
        <v>762</v>
      </c>
    </row>
    <row r="14" spans="1:8" x14ac:dyDescent="0.25">
      <c r="A14" s="20">
        <v>44927</v>
      </c>
      <c r="B14" s="20">
        <v>44927</v>
      </c>
      <c r="C14" t="s">
        <v>566</v>
      </c>
      <c r="D14" t="s">
        <v>571</v>
      </c>
      <c r="E14" s="9">
        <v>91.68</v>
      </c>
      <c r="F14" t="s">
        <v>732</v>
      </c>
      <c r="H14" s="164" t="s">
        <v>761</v>
      </c>
    </row>
    <row r="15" spans="1:8" x14ac:dyDescent="0.25">
      <c r="A15" s="20">
        <v>44927</v>
      </c>
      <c r="B15" s="20">
        <v>44927</v>
      </c>
      <c r="C15" t="s">
        <v>567</v>
      </c>
      <c r="D15" t="s">
        <v>571</v>
      </c>
      <c r="E15" s="9">
        <v>92.32</v>
      </c>
      <c r="F15" t="s">
        <v>732</v>
      </c>
    </row>
    <row r="16" spans="1:8" x14ac:dyDescent="0.25">
      <c r="A16" s="20">
        <v>44927</v>
      </c>
      <c r="B16" s="20">
        <v>44927</v>
      </c>
      <c r="C16" t="s">
        <v>569</v>
      </c>
      <c r="D16" t="s">
        <v>571</v>
      </c>
      <c r="E16" s="9">
        <v>90.8</v>
      </c>
      <c r="F16" t="s">
        <v>732</v>
      </c>
      <c r="H16" t="s">
        <v>764</v>
      </c>
    </row>
    <row r="17" spans="1:20" x14ac:dyDescent="0.25">
      <c r="A17" s="20">
        <v>44927</v>
      </c>
      <c r="B17" s="20">
        <v>44927</v>
      </c>
      <c r="C17" t="s">
        <v>566</v>
      </c>
      <c r="D17" t="s">
        <v>572</v>
      </c>
      <c r="E17" s="9">
        <v>100.14</v>
      </c>
      <c r="F17" t="s">
        <v>732</v>
      </c>
    </row>
    <row r="18" spans="1:20" x14ac:dyDescent="0.25">
      <c r="A18" s="20">
        <v>44927</v>
      </c>
      <c r="B18" s="20">
        <v>44927</v>
      </c>
      <c r="C18" t="s">
        <v>567</v>
      </c>
      <c r="D18" t="s">
        <v>572</v>
      </c>
      <c r="E18" s="9">
        <v>100.74</v>
      </c>
      <c r="F18" t="s">
        <v>732</v>
      </c>
      <c r="S18" t="s">
        <v>4</v>
      </c>
      <c r="T18" t="s">
        <v>3</v>
      </c>
    </row>
    <row r="19" spans="1:20" x14ac:dyDescent="0.25">
      <c r="A19" s="20">
        <v>44927</v>
      </c>
      <c r="B19" s="20">
        <v>44927</v>
      </c>
      <c r="C19" t="s">
        <v>568</v>
      </c>
      <c r="D19" t="s">
        <v>572</v>
      </c>
      <c r="E19" s="9">
        <v>98.06</v>
      </c>
      <c r="F19" t="s">
        <v>732</v>
      </c>
      <c r="R19">
        <v>2016</v>
      </c>
      <c r="S19">
        <v>98.37</v>
      </c>
      <c r="T19">
        <v>99.36</v>
      </c>
    </row>
    <row r="20" spans="1:20" x14ac:dyDescent="0.25">
      <c r="A20" s="20">
        <v>44927</v>
      </c>
      <c r="B20" s="20">
        <v>44927</v>
      </c>
      <c r="C20" t="s">
        <v>261</v>
      </c>
      <c r="D20" t="s">
        <v>572</v>
      </c>
      <c r="E20" s="9">
        <v>0</v>
      </c>
      <c r="R20">
        <v>2017</v>
      </c>
      <c r="S20">
        <v>98.13</v>
      </c>
      <c r="T20">
        <v>99.14</v>
      </c>
    </row>
    <row r="21" spans="1:20" x14ac:dyDescent="0.25">
      <c r="A21" s="20">
        <v>44927</v>
      </c>
      <c r="B21" s="20">
        <v>44927</v>
      </c>
      <c r="C21" t="s">
        <v>266</v>
      </c>
      <c r="D21" t="s">
        <v>572</v>
      </c>
      <c r="E21" s="9">
        <v>79.98</v>
      </c>
      <c r="F21" t="s">
        <v>732</v>
      </c>
      <c r="R21" s="174">
        <v>2018</v>
      </c>
      <c r="S21">
        <v>97.66</v>
      </c>
      <c r="T21">
        <v>98.61</v>
      </c>
    </row>
    <row r="22" spans="1:20" s="123" customFormat="1" x14ac:dyDescent="0.25">
      <c r="A22" s="20">
        <v>44927</v>
      </c>
      <c r="B22" s="20">
        <v>44562</v>
      </c>
      <c r="C22" s="123" t="s">
        <v>31</v>
      </c>
      <c r="D22" s="123" t="s">
        <v>572</v>
      </c>
      <c r="E22" s="9">
        <v>12</v>
      </c>
      <c r="R22" s="174">
        <v>2019</v>
      </c>
      <c r="S22" s="123">
        <v>96.59</v>
      </c>
      <c r="T22" s="123">
        <v>97.26</v>
      </c>
    </row>
    <row r="23" spans="1:20" x14ac:dyDescent="0.25">
      <c r="A23" s="20">
        <v>44927</v>
      </c>
      <c r="B23" s="20">
        <v>44927</v>
      </c>
      <c r="C23" t="s">
        <v>31</v>
      </c>
      <c r="D23" t="s">
        <v>572</v>
      </c>
      <c r="E23" s="9">
        <v>0</v>
      </c>
      <c r="R23" s="174">
        <v>2020</v>
      </c>
      <c r="S23">
        <v>95.61</v>
      </c>
      <c r="T23">
        <v>96.27</v>
      </c>
    </row>
    <row r="24" spans="1:20" x14ac:dyDescent="0.25">
      <c r="A24" s="20">
        <v>44927</v>
      </c>
      <c r="B24" s="20">
        <v>44927</v>
      </c>
      <c r="C24" t="s">
        <v>268</v>
      </c>
      <c r="D24" t="s">
        <v>572</v>
      </c>
      <c r="E24" s="9">
        <v>35</v>
      </c>
      <c r="F24" t="s">
        <v>732</v>
      </c>
      <c r="R24" s="174">
        <v>2021</v>
      </c>
      <c r="S24">
        <v>94.63</v>
      </c>
      <c r="T24">
        <v>95.29</v>
      </c>
    </row>
    <row r="25" spans="1:20" s="123" customFormat="1" x14ac:dyDescent="0.25">
      <c r="A25" s="20">
        <v>44927</v>
      </c>
      <c r="B25" s="20">
        <v>44562</v>
      </c>
      <c r="C25" s="123" t="s">
        <v>5</v>
      </c>
      <c r="D25" s="123" t="s">
        <v>572</v>
      </c>
      <c r="E25" s="9">
        <v>52</v>
      </c>
      <c r="R25" s="174">
        <v>2022</v>
      </c>
      <c r="S25" s="123">
        <v>93.15</v>
      </c>
      <c r="T25" s="123">
        <v>93.81</v>
      </c>
    </row>
    <row r="26" spans="1:20" x14ac:dyDescent="0.25">
      <c r="A26" s="20">
        <v>44927</v>
      </c>
      <c r="B26" s="20">
        <v>44927</v>
      </c>
      <c r="C26" t="s">
        <v>5</v>
      </c>
      <c r="D26" t="s">
        <v>572</v>
      </c>
      <c r="E26" s="47">
        <v>50</v>
      </c>
      <c r="R26" s="174">
        <v>2023</v>
      </c>
      <c r="S26">
        <v>91.68</v>
      </c>
      <c r="T26">
        <v>92.32</v>
      </c>
    </row>
    <row r="27" spans="1:20" s="123" customFormat="1" x14ac:dyDescent="0.25">
      <c r="A27" s="20">
        <v>44927</v>
      </c>
      <c r="B27" s="20">
        <v>44562</v>
      </c>
      <c r="C27" s="123" t="s">
        <v>7</v>
      </c>
      <c r="D27" s="123" t="s">
        <v>572</v>
      </c>
      <c r="E27" s="47">
        <v>40</v>
      </c>
      <c r="R27" s="174">
        <v>2024</v>
      </c>
      <c r="S27" s="123">
        <v>90.21</v>
      </c>
      <c r="T27" s="123">
        <v>90.84</v>
      </c>
    </row>
    <row r="28" spans="1:20" x14ac:dyDescent="0.25">
      <c r="A28" s="20">
        <v>44927</v>
      </c>
      <c r="B28" s="20">
        <v>44927</v>
      </c>
      <c r="C28" t="s">
        <v>7</v>
      </c>
      <c r="D28" t="s">
        <v>572</v>
      </c>
      <c r="E28" s="47">
        <v>39</v>
      </c>
      <c r="R28" s="174">
        <v>2025</v>
      </c>
      <c r="S28">
        <v>88.25</v>
      </c>
      <c r="T28">
        <v>88.87</v>
      </c>
    </row>
    <row r="29" spans="1:20" s="123" customFormat="1" x14ac:dyDescent="0.25">
      <c r="A29" s="20">
        <v>44927</v>
      </c>
      <c r="B29" s="20">
        <v>44562</v>
      </c>
      <c r="C29" s="123" t="s">
        <v>255</v>
      </c>
      <c r="D29" s="123" t="s">
        <v>572</v>
      </c>
      <c r="E29" s="47">
        <v>36</v>
      </c>
    </row>
    <row r="30" spans="1:20" x14ac:dyDescent="0.25">
      <c r="A30" s="20">
        <v>44927</v>
      </c>
      <c r="B30" s="20">
        <v>44927</v>
      </c>
      <c r="C30" t="s">
        <v>255</v>
      </c>
      <c r="D30" t="s">
        <v>572</v>
      </c>
      <c r="E30" s="47">
        <v>34</v>
      </c>
    </row>
    <row r="31" spans="1:20" s="123" customFormat="1" x14ac:dyDescent="0.25">
      <c r="A31" s="20">
        <v>44927</v>
      </c>
      <c r="B31" s="20">
        <v>44562</v>
      </c>
      <c r="C31" s="123" t="s">
        <v>645</v>
      </c>
      <c r="D31" s="123" t="s">
        <v>573</v>
      </c>
      <c r="E31" s="124">
        <v>3500</v>
      </c>
    </row>
    <row r="32" spans="1:20" x14ac:dyDescent="0.25">
      <c r="A32" s="20">
        <v>44927</v>
      </c>
      <c r="B32" s="20">
        <v>44927</v>
      </c>
      <c r="C32" t="s">
        <v>645</v>
      </c>
      <c r="D32" t="s">
        <v>573</v>
      </c>
      <c r="E32" s="10">
        <f>AVERAGE(Forecast_Main!AJ98:AM98)</f>
        <v>3620.4404803517436</v>
      </c>
    </row>
    <row r="33" spans="1:8" x14ac:dyDescent="0.25">
      <c r="A33" s="20">
        <v>44927</v>
      </c>
      <c r="B33" s="20">
        <v>44927</v>
      </c>
      <c r="C33" t="s">
        <v>705</v>
      </c>
      <c r="D33" t="s">
        <v>573</v>
      </c>
      <c r="E33">
        <v>3.4</v>
      </c>
      <c r="F33" t="s">
        <v>766</v>
      </c>
      <c r="H33" t="s">
        <v>765</v>
      </c>
    </row>
    <row r="34" spans="1:8" s="123" customFormat="1" x14ac:dyDescent="0.25">
      <c r="A34" s="20">
        <v>44927</v>
      </c>
      <c r="B34" s="20">
        <v>44927</v>
      </c>
      <c r="C34" s="123" t="s">
        <v>706</v>
      </c>
      <c r="D34" s="123" t="s">
        <v>573</v>
      </c>
      <c r="E34" s="123">
        <v>0.9</v>
      </c>
      <c r="F34" s="123" t="s">
        <v>766</v>
      </c>
    </row>
    <row r="35" spans="1:8" x14ac:dyDescent="0.25">
      <c r="A35" s="20">
        <v>44927</v>
      </c>
      <c r="B35" s="20">
        <v>44562</v>
      </c>
      <c r="C35" t="s">
        <v>4</v>
      </c>
      <c r="D35" t="s">
        <v>642</v>
      </c>
      <c r="E35" s="165"/>
    </row>
    <row r="36" spans="1:8" x14ac:dyDescent="0.25">
      <c r="A36" s="20">
        <v>44927</v>
      </c>
      <c r="B36" s="20">
        <v>44927</v>
      </c>
      <c r="C36" t="s">
        <v>4</v>
      </c>
      <c r="D36" t="s">
        <v>642</v>
      </c>
      <c r="E36" s="165"/>
    </row>
    <row r="37" spans="1:8" x14ac:dyDescent="0.25">
      <c r="A37" s="20">
        <v>44927</v>
      </c>
      <c r="B37" s="20">
        <v>44562</v>
      </c>
      <c r="C37" t="s">
        <v>3</v>
      </c>
      <c r="D37" t="s">
        <v>642</v>
      </c>
      <c r="E37" s="165"/>
    </row>
    <row r="38" spans="1:8" x14ac:dyDescent="0.25">
      <c r="A38" s="20">
        <v>44927</v>
      </c>
      <c r="B38" s="20">
        <v>44927</v>
      </c>
      <c r="C38" t="s">
        <v>3</v>
      </c>
      <c r="D38" t="s">
        <v>642</v>
      </c>
      <c r="E38" s="165"/>
    </row>
    <row r="39" spans="1:8" x14ac:dyDescent="0.25">
      <c r="A39" s="20">
        <v>44927</v>
      </c>
      <c r="B39" s="20">
        <v>44562</v>
      </c>
      <c r="C39" t="s">
        <v>260</v>
      </c>
      <c r="D39" t="s">
        <v>642</v>
      </c>
      <c r="E39" s="154">
        <v>0.5</v>
      </c>
    </row>
    <row r="40" spans="1:8" x14ac:dyDescent="0.25">
      <c r="A40" s="20">
        <v>44927</v>
      </c>
      <c r="B40" s="20">
        <v>44927</v>
      </c>
      <c r="C40" t="s">
        <v>260</v>
      </c>
      <c r="D40" t="s">
        <v>642</v>
      </c>
      <c r="E40" s="154">
        <v>0.5</v>
      </c>
    </row>
    <row r="41" spans="1:8" x14ac:dyDescent="0.25">
      <c r="A41" s="20">
        <v>44927</v>
      </c>
      <c r="B41" s="20">
        <v>44562</v>
      </c>
      <c r="C41" t="s">
        <v>644</v>
      </c>
      <c r="D41" t="s">
        <v>642</v>
      </c>
      <c r="E41" s="154">
        <v>0.1</v>
      </c>
    </row>
    <row r="42" spans="1:8" x14ac:dyDescent="0.25">
      <c r="A42" s="20">
        <v>44927</v>
      </c>
      <c r="B42" s="20">
        <v>44927</v>
      </c>
      <c r="C42" t="s">
        <v>644</v>
      </c>
      <c r="D42" t="s">
        <v>642</v>
      </c>
      <c r="E42" s="154">
        <v>0.12</v>
      </c>
    </row>
    <row r="43" spans="1:8" x14ac:dyDescent="0.25">
      <c r="A43" s="20">
        <v>44927</v>
      </c>
      <c r="B43" s="20">
        <v>44562</v>
      </c>
      <c r="C43" t="s">
        <v>268</v>
      </c>
      <c r="D43" t="s">
        <v>642</v>
      </c>
      <c r="E43" s="154">
        <v>0.25</v>
      </c>
    </row>
    <row r="44" spans="1:8" x14ac:dyDescent="0.25">
      <c r="A44" s="20">
        <v>44927</v>
      </c>
      <c r="B44" s="20">
        <v>44927</v>
      </c>
      <c r="C44" t="s">
        <v>268</v>
      </c>
      <c r="D44" t="s">
        <v>642</v>
      </c>
      <c r="E44" s="154">
        <v>0.25</v>
      </c>
    </row>
    <row r="45" spans="1:8" x14ac:dyDescent="0.25">
      <c r="A45" s="20">
        <v>44927</v>
      </c>
      <c r="B45" s="20">
        <v>44927</v>
      </c>
      <c r="C45" t="s">
        <v>5</v>
      </c>
      <c r="D45" t="s">
        <v>606</v>
      </c>
      <c r="E45" s="130">
        <v>0.10199999999999999</v>
      </c>
    </row>
    <row r="46" spans="1:8" x14ac:dyDescent="0.25">
      <c r="A46" s="20">
        <v>44927</v>
      </c>
      <c r="B46" s="20">
        <v>44562</v>
      </c>
      <c r="C46" t="s">
        <v>5</v>
      </c>
      <c r="D46" t="s">
        <v>606</v>
      </c>
      <c r="E46" s="130">
        <v>0.10199999999999999</v>
      </c>
    </row>
    <row r="47" spans="1:8" x14ac:dyDescent="0.25">
      <c r="A47" s="20">
        <v>44927</v>
      </c>
      <c r="B47" s="20">
        <v>44927</v>
      </c>
      <c r="C47" t="s">
        <v>7</v>
      </c>
      <c r="D47" t="s">
        <v>606</v>
      </c>
      <c r="E47" s="130">
        <v>0.11</v>
      </c>
    </row>
    <row r="48" spans="1:8" x14ac:dyDescent="0.25">
      <c r="A48" s="20">
        <v>44927</v>
      </c>
      <c r="B48" s="20">
        <v>44562</v>
      </c>
      <c r="C48" t="s">
        <v>7</v>
      </c>
      <c r="D48" t="s">
        <v>606</v>
      </c>
      <c r="E48" s="130">
        <v>0.1</v>
      </c>
    </row>
    <row r="49" spans="1:5" x14ac:dyDescent="0.25">
      <c r="A49" s="20">
        <v>44927</v>
      </c>
      <c r="B49" s="20">
        <v>44927</v>
      </c>
      <c r="C49" t="s">
        <v>6</v>
      </c>
      <c r="D49" t="s">
        <v>606</v>
      </c>
      <c r="E49" s="130">
        <v>3.5000000000000003E-2</v>
      </c>
    </row>
    <row r="50" spans="1:5" x14ac:dyDescent="0.25">
      <c r="A50" s="20">
        <v>44927</v>
      </c>
      <c r="B50" s="20">
        <v>44562</v>
      </c>
      <c r="C50" t="s">
        <v>6</v>
      </c>
      <c r="D50" t="s">
        <v>606</v>
      </c>
      <c r="E50" s="130">
        <v>0.02</v>
      </c>
    </row>
    <row r="51" spans="1:5" x14ac:dyDescent="0.25">
      <c r="A51" s="20">
        <v>44927</v>
      </c>
      <c r="B51" s="20">
        <v>44927</v>
      </c>
      <c r="C51" t="s">
        <v>31</v>
      </c>
      <c r="D51" t="s">
        <v>606</v>
      </c>
      <c r="E51" s="130">
        <v>0.95</v>
      </c>
    </row>
    <row r="52" spans="1:5" x14ac:dyDescent="0.25">
      <c r="A52" s="20">
        <v>44927</v>
      </c>
      <c r="B52" s="20">
        <v>44562</v>
      </c>
      <c r="C52" t="s">
        <v>31</v>
      </c>
      <c r="D52" t="s">
        <v>606</v>
      </c>
      <c r="E52" s="130">
        <v>0.92500000000000004</v>
      </c>
    </row>
    <row r="53" spans="1:5" x14ac:dyDescent="0.25">
      <c r="A53" s="20"/>
      <c r="B53" s="20"/>
    </row>
    <row r="54" spans="1:5" x14ac:dyDescent="0.25">
      <c r="A54" s="20"/>
      <c r="B54" s="20"/>
    </row>
    <row r="55" spans="1:5" x14ac:dyDescent="0.25">
      <c r="A55" s="20"/>
      <c r="B55" s="20"/>
    </row>
    <row r="56" spans="1:5" x14ac:dyDescent="0.25">
      <c r="A56" s="20"/>
      <c r="B56" s="20"/>
    </row>
    <row r="57" spans="1:5" x14ac:dyDescent="0.25">
      <c r="A57" s="20"/>
      <c r="B57" s="20"/>
    </row>
  </sheetData>
  <hyperlinks>
    <hyperlink ref="H4" r:id="rId1" xr:uid="{00000000-0004-0000-0900-000000000000}"/>
  </hyperlinks>
  <pageMargins left="0.7" right="0.7" top="0.75" bottom="0.75" header="0.3" footer="0.3"/>
  <pageSetup orientation="portrait" horizontalDpi="200" verticalDpi="20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53"/>
  <sheetViews>
    <sheetView workbookViewId="0">
      <pane xSplit="1" ySplit="1" topLeftCell="E2" activePane="bottomRight" state="frozen"/>
      <selection pane="topRight" activeCell="C1" sqref="C1"/>
      <selection pane="bottomLeft" activeCell="A4" sqref="A4"/>
      <selection pane="bottomRight" activeCell="A40" sqref="A40:J42"/>
    </sheetView>
  </sheetViews>
  <sheetFormatPr defaultRowHeight="15" x14ac:dyDescent="0.25"/>
  <cols>
    <col min="1" max="1" width="29" bestFit="1" customWidth="1"/>
    <col min="2" max="4" width="13.42578125" hidden="1" customWidth="1"/>
    <col min="5" max="5" width="11.5703125" hidden="1" customWidth="1"/>
    <col min="6" max="8" width="11.5703125" customWidth="1"/>
    <col min="9" max="9" width="12" customWidth="1"/>
    <col min="10" max="10" width="10.28515625" customWidth="1"/>
  </cols>
  <sheetData>
    <row r="1" spans="1:10" ht="18.75" x14ac:dyDescent="0.3">
      <c r="A1" s="200" t="s">
        <v>562</v>
      </c>
      <c r="B1" s="200"/>
      <c r="C1" s="200"/>
      <c r="D1" s="200"/>
      <c r="E1" s="200"/>
      <c r="F1" s="200"/>
      <c r="G1" s="200"/>
      <c r="H1" s="200"/>
      <c r="I1" s="200"/>
      <c r="J1" s="200"/>
    </row>
    <row r="2" spans="1:10" ht="18.75" x14ac:dyDescent="0.3">
      <c r="A2" s="26"/>
      <c r="B2" s="26"/>
      <c r="C2" s="26"/>
      <c r="D2" s="26"/>
      <c r="E2" s="26"/>
      <c r="F2" s="26"/>
      <c r="G2" s="26"/>
      <c r="H2" s="26"/>
      <c r="I2" s="26"/>
    </row>
    <row r="3" spans="1:10" ht="15.75" thickBot="1" x14ac:dyDescent="0.3">
      <c r="A3" s="38" t="s">
        <v>744</v>
      </c>
      <c r="B3" s="27">
        <v>2015</v>
      </c>
      <c r="C3" s="27">
        <v>2016</v>
      </c>
      <c r="D3" s="27">
        <v>2017</v>
      </c>
      <c r="E3" s="27">
        <v>2018</v>
      </c>
      <c r="F3" s="27">
        <v>2019</v>
      </c>
      <c r="G3" s="39">
        <v>2020</v>
      </c>
      <c r="H3" s="27">
        <v>2021</v>
      </c>
      <c r="I3" s="98" t="s">
        <v>731</v>
      </c>
      <c r="J3" s="98" t="s">
        <v>771</v>
      </c>
    </row>
    <row r="4" spans="1:10" x14ac:dyDescent="0.25">
      <c r="A4" t="s">
        <v>680</v>
      </c>
      <c r="B4" s="8">
        <f>'AEO Pacific'!F56/'AEO Pacific'!E56-1</f>
        <v>1.3261500207210952E-2</v>
      </c>
      <c r="C4" s="8">
        <f>'AEO Pacific'!G56/'AEO Pacific'!F56-1</f>
        <v>-3.3946830265848549E-2</v>
      </c>
      <c r="D4" s="8">
        <f>'AEO Pacific'!H56/'AEO Pacific'!G56-1</f>
        <v>4.2946655376798759E-3</v>
      </c>
      <c r="E4" s="8">
        <f>'AEO Pacific'!I56/'AEO Pacific'!H56-1</f>
        <v>-8.0391409627755817E-4</v>
      </c>
      <c r="F4" s="8">
        <f>'AEO Pacific'!J56/'AEO Pacific'!I56-1</f>
        <v>-1.6665000166660171E-4</v>
      </c>
      <c r="G4" s="8">
        <f>'AEO Pacific'!K56/'AEO Pacific'!J56-1</f>
        <v>-0.10450316940960602</v>
      </c>
      <c r="H4" s="8">
        <f>'AEO Pacific'!L56/'AEO Pacific'!K56-1</f>
        <v>3.7251682934483554E-2</v>
      </c>
      <c r="I4" s="8">
        <f>'AEO Pacific'!M56/'AEO Pacific'!L56-1</f>
        <v>3.1101546809277014E-2</v>
      </c>
      <c r="J4" s="8">
        <f>'AEO Pacific'!N56/'AEO Pacific'!M56-1</f>
        <v>1.9410028536773316E-2</v>
      </c>
    </row>
    <row r="5" spans="1:10" x14ac:dyDescent="0.25">
      <c r="A5" t="s">
        <v>563</v>
      </c>
      <c r="B5" s="41">
        <v>3.9217289403143063E-2</v>
      </c>
      <c r="C5" s="41">
        <v>4.0632393000938016E-2</v>
      </c>
      <c r="D5" s="41">
        <v>1.5996041372245307E-2</v>
      </c>
      <c r="E5" s="8">
        <f>'[1]Quarterly Work'!$C$45</f>
        <v>1.8666000423515072E-3</v>
      </c>
      <c r="F5" s="8">
        <f>'[1]Quarterly Work'!$C$46</f>
        <v>-1.1531428822663781E-2</v>
      </c>
      <c r="G5" s="8">
        <f>'[1]Quarterly Work'!$C$47</f>
        <v>-0.12787605793120127</v>
      </c>
      <c r="H5" s="8">
        <f>'[1]Quarterly Work'!$C$48</f>
        <v>8.4952476556695133E-2</v>
      </c>
      <c r="I5" s="8">
        <f>'[1]Quarterly Work'!C49</f>
        <v>-3.3920281888935033E-2</v>
      </c>
      <c r="J5" s="8">
        <f>'[1]Quarterly Work'!C50</f>
        <v>-7.3798809916246766E-3</v>
      </c>
    </row>
    <row r="6" spans="1:10" x14ac:dyDescent="0.25">
      <c r="A6" t="s">
        <v>547</v>
      </c>
      <c r="B6" s="40"/>
      <c r="C6" s="40"/>
      <c r="D6" s="41">
        <f>SUM(Forecast_Main!L79:O79)/SUM(Forecast_Main!H79:K79)-1</f>
        <v>1.0012180250500213E-2</v>
      </c>
      <c r="E6" s="41">
        <f>SUM(Forecast_Main!P79:S79)/SUM(Forecast_Main!L79:O79)-1</f>
        <v>5.7718591254750873E-2</v>
      </c>
      <c r="F6" s="41">
        <f>SUM(Forecast_Main!T79:W79)/SUM(Forecast_Main!P79:S79)-1</f>
        <v>1.5960301225261375E-2</v>
      </c>
      <c r="G6" s="45">
        <f>SUM(Forecast_Main!X79:AA79)/SUM(Forecast_Main!T79:W79)-1</f>
        <v>-0.19097685468337777</v>
      </c>
      <c r="H6" s="112">
        <f>SUM(Forecast_Main!AB79:AE79)/SUM(Forecast_Main!X79:AA79)-1</f>
        <v>6.1820864348354876E-2</v>
      </c>
      <c r="I6" s="112">
        <f>SUM(Forecast_Main!AF79:AI79)/SUM(Forecast_Main!AB79:AE79)-1</f>
        <v>-3.2947529892071059E-2</v>
      </c>
      <c r="J6" s="112">
        <f>SUM(Forecast_Main!AJ79:AM79)/SUM(Forecast_Main!AF79:AI79)-1</f>
        <v>-7.545938111180539E-3</v>
      </c>
    </row>
    <row r="7" spans="1:10" x14ac:dyDescent="0.25">
      <c r="A7" s="44"/>
      <c r="D7" s="8"/>
      <c r="E7" s="8"/>
    </row>
    <row r="8" spans="1:10" ht="15.75" thickBot="1" x14ac:dyDescent="0.3">
      <c r="A8" s="38" t="s">
        <v>745</v>
      </c>
      <c r="B8" s="27">
        <v>2015</v>
      </c>
      <c r="C8" s="27">
        <v>2016</v>
      </c>
      <c r="D8" s="27">
        <v>2017</v>
      </c>
      <c r="E8" s="27">
        <v>2018</v>
      </c>
      <c r="F8" s="27">
        <v>2019</v>
      </c>
      <c r="G8" s="39">
        <v>2020</v>
      </c>
      <c r="H8" s="27">
        <v>2021</v>
      </c>
      <c r="I8" s="98" t="s">
        <v>731</v>
      </c>
      <c r="J8" s="98" t="s">
        <v>771</v>
      </c>
    </row>
    <row r="9" spans="1:10" x14ac:dyDescent="0.25">
      <c r="A9" t="s">
        <v>549</v>
      </c>
      <c r="B9" s="28">
        <f>SUM('AEO Renewable'!F16:F17)/SUM('AEO Renewable'!E16:E17)-1</f>
        <v>3.603603603603589E-2</v>
      </c>
      <c r="C9" s="28">
        <f>SUM('AEO Renewable'!G16:G17)/SUM('AEO Renewable'!F16:F17)-1</f>
        <v>1.7391304347826209E-2</v>
      </c>
      <c r="D9" s="28">
        <f>SUM('AEO Renewable'!H16:H17)/SUM('AEO Renewable'!G16:G17)-1</f>
        <v>2.5041025641025616E-2</v>
      </c>
      <c r="E9" s="28">
        <f>SUM('AEO Renewable'!I16:I17)/SUM('AEO Renewable'!H16:H17)-1</f>
        <v>-1.0199299923788763E-2</v>
      </c>
      <c r="F9" s="28">
        <f>SUM('AEO Renewable'!J16:J17)/SUM('AEO Renewable'!I16:I17)-1</f>
        <v>-5.8733044329464246E-3</v>
      </c>
      <c r="G9" s="28">
        <f>SUM('AEO Renewable'!K16:K17)/SUM('AEO Renewable'!J16:J17)-1</f>
        <v>-0.12276649148288188</v>
      </c>
      <c r="H9" s="28">
        <f>SUM('AEO Renewable'!L16:L17)/SUM('AEO Renewable'!K16:K17)-1</f>
        <v>8.2326621059525706E-2</v>
      </c>
      <c r="I9" s="28">
        <f>SUM('AEO Renewable'!M16:M17)/SUM('AEO Renewable'!L16:L17)-1</f>
        <v>3.0788687341803733E-2</v>
      </c>
      <c r="J9" s="28">
        <f>SUM('AEO Renewable'!N16:N17)/SUM('AEO Renewable'!M16:M17)-1</f>
        <v>3.2568763252841526E-2</v>
      </c>
    </row>
    <row r="10" spans="1:10" x14ac:dyDescent="0.25">
      <c r="A10" t="s">
        <v>563</v>
      </c>
      <c r="B10" s="43"/>
      <c r="C10" s="43"/>
      <c r="D10" s="43"/>
      <c r="E10" s="43">
        <f t="shared" ref="E10:J10" si="0">E5</f>
        <v>1.8666000423515072E-3</v>
      </c>
      <c r="F10" s="43">
        <f t="shared" si="0"/>
        <v>-1.1531428822663781E-2</v>
      </c>
      <c r="G10" s="43">
        <f t="shared" si="0"/>
        <v>-0.12787605793120127</v>
      </c>
      <c r="H10" s="43">
        <f t="shared" si="0"/>
        <v>8.4952476556695133E-2</v>
      </c>
      <c r="I10" s="43">
        <f t="shared" si="0"/>
        <v>-3.3920281888935033E-2</v>
      </c>
      <c r="J10" s="43">
        <f t="shared" si="0"/>
        <v>-7.3798809916246766E-3</v>
      </c>
    </row>
    <row r="11" spans="1:10" x14ac:dyDescent="0.25">
      <c r="A11" t="s">
        <v>547</v>
      </c>
      <c r="B11" s="40"/>
      <c r="C11" s="40"/>
      <c r="D11" s="43">
        <f>SUM(Forecast_Main!L77:O77)/SUM(Forecast_Main!H77:K77)-1</f>
        <v>-1.8743691537150275E-2</v>
      </c>
      <c r="E11" s="43">
        <f>SUM(Forecast_Main!P77:S77)/SUM(Forecast_Main!L77:O77)-1</f>
        <v>-9.3893845961064981E-3</v>
      </c>
      <c r="F11" s="43">
        <f>SUM(Forecast_Main!T77:W77)/SUM(Forecast_Main!P77:S77)-1</f>
        <v>8.0532545043894288E-3</v>
      </c>
      <c r="G11" s="149">
        <f>SUM(Forecast_Main!X77:AA77)/SUM(Forecast_Main!T77:W77)-1</f>
        <v>-0.18543885574609142</v>
      </c>
      <c r="H11" s="113">
        <f>SUM(Forecast_Main!AB77:AE77)/SUM(Forecast_Main!X77:AA77)-1</f>
        <v>7.9829612295093444E-2</v>
      </c>
      <c r="I11" s="113">
        <f>SUM(Forecast_Main!AF77:AI77)/SUM(Forecast_Main!AB77:AE77)-1</f>
        <v>-3.7171992595613434E-2</v>
      </c>
      <c r="J11" s="113">
        <f>SUM(Forecast_Main!AJ77:AM77)/SUM(Forecast_Main!AF77:AI77)-1</f>
        <v>-7.5459381111806501E-3</v>
      </c>
    </row>
    <row r="12" spans="1:10" ht="7.5" customHeight="1" x14ac:dyDescent="0.25">
      <c r="B12" s="21"/>
      <c r="C12" s="21"/>
      <c r="D12" s="99"/>
      <c r="E12" s="99"/>
      <c r="F12" s="99"/>
      <c r="G12" s="114"/>
      <c r="H12" s="114"/>
      <c r="I12" s="21"/>
    </row>
    <row r="13" spans="1:10" x14ac:dyDescent="0.25">
      <c r="A13" s="115" t="s">
        <v>606</v>
      </c>
      <c r="B13" s="116"/>
      <c r="C13" s="116"/>
      <c r="D13" s="117"/>
      <c r="E13" s="117">
        <f>'Table 1 - Volumes'!D7</f>
        <v>0.10083888527214242</v>
      </c>
      <c r="F13" s="117">
        <f>'Table 1 - Volumes'!E7</f>
        <v>0.10005407333001647</v>
      </c>
      <c r="G13" s="117">
        <f>'Table 1 - Volumes'!F7</f>
        <v>0.10073897258781951</v>
      </c>
      <c r="H13" s="117">
        <f>'Table 1 - Volumes'!G7</f>
        <v>0.10244753080762882</v>
      </c>
      <c r="I13" s="117">
        <f>'Table 1 - Volumes'!H7</f>
        <v>0.10199999999999999</v>
      </c>
      <c r="J13" s="117">
        <f>'Table 1 - Volumes'!I7</f>
        <v>0.10199999999999999</v>
      </c>
    </row>
    <row r="14" spans="1:10" x14ac:dyDescent="0.25">
      <c r="A14" s="44"/>
      <c r="D14" s="8"/>
      <c r="E14" s="8"/>
    </row>
    <row r="15" spans="1:10" ht="15.75" thickBot="1" x14ac:dyDescent="0.3">
      <c r="A15" s="38" t="s">
        <v>746</v>
      </c>
      <c r="B15" s="27">
        <v>2015</v>
      </c>
      <c r="C15" s="27">
        <v>2016</v>
      </c>
      <c r="D15" s="27">
        <v>2017</v>
      </c>
      <c r="E15" s="27">
        <v>2018</v>
      </c>
      <c r="F15" s="27">
        <v>2019</v>
      </c>
      <c r="G15" s="39">
        <v>2020</v>
      </c>
      <c r="H15" s="27">
        <v>2021</v>
      </c>
      <c r="I15" s="98" t="s">
        <v>731</v>
      </c>
      <c r="J15" s="98" t="s">
        <v>771</v>
      </c>
    </row>
    <row r="16" spans="1:10" x14ac:dyDescent="0.25">
      <c r="A16" t="s">
        <v>680</v>
      </c>
      <c r="B16" s="8">
        <f>'AEO Pacific'!F59/'AEO Pacific'!E59-1</f>
        <v>9.2715231788078611E-3</v>
      </c>
      <c r="C16" s="8">
        <f>'AEO Pacific'!G59/'AEO Pacific'!F59-1</f>
        <v>-1.8372703412073532E-2</v>
      </c>
      <c r="D16" s="8">
        <f>'AEO Pacific'!H59/'AEO Pacific'!G59-1</f>
        <v>1.9430481283422507E-2</v>
      </c>
      <c r="E16" s="8">
        <f>'AEO Pacific'!I59/'AEO Pacific'!H59-1</f>
        <v>1.2131918052178614E-2</v>
      </c>
      <c r="F16" s="8">
        <f>'AEO Pacific'!J59/'AEO Pacific'!I59-1</f>
        <v>4.7409576501227457E-2</v>
      </c>
      <c r="G16" s="8">
        <f>'AEO Pacific'!K59/'AEO Pacific'!J59-1</f>
        <v>-0.13014751816916648</v>
      </c>
      <c r="H16" s="8">
        <f>'AEO Pacific'!L59/'AEO Pacific'!K59-1</f>
        <v>4.1227759550718446E-2</v>
      </c>
      <c r="I16" s="8">
        <f>'AEO Pacific'!M59/'AEO Pacific'!L59-1</f>
        <v>-3.3726372895430901E-2</v>
      </c>
      <c r="J16" s="8">
        <f>'AEO Pacific'!N59/'AEO Pacific'!M59-1</f>
        <v>4.5685716870399018E-2</v>
      </c>
    </row>
    <row r="17" spans="1:10" x14ac:dyDescent="0.25">
      <c r="A17" t="s">
        <v>561</v>
      </c>
      <c r="B17" s="41">
        <v>0</v>
      </c>
      <c r="C17" s="41">
        <v>0</v>
      </c>
      <c r="D17" s="41">
        <v>0</v>
      </c>
      <c r="E17" s="41">
        <f>'[1]Quarterly Work'!$P$45</f>
        <v>2.3188081308633812E-3</v>
      </c>
      <c r="F17" s="41">
        <f>'[1]Quarterly Work'!$P$46</f>
        <v>-8.3545452485587202E-3</v>
      </c>
      <c r="G17" s="41">
        <f>'[1]Quarterly Work'!$P$47</f>
        <v>6.641609318322006E-2</v>
      </c>
      <c r="H17" s="41">
        <f>'[1]Quarterly Work'!$P$48</f>
        <v>6.4512480139974127E-2</v>
      </c>
      <c r="I17" s="41">
        <f>'[1]Quarterly Work'!P49</f>
        <v>-3.8219924946049866E-2</v>
      </c>
      <c r="J17" s="41">
        <f>'[1]Quarterly Work'!P50</f>
        <v>-7.9281650999853959E-3</v>
      </c>
    </row>
    <row r="18" spans="1:10" x14ac:dyDescent="0.25">
      <c r="A18" t="s">
        <v>547</v>
      </c>
      <c r="B18" s="40"/>
      <c r="C18" s="40"/>
      <c r="D18" s="41">
        <f>SUM(Forecast_Main!L87:O87)/SUM(Forecast_Main!H87:K87)-1</f>
        <v>-2.9292016996185666E-2</v>
      </c>
      <c r="E18" s="41">
        <f>SUM(Forecast_Main!P87:S87)/SUM(Forecast_Main!L87:O87)-1</f>
        <v>4.7834735406939943E-2</v>
      </c>
      <c r="F18" s="41">
        <f>SUM(Forecast_Main!T87:W87)/SUM(Forecast_Main!P87:S87)-1</f>
        <v>3.4774590735333399E-2</v>
      </c>
      <c r="G18" s="45">
        <f>SUM(Forecast_Main!X87:AA87)/SUM(Forecast_Main!T87:W87)-1</f>
        <v>-6.0929688565616869E-2</v>
      </c>
      <c r="H18" s="112">
        <f>SUM(Forecast_Main!AB87:AE87)/SUM(Forecast_Main!X87:AA87)-1</f>
        <v>7.8892517659904904E-2</v>
      </c>
      <c r="I18" s="112">
        <f>SUM(Forecast_Main!AF87:AI87)/SUM(Forecast_Main!AB87:AE87)-1</f>
        <v>-3.8615566960765957E-2</v>
      </c>
      <c r="J18" s="112">
        <f>SUM(Forecast_Main!AJ87:AM87)/SUM(Forecast_Main!AF87:AI87)-1</f>
        <v>-7.7949992225569975E-3</v>
      </c>
    </row>
    <row r="19" spans="1:10" x14ac:dyDescent="0.25">
      <c r="A19" s="44"/>
      <c r="D19" s="8"/>
      <c r="E19" s="8"/>
    </row>
    <row r="20" spans="1:10" ht="15.75" thickBot="1" x14ac:dyDescent="0.3">
      <c r="A20" s="38" t="s">
        <v>747</v>
      </c>
      <c r="B20" s="27">
        <v>2015</v>
      </c>
      <c r="C20" s="27">
        <v>2016</v>
      </c>
      <c r="D20" s="27">
        <v>2017</v>
      </c>
      <c r="E20" s="27">
        <v>2018</v>
      </c>
      <c r="F20" s="27">
        <v>2019</v>
      </c>
      <c r="G20" s="39">
        <v>2020</v>
      </c>
      <c r="H20" s="27">
        <v>2021</v>
      </c>
      <c r="I20" s="98" t="s">
        <v>731</v>
      </c>
      <c r="J20" s="98" t="s">
        <v>771</v>
      </c>
    </row>
    <row r="21" spans="1:10" x14ac:dyDescent="0.25">
      <c r="A21" t="s">
        <v>549</v>
      </c>
      <c r="B21" s="28">
        <f>'AEO Renewable'!F18/'AEO Renewable'!E18-1</f>
        <v>0.15789473684210531</v>
      </c>
      <c r="C21" s="28">
        <f>'AEO Renewable'!G18/'AEO Renewable'!F18-1</f>
        <v>0.40909090909090917</v>
      </c>
      <c r="D21" s="28">
        <f>'AEO Renewable'!H18/'AEO Renewable'!G18-1</f>
        <v>-0.14230000000000009</v>
      </c>
      <c r="E21" s="28">
        <f>'AEO Renewable'!I18/'AEO Renewable'!H18-1</f>
        <v>0.11078766543682095</v>
      </c>
      <c r="F21" s="28">
        <f>'AEO Renewable'!J18/'AEO Renewable'!I18-1</f>
        <v>-3.0574516496018167E-2</v>
      </c>
      <c r="G21" s="28">
        <f>'AEO Renewable'!K18/'AEO Renewable'!J18-1</f>
        <v>-0.20686030022981761</v>
      </c>
      <c r="H21" s="28">
        <f>'AEO Renewable'!L18/'AEO Renewable'!K18-1</f>
        <v>-5.6203129197180068E-2</v>
      </c>
      <c r="I21" s="28">
        <f>'AEO Renewable'!M18/'AEO Renewable'!L18-1</f>
        <v>0.12379854799275858</v>
      </c>
      <c r="J21" s="28">
        <f>'AEO Renewable'!N18/'AEO Renewable'!M18-1</f>
        <v>-0.31259211897515948</v>
      </c>
    </row>
    <row r="22" spans="1:10" x14ac:dyDescent="0.25">
      <c r="A22" t="s">
        <v>561</v>
      </c>
      <c r="B22" s="42"/>
      <c r="C22" s="42"/>
      <c r="D22" s="42"/>
      <c r="E22" s="42">
        <f t="shared" ref="E22:J22" si="1">E17</f>
        <v>2.3188081308633812E-3</v>
      </c>
      <c r="F22" s="42">
        <f t="shared" si="1"/>
        <v>-8.3545452485587202E-3</v>
      </c>
      <c r="G22" s="42">
        <f t="shared" si="1"/>
        <v>6.641609318322006E-2</v>
      </c>
      <c r="H22" s="42">
        <f t="shared" si="1"/>
        <v>6.4512480139974127E-2</v>
      </c>
      <c r="I22" s="42">
        <f t="shared" si="1"/>
        <v>-3.8219924946049866E-2</v>
      </c>
      <c r="J22" s="42">
        <f t="shared" si="1"/>
        <v>-7.9281650999853959E-3</v>
      </c>
    </row>
    <row r="23" spans="1:10" x14ac:dyDescent="0.25">
      <c r="A23" t="s">
        <v>547</v>
      </c>
      <c r="B23" s="40"/>
      <c r="C23" s="40"/>
      <c r="D23" s="43">
        <f>SUM(Forecast_Main!L83:O83)/SUM(Forecast_Main!H83:K83)-1</f>
        <v>7.6814143809132984E-2</v>
      </c>
      <c r="E23" s="43">
        <f>SUM(Forecast_Main!P83:S83)/SUM(Forecast_Main!L83:O83)-1</f>
        <v>8.8818388659155367E-3</v>
      </c>
      <c r="F23" s="43">
        <f>SUM(Forecast_Main!T83:W83)/SUM(Forecast_Main!P83:S83)-1</f>
        <v>0.16347984103059243</v>
      </c>
      <c r="G23" s="149">
        <f>SUM(Forecast_Main!X83:AA83)/SUM(Forecast_Main!T83:W83)-1</f>
        <v>0.13888642672387719</v>
      </c>
      <c r="H23" s="113">
        <f>SUM(Forecast_Main!AB83:AE83)/SUM(Forecast_Main!X83:AA83)-1</f>
        <v>7.476659175049738E-2</v>
      </c>
      <c r="I23" s="113">
        <f>SUM(Forecast_Main!AF83:AI83)/SUM(Forecast_Main!AB83:AE83)-1</f>
        <v>5.4434257662245189E-2</v>
      </c>
      <c r="J23" s="113">
        <f>SUM(Forecast_Main!AJ83:AM83)/SUM(Forecast_Main!AF83:AI83)-1</f>
        <v>9.1425500855187192E-2</v>
      </c>
    </row>
    <row r="24" spans="1:10" ht="7.5" customHeight="1" x14ac:dyDescent="0.25">
      <c r="B24" s="21"/>
      <c r="C24" s="21"/>
      <c r="D24" s="99"/>
      <c r="E24" s="99"/>
      <c r="F24" s="99"/>
      <c r="G24" s="114"/>
      <c r="H24" s="114"/>
      <c r="I24" s="21"/>
    </row>
    <row r="25" spans="1:10" x14ac:dyDescent="0.25">
      <c r="A25" s="115" t="s">
        <v>606</v>
      </c>
      <c r="B25" s="116"/>
      <c r="C25" s="117">
        <f>'Table 1 - Volumes'!B12</f>
        <v>6.2841497339772193E-2</v>
      </c>
      <c r="D25" s="117">
        <f>'Table 1 - Volumes'!C12</f>
        <v>6.9710576546628447E-2</v>
      </c>
      <c r="E25" s="117">
        <f>'Table 1 - Volumes'!D12</f>
        <v>6.7119109796882459E-2</v>
      </c>
      <c r="F25" s="117">
        <f>'Table 1 - Volumes'!E12</f>
        <v>7.5467383810708E-2</v>
      </c>
      <c r="G25" s="117">
        <f>'Table 1 - Volumes'!F12</f>
        <v>9.1525392759030072E-2</v>
      </c>
      <c r="H25" s="117">
        <f>'Table 1 - Volumes'!G12</f>
        <v>9.1175379219060146E-2</v>
      </c>
      <c r="I25" s="117">
        <f>'Table 1 - Volumes'!H12</f>
        <v>0.10000000000000002</v>
      </c>
      <c r="J25" s="117">
        <f>'Table 1 - Volumes'!I12</f>
        <v>0.11</v>
      </c>
    </row>
    <row r="26" spans="1:10" x14ac:dyDescent="0.25">
      <c r="B26" s="21"/>
      <c r="C26" s="21"/>
      <c r="D26" s="99"/>
      <c r="E26" s="99"/>
      <c r="F26" s="99"/>
      <c r="G26" s="99"/>
      <c r="H26" s="99"/>
      <c r="I26" s="21"/>
    </row>
    <row r="27" spans="1:10" ht="15.75" thickBot="1" x14ac:dyDescent="0.3">
      <c r="A27" s="38" t="s">
        <v>748</v>
      </c>
      <c r="B27" s="27">
        <v>2015</v>
      </c>
      <c r="C27" s="27">
        <v>2016</v>
      </c>
      <c r="D27" s="27">
        <v>2017</v>
      </c>
      <c r="E27" s="27">
        <v>2018</v>
      </c>
      <c r="F27" s="27">
        <v>2019</v>
      </c>
      <c r="G27" s="39">
        <v>2020</v>
      </c>
      <c r="H27" s="27">
        <v>2021</v>
      </c>
      <c r="I27" s="98" t="s">
        <v>731</v>
      </c>
      <c r="J27" s="98" t="s">
        <v>771</v>
      </c>
    </row>
    <row r="28" spans="1:10" x14ac:dyDescent="0.25">
      <c r="A28" t="s">
        <v>549</v>
      </c>
      <c r="B28" s="28"/>
      <c r="C28" s="28">
        <f>'AEO Renewable'!G21/'AEO Renewable'!F21-1</f>
        <v>3</v>
      </c>
      <c r="D28" s="28">
        <f>'AEO Renewable'!H21/'AEO Renewable'!G21-1</f>
        <v>0.34932499999999989</v>
      </c>
      <c r="E28" s="28">
        <f>'AEO Renewable'!I21/'AEO Renewable'!H21-1</f>
        <v>0.25883312026383565</v>
      </c>
      <c r="F28" s="28">
        <f>'AEO Renewable'!J21/'AEO Renewable'!I21-1</f>
        <v>-9.7611232945262971E-2</v>
      </c>
      <c r="G28" s="28">
        <f>'AEO Renewable'!K21/'AEO Renewable'!J21-1</f>
        <v>0.13113470665949012</v>
      </c>
      <c r="H28" s="28">
        <f>'AEO Renewable'!L21/'AEO Renewable'!K21-1</f>
        <v>1.1096018802901182</v>
      </c>
      <c r="I28" s="28">
        <f>'AEO Renewable'!M21/'AEO Renewable'!L21-1</f>
        <v>0.36821527924922948</v>
      </c>
      <c r="J28" s="28">
        <f>'AEO Renewable'!N21/'AEO Renewable'!M21-1</f>
        <v>5.781470120994725E-2</v>
      </c>
    </row>
    <row r="29" spans="1:10" x14ac:dyDescent="0.25">
      <c r="A29" t="s">
        <v>561</v>
      </c>
      <c r="B29" s="43"/>
      <c r="C29" s="43"/>
      <c r="D29" s="43"/>
      <c r="E29" s="43">
        <f t="shared" ref="E29:J29" si="2">E17</f>
        <v>2.3188081308633812E-3</v>
      </c>
      <c r="F29" s="43">
        <f t="shared" si="2"/>
        <v>-8.3545452485587202E-3</v>
      </c>
      <c r="G29" s="43">
        <f t="shared" si="2"/>
        <v>6.641609318322006E-2</v>
      </c>
      <c r="H29" s="43">
        <f t="shared" si="2"/>
        <v>6.4512480139974127E-2</v>
      </c>
      <c r="I29" s="43">
        <f t="shared" si="2"/>
        <v>-3.8219924946049866E-2</v>
      </c>
      <c r="J29" s="43">
        <f t="shared" si="2"/>
        <v>-7.9281650999853959E-3</v>
      </c>
    </row>
    <row r="30" spans="1:10" x14ac:dyDescent="0.25">
      <c r="A30" t="s">
        <v>547</v>
      </c>
      <c r="B30" s="40"/>
      <c r="C30" s="40"/>
      <c r="D30" s="40"/>
      <c r="E30" s="43">
        <f>Forecast_Main!S85/Forecast_Main!O85-1</f>
        <v>0.41535689085367755</v>
      </c>
      <c r="F30" s="43">
        <f>SUM(Forecast_Main!T85:W85)/SUM(Forecast_Main!P85:S85)-1</f>
        <v>12.510102839484981</v>
      </c>
      <c r="G30" s="43">
        <f>SUM(Forecast_Main!X85:AA85)/SUM(Forecast_Main!T85:W85)-1</f>
        <v>6.7740628228021516E-2</v>
      </c>
      <c r="H30" s="113">
        <f>SUM(Forecast_Main!AB85:AE85)/SUM(Forecast_Main!X85:AA85)-1</f>
        <v>-0.44065300704451837</v>
      </c>
      <c r="I30" s="113">
        <f>SUM(Forecast_Main!AF85:AI85)/SUM(Forecast_Main!AB85:AE85)-1</f>
        <v>0.59195925711832187</v>
      </c>
      <c r="J30" s="113">
        <f>SUM(Forecast_Main!AJ85:AM85)/SUM(Forecast_Main!AF85:AI85)-1</f>
        <v>0.73635875136052498</v>
      </c>
    </row>
    <row r="31" spans="1:10" ht="7.5" customHeight="1" x14ac:dyDescent="0.25">
      <c r="B31" s="21"/>
      <c r="C31" s="21"/>
      <c r="D31" s="21"/>
      <c r="E31" s="99"/>
      <c r="F31" s="99"/>
      <c r="G31" s="114"/>
      <c r="H31" s="114"/>
      <c r="I31" s="21"/>
    </row>
    <row r="32" spans="1:10" x14ac:dyDescent="0.25">
      <c r="A32" s="115" t="s">
        <v>606</v>
      </c>
      <c r="B32" s="116"/>
      <c r="C32" s="116"/>
      <c r="D32" s="117"/>
      <c r="E32" s="117">
        <f>'Table 1 - Volumes'!D14</f>
        <v>1.5693197830680492E-3</v>
      </c>
      <c r="F32" s="117">
        <f>'Table 1 - Volumes'!E14</f>
        <v>2.0489169184393329E-2</v>
      </c>
      <c r="G32" s="117">
        <f>'Table 1 - Volumes'!F14</f>
        <v>2.3296571204980528E-2</v>
      </c>
      <c r="H32" s="117">
        <f>'Table 1 - Volumes'!G14</f>
        <v>1.2078002985823644E-2</v>
      </c>
      <c r="I32" s="117">
        <f>'Table 1 - Volumes'!H14</f>
        <v>2.0000000000000004E-2</v>
      </c>
      <c r="J32" s="117">
        <f>'Table 1 - Volumes'!I14</f>
        <v>3.5000000000000003E-2</v>
      </c>
    </row>
    <row r="33" spans="1:11" x14ac:dyDescent="0.25">
      <c r="A33" s="44" t="s">
        <v>656</v>
      </c>
      <c r="E33" s="8"/>
    </row>
    <row r="34" spans="1:11" ht="21" customHeight="1" x14ac:dyDescent="0.25">
      <c r="A34" s="44"/>
      <c r="E34" s="8"/>
    </row>
    <row r="35" spans="1:11" ht="15.75" thickBot="1" x14ac:dyDescent="0.3">
      <c r="A35" s="38" t="s">
        <v>802</v>
      </c>
      <c r="B35" s="27">
        <v>2015</v>
      </c>
      <c r="C35" s="27">
        <v>2016</v>
      </c>
      <c r="D35" s="27">
        <v>2017</v>
      </c>
      <c r="E35" s="27">
        <v>2018</v>
      </c>
      <c r="F35" s="27">
        <v>2019</v>
      </c>
      <c r="G35" s="39">
        <v>2020</v>
      </c>
      <c r="H35" s="27">
        <v>2021</v>
      </c>
      <c r="I35" s="98" t="s">
        <v>731</v>
      </c>
      <c r="J35" s="98" t="s">
        <v>771</v>
      </c>
    </row>
    <row r="36" spans="1:11" x14ac:dyDescent="0.25">
      <c r="A36" t="s">
        <v>680</v>
      </c>
      <c r="B36" s="28">
        <f>'AEO Pacific'!F66/'AEO Pacific'!E66-1</f>
        <v>0.33333333333333326</v>
      </c>
      <c r="C36" s="28">
        <f>'AEO Pacific'!G66/'AEO Pacific'!F66-1</f>
        <v>0.25</v>
      </c>
      <c r="D36" s="28">
        <f>'AEO Pacific'!H66/'AEO Pacific'!G66-1</f>
        <v>0.72780000000000022</v>
      </c>
      <c r="E36" s="28">
        <f>'AEO Pacific'!I66/'AEO Pacific'!H66-1</f>
        <v>0.1472392638036808</v>
      </c>
      <c r="F36" s="28">
        <f>'AEO Pacific'!J$66/'AEO Pacific'!I$66-1</f>
        <v>7.2041166380789168E-2</v>
      </c>
      <c r="G36" s="28">
        <f>'AEO Pacific'!K$66/'AEO Pacific'!J$66-1</f>
        <v>-6.5317647058823591E-2</v>
      </c>
      <c r="H36" s="28">
        <f>'AEO Pacific'!L$66/'AEO Pacific'!K$66-1</f>
        <v>0.35676165542241467</v>
      </c>
      <c r="I36" s="28">
        <f>'AEO Pacific'!M$66/'AEO Pacific'!L$66-1</f>
        <v>0.2086240166246105</v>
      </c>
      <c r="J36" s="28">
        <f>'AEO Pacific'!N$66/'AEO Pacific'!M$66-1</f>
        <v>0.16027018728891607</v>
      </c>
    </row>
    <row r="37" spans="1:11" x14ac:dyDescent="0.25">
      <c r="A37" t="s">
        <v>753</v>
      </c>
      <c r="B37" s="41">
        <f>'Electric Vehicles'!H73</f>
        <v>0.46353358457104865</v>
      </c>
      <c r="C37" s="41">
        <f>'Electric Vehicles'!H74</f>
        <v>0.40926991820660397</v>
      </c>
      <c r="D37" s="41">
        <f>'Electric Vehicles'!H75</f>
        <v>0.36231728288907994</v>
      </c>
      <c r="E37" s="41">
        <f>'Electric Vehicles'!H76</f>
        <v>0.29093491124260362</v>
      </c>
      <c r="F37" s="45">
        <f>'Electric Vehicles'!H77</f>
        <v>0.34207848590713308</v>
      </c>
      <c r="G37" s="45">
        <f>'Electric Vehicles'!H78</f>
        <v>0.21350732600732591</v>
      </c>
      <c r="H37" s="41">
        <f>'Electric Vehicles'!H79</f>
        <v>0.2563936158170772</v>
      </c>
      <c r="I37" s="41">
        <f>'Electric Vehicles'!H80</f>
        <v>0.34954520741346129</v>
      </c>
      <c r="J37" s="41">
        <f>'Electric Vehicles'!H81</f>
        <v>0.30720831627785916</v>
      </c>
    </row>
    <row r="38" spans="1:11" x14ac:dyDescent="0.25">
      <c r="A38" t="s">
        <v>547</v>
      </c>
      <c r="B38" s="41"/>
      <c r="C38" s="41"/>
      <c r="D38" s="41">
        <f>SUM(Forecast_Main!L93:O93)/SUM(Forecast_Main!H93:K93)-1</f>
        <v>0.23872423490103389</v>
      </c>
      <c r="E38" s="41">
        <f>SUM(Forecast_Main!P93:S93)/SUM(Forecast_Main!L93:O93)-1</f>
        <v>0.36055424562942928</v>
      </c>
      <c r="F38" s="41">
        <f>SUM(Forecast_Main!T93:W93)/SUM(Forecast_Main!P93:S93)-1</f>
        <v>0.28732729835002591</v>
      </c>
      <c r="G38" s="45">
        <f>SUM(Forecast_Main!X93:AA93)/SUM(Forecast_Main!T93:W93)-1</f>
        <v>0.27617673356502315</v>
      </c>
      <c r="H38" s="112">
        <f>SUM(Forecast_Main!AB93:AE93)/SUM(Forecast_Main!X93:AA93)-1</f>
        <v>0.27275447696542821</v>
      </c>
      <c r="I38" s="112">
        <f>SUM(Forecast_Main!AF93:AI93)/SUM(Forecast_Main!AB93:AE93)-1</f>
        <v>0.26636789304025799</v>
      </c>
      <c r="J38" s="112">
        <f>SUM(Forecast_Main!AJ93:AM93)/SUM(Forecast_Main!AF93:AI93)-1</f>
        <v>0.31996904087199751</v>
      </c>
    </row>
    <row r="39" spans="1:11" s="174" customFormat="1" x14ac:dyDescent="0.25">
      <c r="B39" s="118"/>
      <c r="C39" s="118"/>
      <c r="D39" s="118"/>
      <c r="E39" s="118"/>
      <c r="F39" s="118"/>
      <c r="G39" s="46"/>
      <c r="H39"/>
      <c r="I39"/>
      <c r="J39"/>
      <c r="K39"/>
    </row>
    <row r="40" spans="1:11" s="174" customFormat="1" ht="15.75" thickBot="1" x14ac:dyDescent="0.3">
      <c r="A40" s="38" t="s">
        <v>803</v>
      </c>
      <c r="B40" s="27">
        <v>2015</v>
      </c>
      <c r="C40" s="27">
        <v>2016</v>
      </c>
      <c r="D40" s="27">
        <v>2017</v>
      </c>
      <c r="E40" s="27">
        <v>2018</v>
      </c>
      <c r="F40" s="27">
        <v>2019</v>
      </c>
      <c r="G40" s="39">
        <v>2020</v>
      </c>
      <c r="H40" s="27">
        <v>2021</v>
      </c>
      <c r="I40" s="98" t="s">
        <v>731</v>
      </c>
      <c r="J40" s="98" t="s">
        <v>771</v>
      </c>
    </row>
    <row r="41" spans="1:11" s="174" customFormat="1" x14ac:dyDescent="0.25">
      <c r="A41" s="174" t="s">
        <v>680</v>
      </c>
      <c r="B41" s="28" t="e">
        <f>'AEO Pacific'!F71/'AEO Pacific'!E71-1</f>
        <v>#DIV/0!</v>
      </c>
      <c r="C41" s="28" t="e">
        <f>'AEO Pacific'!G71/'AEO Pacific'!F71-1</f>
        <v>#DIV/0!</v>
      </c>
      <c r="D41" s="28" t="e">
        <f>'AEO Pacific'!H71/'AEO Pacific'!G71-1</f>
        <v>#DIV/0!</v>
      </c>
      <c r="E41" s="28">
        <f>'AEO Pacific'!I71/'AEO Pacific'!H71-1</f>
        <v>0.39802053807908555</v>
      </c>
      <c r="F41" s="28">
        <f>'AEO Pacific'!J$66/'AEO Pacific'!I$66-1</f>
        <v>7.2041166380789168E-2</v>
      </c>
      <c r="G41" s="28">
        <f>'AEO Pacific'!K$66/'AEO Pacific'!J$66-1</f>
        <v>-6.5317647058823591E-2</v>
      </c>
      <c r="H41" s="28">
        <f>'AEO Pacific'!L$66/'AEO Pacific'!K$66-1</f>
        <v>0.35676165542241467</v>
      </c>
      <c r="I41" s="28">
        <f>'AEO Pacific'!M$66/'AEO Pacific'!L$66-1</f>
        <v>0.2086240166246105</v>
      </c>
      <c r="J41" s="28">
        <f>'AEO Pacific'!N$66/'AEO Pacific'!M$66-1</f>
        <v>0.16027018728891607</v>
      </c>
    </row>
    <row r="42" spans="1:11" s="174" customFormat="1" x14ac:dyDescent="0.25">
      <c r="A42" s="174" t="s">
        <v>547</v>
      </c>
      <c r="B42" s="41"/>
      <c r="C42" s="41"/>
      <c r="D42" s="41" t="e">
        <f>SUM(Forecast_Main!L100:O100)/SUM(Forecast_Main!H100:K100)-1</f>
        <v>#DIV/0!</v>
      </c>
      <c r="E42" s="41" t="e">
        <f>SUM(Forecast_Main!P100:S100)/SUM(Forecast_Main!L100:O100)-1</f>
        <v>#DIV/0!</v>
      </c>
      <c r="F42" s="41">
        <f>SUM(Forecast_Main!T100:W100)/SUM(Forecast_Main!P100:S100)-1</f>
        <v>0.28521819253078795</v>
      </c>
      <c r="G42" s="45">
        <f>SUM(Forecast_Main!X100:AA100)/SUM(Forecast_Main!T100:W100)-1</f>
        <v>0.45727606546391897</v>
      </c>
      <c r="H42" s="112">
        <f>SUM(Forecast_Main!AB100:AE100)/SUM(Forecast_Main!X100:AA100)-1</f>
        <v>0.54062220623541224</v>
      </c>
      <c r="I42" s="112">
        <f>SUM(Forecast_Main!AF100:AI100)/SUM(Forecast_Main!AB100:AE100)-1</f>
        <v>0.5</v>
      </c>
      <c r="J42" s="112">
        <f>SUM(Forecast_Main!AJ100:AM100)/SUM(Forecast_Main!AF100:AI100)-1</f>
        <v>0.5</v>
      </c>
    </row>
    <row r="43" spans="1:11" s="174" customFormat="1" x14ac:dyDescent="0.25">
      <c r="B43" s="118"/>
      <c r="C43" s="118"/>
      <c r="D43" s="118"/>
      <c r="E43" s="118"/>
      <c r="F43" s="118"/>
      <c r="G43" s="46"/>
      <c r="H43"/>
      <c r="I43"/>
      <c r="J43"/>
      <c r="K43"/>
    </row>
    <row r="44" spans="1:11" x14ac:dyDescent="0.25">
      <c r="B44" s="8"/>
      <c r="C44" s="8"/>
      <c r="D44" s="8"/>
      <c r="E44" s="8"/>
      <c r="F44" s="8"/>
      <c r="G44" s="8"/>
      <c r="H44" s="8"/>
      <c r="I44" s="8"/>
    </row>
    <row r="45" spans="1:11" ht="15.75" thickBot="1" x14ac:dyDescent="0.3">
      <c r="A45" s="38" t="s">
        <v>749</v>
      </c>
      <c r="B45" s="27">
        <v>2015</v>
      </c>
      <c r="C45" s="27">
        <v>2016</v>
      </c>
      <c r="D45" s="27">
        <v>2017</v>
      </c>
      <c r="E45" s="27">
        <v>2018</v>
      </c>
      <c r="F45" s="27">
        <v>2019</v>
      </c>
      <c r="G45" s="39">
        <v>2020</v>
      </c>
      <c r="H45" s="27">
        <v>2021</v>
      </c>
      <c r="I45" s="98" t="s">
        <v>731</v>
      </c>
      <c r="J45" s="98" t="s">
        <v>771</v>
      </c>
    </row>
    <row r="46" spans="1:11" x14ac:dyDescent="0.25">
      <c r="A46" t="s">
        <v>680</v>
      </c>
      <c r="B46" s="28">
        <f>'AEO Pacific'!F64/'AEO Pacific'!E64-1</f>
        <v>0.11111111111111116</v>
      </c>
      <c r="C46" s="28">
        <f>'AEO Pacific'!G64/'AEO Pacific'!F64-1</f>
        <v>0.79999999999999982</v>
      </c>
      <c r="D46" s="28">
        <f>'AEO Pacific'!H64/'AEO Pacific'!G64-1</f>
        <v>1.1944444444444535E-2</v>
      </c>
      <c r="E46" s="28">
        <f>'AEO Pacific'!I64/'AEO Pacific'!H64-1</f>
        <v>0.17101290145484493</v>
      </c>
      <c r="F46" s="28">
        <f>'AEO Pacific'!J64/'AEO Pacific'!I64-1</f>
        <v>0.18996718237224575</v>
      </c>
      <c r="G46" s="28">
        <f>'AEO Pacific'!K64/'AEO Pacific'!J64-1</f>
        <v>-0.20207233472539587</v>
      </c>
      <c r="H46" s="28">
        <f>'AEO Pacific'!L64/'AEO Pacific'!K64-1</f>
        <v>0.71061077371253645</v>
      </c>
      <c r="I46" s="28">
        <f>'AEO Pacific'!M64/'AEO Pacific'!L64-1</f>
        <v>-0.19033049502092658</v>
      </c>
      <c r="J46" s="28">
        <f>'AEO Pacific'!N64/'AEO Pacific'!M64-1</f>
        <v>0.30408898078499891</v>
      </c>
    </row>
    <row r="47" spans="1:11" x14ac:dyDescent="0.25">
      <c r="A47" t="s">
        <v>547</v>
      </c>
      <c r="B47" s="40"/>
      <c r="C47" s="40"/>
      <c r="D47" s="41">
        <f>SUM(Forecast_Main!L106:O106)/SUM(Forecast_Main!H106:K106)-1</f>
        <v>0.83492424147241273</v>
      </c>
      <c r="E47" s="41">
        <f>SUM(Forecast_Main!P106:S106)/SUM(Forecast_Main!L106:O106)-1</f>
        <v>0.11404965468329031</v>
      </c>
      <c r="F47" s="41">
        <f>SUM(Forecast_Main!T106:W106)/SUM(Forecast_Main!P106:S106)-1</f>
        <v>7.1990745682903867E-2</v>
      </c>
      <c r="G47" s="45">
        <f>SUM(Forecast_Main!X106:AA106)/SUM(Forecast_Main!T106:W106)-1</f>
        <v>-7.0938422262859513E-3</v>
      </c>
      <c r="H47" s="112">
        <f>SUM(Forecast_Main!AB106:AE106)/SUM(Forecast_Main!X106:AA106)-1</f>
        <v>7.6632226582444618E-2</v>
      </c>
      <c r="I47" s="112">
        <f>SUM(Forecast_Main!AF106:AI106)/SUM(Forecast_Main!AB106:AE106)-1</f>
        <v>0.10000000000000009</v>
      </c>
      <c r="J47" s="112">
        <f>SUM(Forecast_Main!AJ106:AM106)/SUM(Forecast_Main!AF106:AI106)-1</f>
        <v>0.12000000000000011</v>
      </c>
    </row>
    <row r="48" spans="1:11" ht="7.5" customHeight="1" x14ac:dyDescent="0.25">
      <c r="B48" s="21"/>
      <c r="C48" s="21"/>
      <c r="D48" s="118"/>
      <c r="E48" s="118"/>
      <c r="F48" s="118"/>
      <c r="G48" s="46"/>
      <c r="H48" s="46"/>
      <c r="I48" s="21"/>
    </row>
    <row r="49" spans="1:10" x14ac:dyDescent="0.25">
      <c r="A49" s="115" t="s">
        <v>559</v>
      </c>
      <c r="B49" s="116"/>
      <c r="C49" s="116"/>
      <c r="D49" s="119"/>
      <c r="E49" s="119">
        <f>'Table 1 - Volumes'!D22</f>
        <v>0.55618258125832576</v>
      </c>
      <c r="F49" s="119">
        <f>'Table 1 - Volumes'!E22</f>
        <v>0.67113999987929474</v>
      </c>
      <c r="G49" s="119">
        <f>'Table 1 - Volumes'!F22</f>
        <v>0.88724337092201688</v>
      </c>
      <c r="H49" s="119">
        <f>'Table 1 - Volumes'!G22</f>
        <v>0.90764288147999472</v>
      </c>
      <c r="I49" s="119">
        <f>'Table 1 - Volumes'!H22</f>
        <v>0.92500000000000004</v>
      </c>
      <c r="J49" s="119">
        <f>'Table 1 - Volumes'!I22</f>
        <v>0.94999999999999984</v>
      </c>
    </row>
    <row r="51" spans="1:10" ht="15.75" thickBot="1" x14ac:dyDescent="0.3">
      <c r="A51" s="38" t="s">
        <v>750</v>
      </c>
      <c r="D51" s="27">
        <v>2017</v>
      </c>
      <c r="E51" s="27">
        <v>2018</v>
      </c>
      <c r="F51" s="27">
        <v>2019</v>
      </c>
      <c r="G51" s="39">
        <v>2020</v>
      </c>
      <c r="H51" s="27">
        <v>2021</v>
      </c>
      <c r="I51" s="98" t="s">
        <v>731</v>
      </c>
      <c r="J51" s="98" t="s">
        <v>771</v>
      </c>
    </row>
    <row r="52" spans="1:10" x14ac:dyDescent="0.25">
      <c r="A52" t="s">
        <v>680</v>
      </c>
      <c r="B52" s="28"/>
      <c r="C52" s="28"/>
      <c r="D52" s="28"/>
      <c r="E52" s="28">
        <f>'AEO Pacific'!I55/'AEO Pacific'!H55-1</f>
        <v>7.7922077922077948E-2</v>
      </c>
      <c r="F52" s="28">
        <f>'AEO Pacific'!J55/'AEO Pacific'!I55-1</f>
        <v>-2.0429544264012667E-2</v>
      </c>
      <c r="G52" s="28">
        <f>'AEO Pacific'!K55/'AEO Pacific'!J55-1</f>
        <v>-0.4732620320855615</v>
      </c>
      <c r="H52" s="28">
        <f>'AEO Pacific'!L55/'AEO Pacific'!K55-1</f>
        <v>0.17258883248730972</v>
      </c>
      <c r="I52" s="28">
        <f>'AEO Pacific'!M55/'AEO Pacific'!L55-1</f>
        <v>0.16450216450216448</v>
      </c>
      <c r="J52" s="28">
        <f>'AEO Pacific'!N55/'AEO Pacific'!M55-1</f>
        <v>7.9553903345724875E-2</v>
      </c>
    </row>
    <row r="53" spans="1:10" x14ac:dyDescent="0.25">
      <c r="A53" t="s">
        <v>547</v>
      </c>
      <c r="D53" s="41">
        <f>SUM(Forecast_Main!L109:O109)/SUM(Forecast_Main!H109:K109)-1</f>
        <v>0.97219062259800149</v>
      </c>
      <c r="E53" s="41">
        <f>SUM(Forecast_Main!P109:S109)/SUM(Forecast_Main!L109:O109)-1</f>
        <v>4.7713947198166666</v>
      </c>
      <c r="F53" s="41">
        <f>SUM(Forecast_Main!T109:W109)/SUM(Forecast_Main!P109:S109)-1</f>
        <v>1.7762385571393455</v>
      </c>
      <c r="G53" s="45">
        <f>SUM(Forecast_Main!X109:AA109)/SUM(Forecast_Main!T109:W109)-1</f>
        <v>-0.28235818945240188</v>
      </c>
      <c r="H53" s="112">
        <f>SUM(Forecast_Main!AB109:AE109)/SUM(Forecast_Main!X109:AA109)-1</f>
        <v>0.65693737933577734</v>
      </c>
      <c r="I53" s="112">
        <f>SUM(Forecast_Main!AF109:AI109)/SUM(Forecast_Main!AB109:AE109)-1</f>
        <v>0.47829739361043599</v>
      </c>
      <c r="J53" s="112">
        <f>SUM(Forecast_Main!AJ109:AM109)/SUM(Forecast_Main!AF109:AI109)-1</f>
        <v>0.44648160028081874</v>
      </c>
    </row>
  </sheetData>
  <mergeCells count="1">
    <mergeCell ref="A1:J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75" zoomScaleNormal="75" workbookViewId="0">
      <selection activeCell="Y56" sqref="Y56"/>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63"/>
  <sheetViews>
    <sheetView tabSelected="1" zoomScale="85" zoomScaleNormal="85" workbookViewId="0">
      <pane xSplit="7" ySplit="3" topLeftCell="AE67" activePane="bottomRight" state="frozen"/>
      <selection activeCell="D32" sqref="D32"/>
      <selection pane="topRight" activeCell="D32" sqref="D32"/>
      <selection pane="bottomLeft" activeCell="D32" sqref="D32"/>
      <selection pane="bottomRight" activeCell="G97" sqref="G97"/>
    </sheetView>
  </sheetViews>
  <sheetFormatPr defaultRowHeight="15" x14ac:dyDescent="0.25"/>
  <cols>
    <col min="1" max="4" width="9.140625" style="168"/>
    <col min="5" max="5" width="12" bestFit="1" customWidth="1"/>
    <col min="6" max="6" width="22.7109375" bestFit="1" customWidth="1"/>
    <col min="7" max="7" width="26.140625" bestFit="1" customWidth="1"/>
    <col min="8" max="23" width="13.42578125" customWidth="1"/>
    <col min="24" max="24" width="13" customWidth="1"/>
    <col min="25" max="31" width="15.140625" customWidth="1"/>
    <col min="32" max="39" width="14.28515625" customWidth="1"/>
    <col min="40" max="47" width="15.85546875" customWidth="1"/>
  </cols>
  <sheetData>
    <row r="1" spans="1:47" ht="21" x14ac:dyDescent="0.35">
      <c r="E1" s="91" t="s">
        <v>658</v>
      </c>
      <c r="Y1" s="65"/>
      <c r="Z1" s="65"/>
      <c r="AF1" s="136" t="s">
        <v>703</v>
      </c>
      <c r="AG1" s="95"/>
      <c r="AH1" s="95"/>
      <c r="AI1" s="95"/>
      <c r="AJ1" s="95"/>
      <c r="AK1" s="95"/>
      <c r="AL1" s="95"/>
      <c r="AM1" s="95"/>
    </row>
    <row r="2" spans="1:47" x14ac:dyDescent="0.25">
      <c r="E2" s="19" t="s">
        <v>274</v>
      </c>
      <c r="H2" s="19" t="s">
        <v>249</v>
      </c>
    </row>
    <row r="3" spans="1:47" x14ac:dyDescent="0.25">
      <c r="E3" s="19" t="s">
        <v>250</v>
      </c>
      <c r="F3" s="19" t="s">
        <v>269</v>
      </c>
      <c r="G3" s="19" t="s">
        <v>774</v>
      </c>
      <c r="H3" s="20">
        <v>42370</v>
      </c>
      <c r="I3" s="20">
        <v>42461</v>
      </c>
      <c r="J3" s="20">
        <v>42552</v>
      </c>
      <c r="K3" s="20">
        <v>42644</v>
      </c>
      <c r="L3" s="20">
        <v>42736</v>
      </c>
      <c r="M3" s="20">
        <v>42826</v>
      </c>
      <c r="N3" s="20">
        <v>42917</v>
      </c>
      <c r="O3" s="20">
        <v>43009</v>
      </c>
      <c r="P3" s="20">
        <v>43101</v>
      </c>
      <c r="Q3" s="20">
        <v>43191</v>
      </c>
      <c r="R3" s="20">
        <v>43282</v>
      </c>
      <c r="S3" s="20">
        <v>43374</v>
      </c>
      <c r="T3" s="20">
        <v>43466</v>
      </c>
      <c r="U3" s="20">
        <v>43556</v>
      </c>
      <c r="V3" s="20">
        <v>43647</v>
      </c>
      <c r="W3" s="20">
        <v>43739</v>
      </c>
      <c r="X3" s="20">
        <v>43831</v>
      </c>
      <c r="Y3" s="20">
        <v>43922</v>
      </c>
      <c r="Z3" s="20">
        <v>44013</v>
      </c>
      <c r="AA3" s="20">
        <v>44105</v>
      </c>
      <c r="AB3" s="20">
        <v>44197</v>
      </c>
      <c r="AC3" s="20">
        <v>44287</v>
      </c>
      <c r="AD3" s="20">
        <v>44378</v>
      </c>
      <c r="AE3" s="20">
        <v>44470</v>
      </c>
      <c r="AF3" s="20">
        <v>44562</v>
      </c>
      <c r="AG3" s="20">
        <v>44652</v>
      </c>
      <c r="AH3" s="20">
        <v>44743</v>
      </c>
      <c r="AI3" s="20">
        <v>44835</v>
      </c>
      <c r="AJ3" s="20">
        <v>44927</v>
      </c>
      <c r="AK3" s="20">
        <v>45017</v>
      </c>
      <c r="AL3" s="20">
        <v>45108</v>
      </c>
      <c r="AM3" s="20">
        <v>45200</v>
      </c>
      <c r="AN3" s="20">
        <v>45292</v>
      </c>
      <c r="AO3" s="20">
        <v>45383</v>
      </c>
      <c r="AP3" s="20">
        <v>45474</v>
      </c>
      <c r="AQ3" s="20">
        <v>45566</v>
      </c>
      <c r="AR3" s="20">
        <v>45658</v>
      </c>
      <c r="AS3" s="20">
        <v>45748</v>
      </c>
      <c r="AT3" s="20">
        <v>45839</v>
      </c>
      <c r="AU3" s="20">
        <v>45931</v>
      </c>
    </row>
    <row r="4" spans="1:47" x14ac:dyDescent="0.25">
      <c r="A4" s="170" t="s">
        <v>253</v>
      </c>
      <c r="B4" s="170" t="s">
        <v>272</v>
      </c>
      <c r="C4" s="168" t="s">
        <v>3</v>
      </c>
      <c r="E4" s="130" t="s">
        <v>253</v>
      </c>
      <c r="F4" s="130" t="s">
        <v>272</v>
      </c>
      <c r="G4" s="174" t="s">
        <v>3</v>
      </c>
      <c r="H4" s="131">
        <v>190787754</v>
      </c>
      <c r="I4" s="131">
        <v>157566921</v>
      </c>
      <c r="J4" s="131">
        <v>184886343</v>
      </c>
      <c r="K4" s="131">
        <v>163486021</v>
      </c>
      <c r="L4" s="131">
        <v>139086543</v>
      </c>
      <c r="M4" s="131">
        <v>184749867</v>
      </c>
      <c r="N4" s="131">
        <v>193087164</v>
      </c>
      <c r="O4" s="131">
        <v>161636376</v>
      </c>
      <c r="P4" s="131">
        <v>162000728</v>
      </c>
      <c r="Q4" s="131">
        <v>184700513</v>
      </c>
      <c r="R4" s="131">
        <v>208472910</v>
      </c>
      <c r="S4" s="131">
        <v>172121556</v>
      </c>
      <c r="T4" s="131">
        <v>173067446</v>
      </c>
      <c r="U4" s="131">
        <v>167000751</v>
      </c>
      <c r="V4" s="131">
        <v>188320552</v>
      </c>
      <c r="W4" s="131">
        <v>182188128</v>
      </c>
      <c r="X4" s="131">
        <v>144363444</v>
      </c>
      <c r="Y4" s="131">
        <v>182674337</v>
      </c>
      <c r="Z4" s="131">
        <v>174916666</v>
      </c>
      <c r="AA4" s="131">
        <v>178080356</v>
      </c>
      <c r="AB4" s="131">
        <v>186093683</v>
      </c>
      <c r="AC4" s="131">
        <v>186303226</v>
      </c>
      <c r="AD4" s="131">
        <v>204072070</v>
      </c>
      <c r="AE4" s="131">
        <v>171297309</v>
      </c>
      <c r="AF4" s="131">
        <v>198313065</v>
      </c>
    </row>
    <row r="5" spans="1:47" x14ac:dyDescent="0.25">
      <c r="A5" s="170"/>
      <c r="B5" s="170"/>
      <c r="C5" s="168" t="s">
        <v>258</v>
      </c>
      <c r="E5" s="130"/>
      <c r="F5" s="130"/>
      <c r="G5" s="174" t="s">
        <v>258</v>
      </c>
      <c r="H5" s="131">
        <v>0</v>
      </c>
      <c r="I5" s="131">
        <v>0</v>
      </c>
      <c r="J5" s="131">
        <v>0</v>
      </c>
      <c r="K5" s="131">
        <v>0</v>
      </c>
      <c r="L5" s="131">
        <v>0</v>
      </c>
      <c r="M5" s="131">
        <v>0</v>
      </c>
      <c r="N5" s="131">
        <v>0</v>
      </c>
      <c r="O5" s="131">
        <v>0</v>
      </c>
      <c r="P5" s="131">
        <v>0</v>
      </c>
      <c r="Q5" s="131">
        <v>16659</v>
      </c>
      <c r="R5" s="131">
        <v>0</v>
      </c>
      <c r="S5" s="131">
        <v>0</v>
      </c>
      <c r="T5" s="131">
        <v>-1915</v>
      </c>
      <c r="U5" s="131">
        <v>-6563</v>
      </c>
      <c r="V5" s="131">
        <v>-7587</v>
      </c>
      <c r="W5" s="131">
        <v>-5258</v>
      </c>
      <c r="X5" s="131">
        <v>-29358</v>
      </c>
      <c r="Y5" s="131">
        <v>-11347</v>
      </c>
      <c r="Z5" s="131">
        <v>-12518</v>
      </c>
      <c r="AA5" s="131">
        <v>-24341</v>
      </c>
      <c r="AB5" s="131">
        <v>-49197</v>
      </c>
      <c r="AC5" s="131">
        <v>-111794</v>
      </c>
      <c r="AD5" s="131">
        <v>-91233</v>
      </c>
      <c r="AE5" s="131">
        <v>-54634</v>
      </c>
      <c r="AF5" s="131">
        <v>-42780</v>
      </c>
    </row>
    <row r="6" spans="1:47" x14ac:dyDescent="0.25">
      <c r="A6" s="170"/>
      <c r="B6" s="170"/>
      <c r="C6" s="168" t="s">
        <v>259</v>
      </c>
      <c r="E6" s="130"/>
      <c r="F6" s="130"/>
      <c r="G6" s="174" t="s">
        <v>259</v>
      </c>
      <c r="H6" s="131">
        <v>10272272</v>
      </c>
      <c r="I6" s="131">
        <v>921340</v>
      </c>
      <c r="J6" s="131">
        <v>-556919</v>
      </c>
      <c r="K6" s="131">
        <v>2169583</v>
      </c>
      <c r="L6" s="131">
        <v>1604260</v>
      </c>
      <c r="M6" s="131">
        <v>369644</v>
      </c>
      <c r="N6" s="131">
        <v>71965</v>
      </c>
      <c r="O6" s="131">
        <v>2358476</v>
      </c>
      <c r="P6" s="131">
        <v>-76495</v>
      </c>
      <c r="Q6" s="131">
        <v>-3232199</v>
      </c>
      <c r="R6" s="131">
        <v>-3865648</v>
      </c>
      <c r="S6" s="131">
        <v>-4155248</v>
      </c>
      <c r="T6" s="131">
        <v>1815092</v>
      </c>
      <c r="U6" s="131">
        <v>2970595</v>
      </c>
      <c r="V6" s="131">
        <v>3828923</v>
      </c>
      <c r="W6" s="131">
        <v>1063480</v>
      </c>
      <c r="X6" s="131">
        <v>-3672374</v>
      </c>
      <c r="Y6" s="131">
        <v>-4447782</v>
      </c>
      <c r="Z6" s="131">
        <v>-5946680</v>
      </c>
      <c r="AA6" s="131">
        <v>-5067567</v>
      </c>
      <c r="AB6" s="131">
        <v>-5896193</v>
      </c>
      <c r="AC6" s="131">
        <v>-4577061</v>
      </c>
      <c r="AD6" s="131">
        <v>-7472751</v>
      </c>
      <c r="AE6" s="131">
        <v>-7510373</v>
      </c>
      <c r="AF6" s="131">
        <v>-2495065</v>
      </c>
    </row>
    <row r="7" spans="1:47" x14ac:dyDescent="0.25">
      <c r="A7" s="170"/>
      <c r="B7" s="170"/>
      <c r="C7" s="168" t="s">
        <v>4</v>
      </c>
      <c r="E7" s="130"/>
      <c r="F7" s="130"/>
      <c r="G7" s="174" t="s">
        <v>4</v>
      </c>
      <c r="H7" s="131">
        <v>375239852</v>
      </c>
      <c r="I7" s="131">
        <v>326790235</v>
      </c>
      <c r="J7" s="131">
        <v>377613067</v>
      </c>
      <c r="K7" s="131">
        <v>320334675</v>
      </c>
      <c r="L7" s="131">
        <v>263889421</v>
      </c>
      <c r="M7" s="131">
        <v>350623417</v>
      </c>
      <c r="N7" s="131">
        <v>398951677</v>
      </c>
      <c r="O7" s="131">
        <v>357091065</v>
      </c>
      <c r="P7" s="131">
        <v>321842960</v>
      </c>
      <c r="Q7" s="131">
        <v>396147902</v>
      </c>
      <c r="R7" s="131">
        <v>389448668</v>
      </c>
      <c r="S7" s="131">
        <v>366263564</v>
      </c>
      <c r="T7" s="131">
        <v>354689704</v>
      </c>
      <c r="U7" s="131">
        <v>375127081</v>
      </c>
      <c r="V7" s="131">
        <v>380415507</v>
      </c>
      <c r="W7" s="131">
        <v>386761381</v>
      </c>
      <c r="X7" s="131">
        <v>338058278</v>
      </c>
      <c r="Y7" s="131">
        <v>262650168</v>
      </c>
      <c r="Z7" s="131">
        <v>393227227</v>
      </c>
      <c r="AA7" s="131">
        <v>319318522</v>
      </c>
      <c r="AB7" s="131">
        <v>338537031</v>
      </c>
      <c r="AC7" s="131">
        <v>335019488</v>
      </c>
      <c r="AD7" s="131">
        <v>396067222</v>
      </c>
      <c r="AE7" s="131">
        <v>335476352</v>
      </c>
      <c r="AF7" s="131">
        <v>326878686</v>
      </c>
    </row>
    <row r="8" spans="1:47" x14ac:dyDescent="0.25">
      <c r="A8" s="170"/>
      <c r="B8" s="170"/>
      <c r="C8" s="168" t="s">
        <v>267</v>
      </c>
      <c r="E8" s="130"/>
      <c r="F8" s="130"/>
      <c r="G8" s="174" t="s">
        <v>267</v>
      </c>
      <c r="H8" s="131">
        <v>6826453</v>
      </c>
      <c r="I8" s="131">
        <v>1428586</v>
      </c>
      <c r="J8" s="131">
        <v>1836989</v>
      </c>
      <c r="K8" s="131">
        <v>17687671</v>
      </c>
      <c r="L8" s="131">
        <v>15472789</v>
      </c>
      <c r="M8" s="131">
        <v>19442225</v>
      </c>
      <c r="N8" s="131">
        <v>26862864</v>
      </c>
      <c r="O8" s="131">
        <v>20220327</v>
      </c>
      <c r="P8" s="131">
        <v>18561719</v>
      </c>
      <c r="Q8" s="131">
        <v>20979029</v>
      </c>
      <c r="R8" s="131">
        <v>19554903</v>
      </c>
      <c r="S8" s="131">
        <v>13918141</v>
      </c>
      <c r="T8" s="131">
        <v>19781062</v>
      </c>
      <c r="U8" s="131">
        <v>20857756</v>
      </c>
      <c r="V8" s="131">
        <v>18078829</v>
      </c>
      <c r="W8" s="131">
        <v>17233972</v>
      </c>
      <c r="X8" s="131">
        <v>-12753305</v>
      </c>
      <c r="Y8" s="131">
        <v>-11222100</v>
      </c>
      <c r="Z8" s="131">
        <v>-14941509</v>
      </c>
      <c r="AA8" s="131">
        <v>-14209197</v>
      </c>
      <c r="AB8" s="131">
        <v>-14338164</v>
      </c>
      <c r="AC8" s="131">
        <v>-18507064</v>
      </c>
      <c r="AD8" s="131">
        <v>-20256771</v>
      </c>
      <c r="AE8" s="131">
        <v>-17988756</v>
      </c>
      <c r="AF8" s="131">
        <v>-14022936</v>
      </c>
    </row>
    <row r="9" spans="1:47" x14ac:dyDescent="0.25">
      <c r="A9" s="170"/>
      <c r="B9" s="170" t="s">
        <v>273</v>
      </c>
      <c r="C9" s="170"/>
      <c r="E9" s="130"/>
      <c r="F9" s="130" t="s">
        <v>273</v>
      </c>
      <c r="G9" s="130"/>
      <c r="H9" s="131">
        <v>583126331</v>
      </c>
      <c r="I9" s="131">
        <v>486707082</v>
      </c>
      <c r="J9" s="131">
        <v>563779480</v>
      </c>
      <c r="K9" s="131">
        <v>503677950</v>
      </c>
      <c r="L9" s="131">
        <v>420053013</v>
      </c>
      <c r="M9" s="131">
        <v>555185153</v>
      </c>
      <c r="N9" s="131">
        <v>618973670</v>
      </c>
      <c r="O9" s="131">
        <v>541306244</v>
      </c>
      <c r="P9" s="131">
        <v>502328912</v>
      </c>
      <c r="Q9" s="131">
        <v>598611904</v>
      </c>
      <c r="R9" s="131">
        <v>613610833</v>
      </c>
      <c r="S9" s="131">
        <v>548148013</v>
      </c>
      <c r="T9" s="131">
        <v>549351389</v>
      </c>
      <c r="U9" s="131">
        <v>565949620</v>
      </c>
      <c r="V9" s="131">
        <v>590636224</v>
      </c>
      <c r="W9" s="131">
        <v>587241703</v>
      </c>
      <c r="X9" s="131">
        <v>465966685</v>
      </c>
      <c r="Y9" s="131">
        <v>429643276</v>
      </c>
      <c r="Z9" s="131">
        <v>547243186</v>
      </c>
      <c r="AA9" s="131">
        <v>478097773</v>
      </c>
      <c r="AB9" s="131">
        <v>504347160</v>
      </c>
      <c r="AC9" s="131">
        <v>498126795</v>
      </c>
      <c r="AD9" s="131">
        <v>572318537</v>
      </c>
      <c r="AE9" s="131">
        <v>481219898</v>
      </c>
      <c r="AF9" s="131">
        <v>508630970</v>
      </c>
    </row>
    <row r="10" spans="1:47" x14ac:dyDescent="0.25">
      <c r="A10" s="170"/>
      <c r="B10" s="170" t="s">
        <v>270</v>
      </c>
      <c r="C10" s="168" t="s">
        <v>256</v>
      </c>
      <c r="E10" s="130"/>
      <c r="F10" s="130" t="s">
        <v>270</v>
      </c>
      <c r="G10" s="174" t="s">
        <v>256</v>
      </c>
      <c r="H10" s="131">
        <v>0</v>
      </c>
      <c r="I10" s="131">
        <v>0</v>
      </c>
      <c r="J10" s="131">
        <v>218045</v>
      </c>
      <c r="K10" s="131">
        <v>336127</v>
      </c>
      <c r="L10" s="131">
        <v>319232</v>
      </c>
      <c r="M10" s="131">
        <v>423939</v>
      </c>
      <c r="N10" s="131">
        <v>362447</v>
      </c>
      <c r="O10" s="131">
        <v>402283</v>
      </c>
      <c r="P10" s="131">
        <v>187421</v>
      </c>
      <c r="Q10" s="131">
        <v>322942</v>
      </c>
      <c r="R10" s="131">
        <v>368794</v>
      </c>
      <c r="S10" s="131">
        <v>457503</v>
      </c>
      <c r="T10" s="131">
        <v>429380</v>
      </c>
      <c r="U10" s="131">
        <v>471796</v>
      </c>
      <c r="V10" s="131">
        <v>495990</v>
      </c>
      <c r="W10" s="131">
        <v>532362</v>
      </c>
      <c r="X10" s="131">
        <v>593515</v>
      </c>
      <c r="Y10" s="131">
        <v>641800</v>
      </c>
      <c r="Z10" s="131">
        <v>674289</v>
      </c>
      <c r="AA10" s="131">
        <v>720233</v>
      </c>
      <c r="AB10" s="131">
        <v>685786</v>
      </c>
      <c r="AC10" s="131">
        <v>749677</v>
      </c>
      <c r="AD10" s="131">
        <v>877412</v>
      </c>
      <c r="AE10" s="131">
        <v>902449</v>
      </c>
      <c r="AF10" s="131">
        <v>857289</v>
      </c>
    </row>
    <row r="11" spans="1:47" x14ac:dyDescent="0.25">
      <c r="A11" s="170"/>
      <c r="B11" s="170"/>
      <c r="C11" s="168" t="s">
        <v>257</v>
      </c>
      <c r="E11" s="130"/>
      <c r="F11" s="130"/>
      <c r="G11" s="174" t="s">
        <v>257</v>
      </c>
      <c r="H11" s="131">
        <v>88727</v>
      </c>
      <c r="I11" s="131">
        <v>81346</v>
      </c>
      <c r="J11" s="131">
        <v>98006</v>
      </c>
      <c r="K11" s="131">
        <v>92354</v>
      </c>
      <c r="L11" s="131">
        <v>99904</v>
      </c>
      <c r="M11" s="131">
        <v>115353</v>
      </c>
      <c r="N11" s="131">
        <v>104296</v>
      </c>
      <c r="O11" s="131">
        <v>33816</v>
      </c>
      <c r="P11" s="131">
        <v>84406</v>
      </c>
      <c r="Q11" s="131">
        <v>111748</v>
      </c>
      <c r="R11" s="131">
        <v>105494</v>
      </c>
      <c r="S11" s="131">
        <v>81027</v>
      </c>
      <c r="T11" s="131">
        <v>74326</v>
      </c>
      <c r="U11" s="131">
        <v>83726</v>
      </c>
      <c r="V11" s="131">
        <v>60935</v>
      </c>
      <c r="W11" s="131">
        <v>75549</v>
      </c>
      <c r="X11" s="131">
        <v>61614</v>
      </c>
      <c r="Y11" s="131">
        <v>67090</v>
      </c>
      <c r="Z11" s="131">
        <v>86146</v>
      </c>
      <c r="AA11" s="131">
        <v>74656</v>
      </c>
      <c r="AB11" s="131">
        <v>0</v>
      </c>
      <c r="AC11" s="131">
        <v>0</v>
      </c>
      <c r="AD11" s="131">
        <v>0</v>
      </c>
      <c r="AE11" s="131">
        <v>0</v>
      </c>
      <c r="AF11" s="131">
        <v>0</v>
      </c>
    </row>
    <row r="12" spans="1:47" x14ac:dyDescent="0.25">
      <c r="A12" s="170"/>
      <c r="B12" s="170"/>
      <c r="C12" s="168" t="s">
        <v>7</v>
      </c>
      <c r="E12" s="130"/>
      <c r="F12" s="130"/>
      <c r="G12" s="174" t="s">
        <v>7</v>
      </c>
      <c r="H12" s="131">
        <v>11353817</v>
      </c>
      <c r="I12" s="131">
        <v>11119753</v>
      </c>
      <c r="J12" s="131">
        <v>13040561</v>
      </c>
      <c r="K12" s="131">
        <v>11380628</v>
      </c>
      <c r="L12" s="131">
        <v>9024384</v>
      </c>
      <c r="M12" s="131">
        <v>13381643</v>
      </c>
      <c r="N12" s="131">
        <v>14467683</v>
      </c>
      <c r="O12" s="131">
        <v>14095269</v>
      </c>
      <c r="P12" s="131">
        <v>10797938</v>
      </c>
      <c r="Q12" s="131">
        <v>13219212</v>
      </c>
      <c r="R12" s="131">
        <v>14939801</v>
      </c>
      <c r="S12" s="131">
        <v>13234476</v>
      </c>
      <c r="T12" s="131">
        <v>11226878</v>
      </c>
      <c r="U12" s="131">
        <v>16376995</v>
      </c>
      <c r="V12" s="131">
        <v>16836304</v>
      </c>
      <c r="W12" s="131">
        <v>15256559</v>
      </c>
      <c r="X12" s="131">
        <v>15477625</v>
      </c>
      <c r="Y12" s="131">
        <v>16370864</v>
      </c>
      <c r="Z12" s="131">
        <v>18513397</v>
      </c>
      <c r="AA12" s="131">
        <v>18868338</v>
      </c>
      <c r="AB12" s="131">
        <v>15337173</v>
      </c>
      <c r="AC12" s="131">
        <v>20420611</v>
      </c>
      <c r="AD12" s="131">
        <v>19301300</v>
      </c>
      <c r="AE12" s="131">
        <v>19671012</v>
      </c>
      <c r="AF12" s="131">
        <v>17963654</v>
      </c>
    </row>
    <row r="13" spans="1:47" x14ac:dyDescent="0.25">
      <c r="A13" s="170"/>
      <c r="B13" s="170"/>
      <c r="C13" s="168" t="s">
        <v>255</v>
      </c>
      <c r="E13" s="130"/>
      <c r="F13" s="130"/>
      <c r="G13" s="174" t="s">
        <v>255</v>
      </c>
      <c r="H13" s="131">
        <v>0</v>
      </c>
      <c r="I13" s="131">
        <v>0</v>
      </c>
      <c r="J13" s="131">
        <v>0</v>
      </c>
      <c r="K13" s="131">
        <v>0</v>
      </c>
      <c r="L13" s="131">
        <v>0</v>
      </c>
      <c r="M13" s="131">
        <v>0</v>
      </c>
      <c r="N13" s="131">
        <v>0</v>
      </c>
      <c r="O13" s="131">
        <v>337496</v>
      </c>
      <c r="P13" s="131">
        <v>301585</v>
      </c>
      <c r="Q13" s="131">
        <v>202848</v>
      </c>
      <c r="R13" s="131">
        <v>226799</v>
      </c>
      <c r="S13" s="131">
        <v>488983</v>
      </c>
      <c r="T13" s="131">
        <v>161527</v>
      </c>
      <c r="U13" s="131">
        <v>455869</v>
      </c>
      <c r="V13" s="131">
        <v>11311233</v>
      </c>
      <c r="W13" s="131">
        <v>4290785</v>
      </c>
      <c r="X13" s="131">
        <v>7187193</v>
      </c>
      <c r="Y13" s="131">
        <v>6251613</v>
      </c>
      <c r="Z13" s="131">
        <v>206541</v>
      </c>
      <c r="AA13" s="131">
        <v>3942228</v>
      </c>
      <c r="AB13" s="131">
        <v>6944201</v>
      </c>
      <c r="AC13" s="131">
        <v>-447123</v>
      </c>
      <c r="AD13" s="131">
        <v>3308553</v>
      </c>
      <c r="AE13" s="131">
        <v>85108</v>
      </c>
      <c r="AF13" s="131">
        <v>14182521</v>
      </c>
    </row>
    <row r="14" spans="1:47" x14ac:dyDescent="0.25">
      <c r="A14" s="170"/>
      <c r="B14" s="170"/>
      <c r="C14" s="168" t="s">
        <v>775</v>
      </c>
      <c r="E14" s="130"/>
      <c r="F14" s="130"/>
      <c r="G14" s="174" t="s">
        <v>775</v>
      </c>
      <c r="H14" s="131">
        <v>0</v>
      </c>
      <c r="I14" s="131">
        <v>0</v>
      </c>
      <c r="J14" s="131">
        <v>0</v>
      </c>
      <c r="K14" s="131">
        <v>0</v>
      </c>
      <c r="L14" s="131">
        <v>0</v>
      </c>
      <c r="M14" s="131">
        <v>0</v>
      </c>
      <c r="N14" s="131">
        <v>0</v>
      </c>
      <c r="O14" s="131">
        <v>0</v>
      </c>
      <c r="P14" s="131">
        <v>431079</v>
      </c>
      <c r="Q14" s="131">
        <v>422832</v>
      </c>
      <c r="R14" s="131">
        <v>440204</v>
      </c>
      <c r="S14" s="131">
        <v>433671</v>
      </c>
      <c r="T14" s="131">
        <v>477625</v>
      </c>
      <c r="U14" s="131">
        <v>490452</v>
      </c>
      <c r="V14" s="131">
        <v>605468</v>
      </c>
      <c r="W14" s="131">
        <v>647037</v>
      </c>
      <c r="X14" s="131">
        <v>690933</v>
      </c>
      <c r="Y14" s="131">
        <v>710727</v>
      </c>
      <c r="Z14" s="131">
        <v>872188</v>
      </c>
      <c r="AA14" s="131">
        <v>962153</v>
      </c>
      <c r="AB14" s="131">
        <v>965691</v>
      </c>
      <c r="AC14" s="131">
        <v>1281340</v>
      </c>
      <c r="AD14" s="131">
        <v>1319091</v>
      </c>
      <c r="AE14" s="131">
        <v>1419333</v>
      </c>
      <c r="AF14" s="131">
        <v>1563925</v>
      </c>
    </row>
    <row r="15" spans="1:47" x14ac:dyDescent="0.25">
      <c r="A15" s="170"/>
      <c r="B15" s="170"/>
      <c r="C15" s="168" t="s">
        <v>261</v>
      </c>
      <c r="E15" s="130"/>
      <c r="F15" s="130"/>
      <c r="G15" s="174" t="s">
        <v>261</v>
      </c>
      <c r="H15" s="131">
        <v>7061</v>
      </c>
      <c r="I15" s="131">
        <v>10979</v>
      </c>
      <c r="J15" s="131">
        <v>15031</v>
      </c>
      <c r="K15" s="131">
        <v>14084</v>
      </c>
      <c r="L15" s="131">
        <v>14322</v>
      </c>
      <c r="M15" s="131">
        <v>18144</v>
      </c>
      <c r="N15" s="131">
        <v>24117</v>
      </c>
      <c r="O15" s="131">
        <v>22967</v>
      </c>
      <c r="P15" s="131">
        <v>18643</v>
      </c>
      <c r="Q15" s="131">
        <v>26424</v>
      </c>
      <c r="R15" s="131">
        <v>34852</v>
      </c>
      <c r="S15" s="131">
        <v>43869</v>
      </c>
      <c r="T15" s="131">
        <v>43384</v>
      </c>
      <c r="U15" s="131">
        <v>54052</v>
      </c>
      <c r="V15" s="131">
        <v>70193</v>
      </c>
      <c r="W15" s="131">
        <v>69198</v>
      </c>
      <c r="X15" s="131">
        <v>54300</v>
      </c>
      <c r="Y15" s="131">
        <v>37633</v>
      </c>
      <c r="Z15" s="131">
        <v>72090</v>
      </c>
      <c r="AA15" s="131">
        <v>67128</v>
      </c>
      <c r="AB15" s="131">
        <v>74857</v>
      </c>
      <c r="AC15" s="131">
        <v>108611</v>
      </c>
      <c r="AD15" s="131">
        <v>141880</v>
      </c>
      <c r="AE15" s="131">
        <v>146167</v>
      </c>
      <c r="AF15" s="131">
        <v>143951</v>
      </c>
      <c r="AH15" s="124"/>
    </row>
    <row r="16" spans="1:47" x14ac:dyDescent="0.25">
      <c r="A16" s="170"/>
      <c r="B16" s="170"/>
      <c r="C16" s="168" t="s">
        <v>262</v>
      </c>
      <c r="E16" s="130"/>
      <c r="F16" s="130"/>
      <c r="G16" s="174" t="s">
        <v>262</v>
      </c>
      <c r="H16" s="131">
        <v>10084584</v>
      </c>
      <c r="I16" s="131">
        <v>10636624</v>
      </c>
      <c r="J16" s="131">
        <v>9704693</v>
      </c>
      <c r="K16" s="131">
        <v>10227805</v>
      </c>
      <c r="L16" s="131">
        <v>9776863</v>
      </c>
      <c r="M16" s="131">
        <v>9310276</v>
      </c>
      <c r="N16" s="131">
        <v>9212448</v>
      </c>
      <c r="O16" s="131">
        <v>8937202</v>
      </c>
      <c r="P16" s="131">
        <v>8411434</v>
      </c>
      <c r="Q16" s="131">
        <v>8861240</v>
      </c>
      <c r="R16" s="131">
        <v>9273634</v>
      </c>
      <c r="S16" s="131">
        <v>8795011</v>
      </c>
      <c r="T16" s="131">
        <v>7797055</v>
      </c>
      <c r="U16" s="131">
        <v>9379218</v>
      </c>
      <c r="V16" s="131">
        <v>14044376</v>
      </c>
      <c r="W16" s="131">
        <v>13891154</v>
      </c>
      <c r="X16" s="131">
        <v>12854775</v>
      </c>
      <c r="Y16" s="131">
        <v>13932401</v>
      </c>
      <c r="Z16" s="131">
        <v>19053482</v>
      </c>
      <c r="AA16" s="131">
        <v>27292139</v>
      </c>
      <c r="AB16" s="131">
        <v>22585155</v>
      </c>
      <c r="AC16" s="131">
        <v>35498361</v>
      </c>
      <c r="AD16" s="131">
        <v>32383842</v>
      </c>
      <c r="AE16" s="131">
        <v>28661261</v>
      </c>
      <c r="AF16" s="131">
        <v>25279070</v>
      </c>
    </row>
    <row r="17" spans="1:42" x14ac:dyDescent="0.25">
      <c r="A17" s="170"/>
      <c r="B17" s="170"/>
      <c r="C17" s="168" t="s">
        <v>263</v>
      </c>
      <c r="E17" s="130"/>
      <c r="F17" s="130"/>
      <c r="G17" s="174" t="s">
        <v>263</v>
      </c>
      <c r="H17" s="131">
        <v>1219304</v>
      </c>
      <c r="I17" s="131">
        <v>0</v>
      </c>
      <c r="J17" s="131">
        <v>341382</v>
      </c>
      <c r="K17" s="131">
        <v>0</v>
      </c>
      <c r="L17" s="131">
        <v>0</v>
      </c>
      <c r="M17" s="131">
        <v>0</v>
      </c>
      <c r="N17" s="131">
        <v>0</v>
      </c>
      <c r="O17" s="131">
        <v>0</v>
      </c>
      <c r="P17" s="131">
        <v>0</v>
      </c>
      <c r="Q17" s="131">
        <v>0</v>
      </c>
      <c r="R17" s="131">
        <v>0</v>
      </c>
      <c r="S17" s="131">
        <v>0</v>
      </c>
      <c r="T17" s="131">
        <v>0</v>
      </c>
      <c r="U17" s="131">
        <v>298937</v>
      </c>
      <c r="V17" s="131">
        <v>0</v>
      </c>
      <c r="W17" s="131">
        <v>172797</v>
      </c>
      <c r="X17" s="131">
        <v>9787</v>
      </c>
      <c r="Y17" s="131">
        <v>53494</v>
      </c>
      <c r="Z17" s="131">
        <v>-312</v>
      </c>
      <c r="AA17" s="131">
        <v>0</v>
      </c>
      <c r="AB17" s="131">
        <v>0</v>
      </c>
      <c r="AC17" s="131">
        <v>0</v>
      </c>
      <c r="AD17" s="131">
        <v>0</v>
      </c>
      <c r="AE17" s="131">
        <v>0</v>
      </c>
      <c r="AF17" s="131">
        <v>0</v>
      </c>
      <c r="AP17" s="124"/>
    </row>
    <row r="18" spans="1:42" x14ac:dyDescent="0.25">
      <c r="A18" s="170"/>
      <c r="B18" s="170"/>
      <c r="C18" s="168" t="s">
        <v>264</v>
      </c>
      <c r="E18" s="130"/>
      <c r="F18" s="130"/>
      <c r="G18" s="174" t="s">
        <v>264</v>
      </c>
      <c r="H18" s="131">
        <v>14139186</v>
      </c>
      <c r="I18" s="131">
        <v>13543571</v>
      </c>
      <c r="J18" s="131">
        <v>16763834</v>
      </c>
      <c r="K18" s="131">
        <v>11612820</v>
      </c>
      <c r="L18" s="131">
        <v>12743468</v>
      </c>
      <c r="M18" s="131">
        <v>17354390</v>
      </c>
      <c r="N18" s="131">
        <v>15301245</v>
      </c>
      <c r="O18" s="131">
        <v>22286606</v>
      </c>
      <c r="P18" s="131">
        <v>23044585</v>
      </c>
      <c r="Q18" s="131">
        <v>24546488</v>
      </c>
      <c r="R18" s="131">
        <v>29679739</v>
      </c>
      <c r="S18" s="131">
        <v>30617772</v>
      </c>
      <c r="T18" s="131">
        <v>26435068</v>
      </c>
      <c r="U18" s="131">
        <v>27263997</v>
      </c>
      <c r="V18" s="131">
        <v>30484265</v>
      </c>
      <c r="W18" s="131">
        <v>27523886</v>
      </c>
      <c r="X18" s="131">
        <v>24578817</v>
      </c>
      <c r="Y18" s="131">
        <v>19132482</v>
      </c>
      <c r="Z18" s="131">
        <v>21871120</v>
      </c>
      <c r="AA18" s="131">
        <v>8254879</v>
      </c>
      <c r="AB18" s="131">
        <v>9870790</v>
      </c>
      <c r="AC18" s="131">
        <v>9635901</v>
      </c>
      <c r="AD18" s="131">
        <v>10859626</v>
      </c>
      <c r="AE18" s="131">
        <v>10690728</v>
      </c>
      <c r="AF18" s="131">
        <v>10544150</v>
      </c>
    </row>
    <row r="19" spans="1:42" x14ac:dyDescent="0.25">
      <c r="A19" s="170"/>
      <c r="B19" s="170"/>
      <c r="C19" s="168" t="s">
        <v>265</v>
      </c>
      <c r="E19" s="130"/>
      <c r="F19" s="130"/>
      <c r="G19" s="174" t="s">
        <v>265</v>
      </c>
      <c r="H19" s="131">
        <v>24779263</v>
      </c>
      <c r="I19" s="131">
        <v>16846719</v>
      </c>
      <c r="J19" s="131">
        <v>19851146</v>
      </c>
      <c r="K19" s="131">
        <v>15078450</v>
      </c>
      <c r="L19" s="131">
        <v>15727391</v>
      </c>
      <c r="M19" s="131">
        <v>14239785</v>
      </c>
      <c r="N19" s="131">
        <v>21952322</v>
      </c>
      <c r="O19" s="131">
        <v>9236517</v>
      </c>
      <c r="P19" s="131">
        <v>8661266</v>
      </c>
      <c r="Q19" s="131">
        <v>4791519</v>
      </c>
      <c r="R19" s="131">
        <v>5968474</v>
      </c>
      <c r="S19" s="131">
        <v>2689426</v>
      </c>
      <c r="T19" s="131">
        <v>2402287</v>
      </c>
      <c r="U19" s="131">
        <v>5458262</v>
      </c>
      <c r="V19" s="131">
        <v>962825</v>
      </c>
      <c r="W19" s="131">
        <v>323008</v>
      </c>
      <c r="X19" s="131">
        <v>8231</v>
      </c>
      <c r="Y19" s="131">
        <v>347882</v>
      </c>
      <c r="Z19" s="131">
        <v>-316619</v>
      </c>
      <c r="AA19" s="131">
        <v>0</v>
      </c>
      <c r="AB19" s="131">
        <v>0</v>
      </c>
      <c r="AC19" s="131">
        <v>0</v>
      </c>
      <c r="AD19" s="131">
        <v>0</v>
      </c>
      <c r="AE19" s="131">
        <v>0</v>
      </c>
      <c r="AF19" s="131">
        <v>0</v>
      </c>
    </row>
    <row r="20" spans="1:42" x14ac:dyDescent="0.25">
      <c r="A20" s="170"/>
      <c r="B20" s="170"/>
      <c r="C20" s="168" t="s">
        <v>266</v>
      </c>
      <c r="E20" s="130"/>
      <c r="F20" s="130"/>
      <c r="G20" s="174" t="s">
        <v>266</v>
      </c>
      <c r="H20" s="131">
        <v>47944</v>
      </c>
      <c r="I20" s="131">
        <v>83529</v>
      </c>
      <c r="J20" s="131">
        <v>253637</v>
      </c>
      <c r="K20" s="131">
        <v>212524</v>
      </c>
      <c r="L20" s="131">
        <v>234492</v>
      </c>
      <c r="M20" s="131">
        <v>224761</v>
      </c>
      <c r="N20" s="131">
        <v>249111</v>
      </c>
      <c r="O20" s="131">
        <v>205210</v>
      </c>
      <c r="P20" s="131">
        <v>384241</v>
      </c>
      <c r="Q20" s="131">
        <v>347101</v>
      </c>
      <c r="R20" s="131">
        <v>321762</v>
      </c>
      <c r="S20" s="131">
        <v>242110</v>
      </c>
      <c r="T20" s="131">
        <v>263261</v>
      </c>
      <c r="U20" s="131">
        <v>282897</v>
      </c>
      <c r="V20" s="131">
        <v>307650</v>
      </c>
      <c r="W20" s="131">
        <v>208357</v>
      </c>
      <c r="X20" s="131">
        <v>178452</v>
      </c>
      <c r="Y20" s="131">
        <v>91497</v>
      </c>
      <c r="Z20" s="131">
        <v>47369</v>
      </c>
      <c r="AA20" s="131">
        <v>53691</v>
      </c>
      <c r="AB20" s="131">
        <v>143046</v>
      </c>
      <c r="AC20" s="131">
        <v>136047</v>
      </c>
      <c r="AD20" s="131">
        <v>38773</v>
      </c>
      <c r="AE20" s="131">
        <v>9309</v>
      </c>
      <c r="AF20" s="131">
        <v>2157</v>
      </c>
    </row>
    <row r="21" spans="1:42" x14ac:dyDescent="0.25">
      <c r="A21" s="170"/>
      <c r="B21" s="170"/>
      <c r="C21" s="168" t="s">
        <v>275</v>
      </c>
      <c r="E21" s="130"/>
      <c r="F21" s="130"/>
      <c r="G21" s="174" t="s">
        <v>275</v>
      </c>
      <c r="H21" s="131">
        <v>0</v>
      </c>
      <c r="I21" s="131">
        <v>0</v>
      </c>
      <c r="J21" s="131">
        <v>0</v>
      </c>
      <c r="K21" s="131">
        <v>0</v>
      </c>
      <c r="L21" s="131">
        <v>0</v>
      </c>
      <c r="M21" s="131">
        <v>0</v>
      </c>
      <c r="N21" s="131">
        <v>0</v>
      </c>
      <c r="O21" s="131">
        <v>0</v>
      </c>
      <c r="P21" s="131">
        <v>0</v>
      </c>
      <c r="Q21" s="131">
        <v>0</v>
      </c>
      <c r="R21" s="131">
        <v>0</v>
      </c>
      <c r="S21" s="131">
        <v>76765</v>
      </c>
      <c r="T21" s="131">
        <v>27631</v>
      </c>
      <c r="U21" s="131">
        <v>0</v>
      </c>
      <c r="V21" s="131">
        <v>0</v>
      </c>
      <c r="W21" s="131">
        <v>0</v>
      </c>
      <c r="X21" s="131">
        <v>0</v>
      </c>
      <c r="Y21" s="131">
        <v>0</v>
      </c>
      <c r="Z21" s="131">
        <v>0</v>
      </c>
      <c r="AA21" s="131">
        <v>0</v>
      </c>
      <c r="AB21" s="131">
        <v>0</v>
      </c>
      <c r="AC21" s="131">
        <v>0</v>
      </c>
      <c r="AD21" s="131">
        <v>0</v>
      </c>
      <c r="AE21" s="131">
        <v>0</v>
      </c>
      <c r="AF21" s="131">
        <v>0</v>
      </c>
    </row>
    <row r="22" spans="1:42" x14ac:dyDescent="0.25">
      <c r="A22" s="170"/>
      <c r="B22" s="170"/>
      <c r="C22" s="168" t="s">
        <v>268</v>
      </c>
      <c r="E22" s="130"/>
      <c r="F22" s="130"/>
      <c r="G22" s="174" t="s">
        <v>268</v>
      </c>
      <c r="H22" s="131">
        <v>18821</v>
      </c>
      <c r="I22" s="131">
        <v>18876</v>
      </c>
      <c r="J22" s="131">
        <v>7995</v>
      </c>
      <c r="K22" s="131">
        <v>19358</v>
      </c>
      <c r="L22" s="131">
        <v>20826</v>
      </c>
      <c r="M22" s="131">
        <v>43505</v>
      </c>
      <c r="N22" s="131">
        <v>24333</v>
      </c>
      <c r="O22" s="131">
        <v>39627</v>
      </c>
      <c r="P22" s="131">
        <v>138064</v>
      </c>
      <c r="Q22" s="131">
        <v>152677</v>
      </c>
      <c r="R22" s="131">
        <v>162962</v>
      </c>
      <c r="S22" s="131">
        <v>286715</v>
      </c>
      <c r="T22" s="131">
        <v>495110</v>
      </c>
      <c r="U22" s="131">
        <v>365157</v>
      </c>
      <c r="V22" s="131">
        <v>257693</v>
      </c>
      <c r="W22" s="131">
        <v>485144</v>
      </c>
      <c r="X22" s="131">
        <v>458192</v>
      </c>
      <c r="Y22" s="131">
        <v>68331</v>
      </c>
      <c r="Z22" s="131">
        <v>81833</v>
      </c>
      <c r="AA22" s="131">
        <v>141995</v>
      </c>
      <c r="AB22" s="131">
        <v>419595</v>
      </c>
      <c r="AC22" s="131">
        <v>691611</v>
      </c>
      <c r="AD22" s="131">
        <v>412444</v>
      </c>
      <c r="AE22" s="131">
        <v>631223</v>
      </c>
      <c r="AF22" s="131">
        <v>684672</v>
      </c>
    </row>
    <row r="23" spans="1:42" x14ac:dyDescent="0.25">
      <c r="A23" s="170"/>
      <c r="B23" s="170"/>
      <c r="C23" s="168" t="s">
        <v>666</v>
      </c>
      <c r="E23" s="130"/>
      <c r="F23" s="130"/>
      <c r="G23" s="174" t="s">
        <v>666</v>
      </c>
      <c r="H23" s="131">
        <v>0</v>
      </c>
      <c r="I23" s="131">
        <v>0</v>
      </c>
      <c r="J23" s="131">
        <v>0</v>
      </c>
      <c r="K23" s="131">
        <v>0</v>
      </c>
      <c r="L23" s="131">
        <v>0</v>
      </c>
      <c r="M23" s="131">
        <v>0</v>
      </c>
      <c r="N23" s="131">
        <v>0</v>
      </c>
      <c r="O23" s="131">
        <v>0</v>
      </c>
      <c r="P23" s="131">
        <v>0</v>
      </c>
      <c r="Q23" s="131">
        <v>0</v>
      </c>
      <c r="R23" s="131">
        <v>0</v>
      </c>
      <c r="S23" s="131">
        <v>0</v>
      </c>
      <c r="T23" s="131">
        <v>0</v>
      </c>
      <c r="U23" s="131">
        <v>0</v>
      </c>
      <c r="V23" s="131">
        <v>229264</v>
      </c>
      <c r="W23" s="131">
        <v>223209</v>
      </c>
      <c r="X23" s="131">
        <v>217376</v>
      </c>
      <c r="Y23" s="131">
        <v>168376</v>
      </c>
      <c r="Z23" s="131">
        <v>147499</v>
      </c>
      <c r="AA23" s="131">
        <v>191566</v>
      </c>
      <c r="AB23" s="131">
        <v>0</v>
      </c>
      <c r="AC23" s="131">
        <v>0</v>
      </c>
      <c r="AD23" s="131">
        <v>121787</v>
      </c>
      <c r="AE23" s="131">
        <v>167601</v>
      </c>
      <c r="AF23" s="131">
        <v>158979</v>
      </c>
      <c r="AG23" s="8"/>
    </row>
    <row r="24" spans="1:42" x14ac:dyDescent="0.25">
      <c r="A24" s="171"/>
      <c r="B24" s="170" t="s">
        <v>271</v>
      </c>
      <c r="C24" s="170"/>
      <c r="E24" s="130"/>
      <c r="F24" s="130" t="s">
        <v>271</v>
      </c>
      <c r="G24" s="130"/>
      <c r="H24" s="131">
        <v>61738707</v>
      </c>
      <c r="I24" s="131">
        <v>52341397</v>
      </c>
      <c r="J24" s="131">
        <v>60294330</v>
      </c>
      <c r="K24" s="131">
        <v>48974150</v>
      </c>
      <c r="L24" s="131">
        <v>47960882</v>
      </c>
      <c r="M24" s="131">
        <v>55111796</v>
      </c>
      <c r="N24" s="131">
        <v>61698002</v>
      </c>
      <c r="O24" s="131">
        <v>55596993</v>
      </c>
      <c r="P24" s="131">
        <v>52460662</v>
      </c>
      <c r="Q24" s="131">
        <v>53005031</v>
      </c>
      <c r="R24" s="131">
        <v>61522515</v>
      </c>
      <c r="S24" s="131">
        <v>57447328</v>
      </c>
      <c r="T24" s="131">
        <v>49833532</v>
      </c>
      <c r="U24" s="131">
        <v>60981358</v>
      </c>
      <c r="V24" s="131">
        <v>75666196</v>
      </c>
      <c r="W24" s="131">
        <v>63699045</v>
      </c>
      <c r="X24" s="131">
        <v>62370810</v>
      </c>
      <c r="Y24" s="131">
        <v>57874190</v>
      </c>
      <c r="Z24" s="131">
        <v>61309023</v>
      </c>
      <c r="AA24" s="131">
        <v>60569006</v>
      </c>
      <c r="AB24" s="131">
        <v>57026294</v>
      </c>
      <c r="AC24" s="131">
        <v>68075036</v>
      </c>
      <c r="AD24" s="131">
        <v>68764708</v>
      </c>
      <c r="AE24" s="131">
        <v>62384191</v>
      </c>
      <c r="AF24" s="131">
        <v>71380368</v>
      </c>
    </row>
    <row r="25" spans="1:42" x14ac:dyDescent="0.25">
      <c r="A25" s="170" t="s">
        <v>251</v>
      </c>
      <c r="B25" s="170" t="s">
        <v>272</v>
      </c>
      <c r="C25" s="168" t="s">
        <v>3</v>
      </c>
      <c r="E25" s="130" t="s">
        <v>251</v>
      </c>
      <c r="F25" s="130" t="s">
        <v>272</v>
      </c>
      <c r="G25" s="174" t="s">
        <v>3</v>
      </c>
      <c r="H25" s="131">
        <v>230</v>
      </c>
      <c r="I25" s="131">
        <v>998</v>
      </c>
      <c r="J25" s="131">
        <v>102</v>
      </c>
      <c r="K25" s="131">
        <v>495</v>
      </c>
      <c r="L25" s="131">
        <v>322</v>
      </c>
      <c r="M25" s="131">
        <v>690</v>
      </c>
      <c r="N25" s="131">
        <v>489</v>
      </c>
      <c r="O25" s="131">
        <v>418</v>
      </c>
      <c r="P25" s="131">
        <v>625</v>
      </c>
      <c r="Q25" s="131">
        <v>1068</v>
      </c>
      <c r="R25" s="131">
        <v>626</v>
      </c>
      <c r="S25" s="131">
        <v>1089</v>
      </c>
      <c r="T25" s="131">
        <v>2324</v>
      </c>
      <c r="U25" s="131">
        <v>1374</v>
      </c>
      <c r="V25" s="131">
        <v>1316</v>
      </c>
      <c r="W25" s="131">
        <v>201</v>
      </c>
      <c r="X25" s="131">
        <v>411</v>
      </c>
      <c r="Y25" s="131">
        <v>179</v>
      </c>
      <c r="Z25" s="131">
        <v>1553</v>
      </c>
      <c r="AA25" s="131">
        <v>2354</v>
      </c>
      <c r="AB25" s="131">
        <v>293</v>
      </c>
      <c r="AC25" s="131">
        <v>314</v>
      </c>
      <c r="AD25" s="131">
        <v>186</v>
      </c>
      <c r="AE25" s="131">
        <v>538</v>
      </c>
      <c r="AF25" s="131">
        <v>88</v>
      </c>
    </row>
    <row r="26" spans="1:42" x14ac:dyDescent="0.25">
      <c r="A26" s="170"/>
      <c r="B26" s="170"/>
      <c r="C26" s="168" t="s">
        <v>258</v>
      </c>
      <c r="E26" s="130"/>
      <c r="F26" s="130"/>
      <c r="G26" s="174" t="s">
        <v>258</v>
      </c>
      <c r="H26" s="131">
        <v>0</v>
      </c>
      <c r="I26" s="131">
        <v>0</v>
      </c>
      <c r="J26" s="131">
        <v>0</v>
      </c>
      <c r="K26" s="131">
        <v>0</v>
      </c>
      <c r="L26" s="131">
        <v>0</v>
      </c>
      <c r="M26" s="131">
        <v>0</v>
      </c>
      <c r="N26" s="131">
        <v>0</v>
      </c>
      <c r="O26" s="131">
        <v>0</v>
      </c>
      <c r="P26" s="131">
        <v>0</v>
      </c>
      <c r="Q26" s="131">
        <v>12</v>
      </c>
      <c r="R26" s="131">
        <v>0</v>
      </c>
      <c r="S26" s="131">
        <v>0</v>
      </c>
      <c r="T26" s="131">
        <v>0</v>
      </c>
      <c r="U26" s="131">
        <v>0</v>
      </c>
      <c r="V26" s="131">
        <v>0</v>
      </c>
      <c r="W26" s="131">
        <v>0</v>
      </c>
      <c r="X26" s="131">
        <v>21</v>
      </c>
      <c r="Y26" s="131">
        <v>0</v>
      </c>
      <c r="Z26" s="131">
        <v>0</v>
      </c>
      <c r="AA26" s="131">
        <v>5</v>
      </c>
      <c r="AB26" s="131">
        <v>0</v>
      </c>
      <c r="AC26" s="131">
        <v>0</v>
      </c>
      <c r="AD26" s="131">
        <v>0</v>
      </c>
      <c r="AE26" s="131">
        <v>10</v>
      </c>
      <c r="AF26" s="131">
        <v>0</v>
      </c>
    </row>
    <row r="27" spans="1:42" x14ac:dyDescent="0.25">
      <c r="A27" s="170"/>
      <c r="B27" s="170"/>
      <c r="C27" s="168" t="s">
        <v>259</v>
      </c>
      <c r="E27" s="130"/>
      <c r="F27" s="130"/>
      <c r="G27" s="174" t="s">
        <v>259</v>
      </c>
      <c r="H27" s="131">
        <v>129</v>
      </c>
      <c r="I27" s="131">
        <v>185</v>
      </c>
      <c r="J27" s="131">
        <v>213</v>
      </c>
      <c r="K27" s="131">
        <v>100</v>
      </c>
      <c r="L27" s="131">
        <v>158</v>
      </c>
      <c r="M27" s="131">
        <v>311</v>
      </c>
      <c r="N27" s="131">
        <v>306</v>
      </c>
      <c r="O27" s="131">
        <v>214</v>
      </c>
      <c r="P27" s="131">
        <v>562</v>
      </c>
      <c r="Q27" s="131">
        <v>870</v>
      </c>
      <c r="R27" s="131">
        <v>1053</v>
      </c>
      <c r="S27" s="131">
        <v>1046</v>
      </c>
      <c r="T27" s="131">
        <v>18</v>
      </c>
      <c r="U27" s="131">
        <v>219</v>
      </c>
      <c r="V27" s="131">
        <v>132</v>
      </c>
      <c r="W27" s="131">
        <v>106</v>
      </c>
      <c r="X27" s="131">
        <v>613</v>
      </c>
      <c r="Y27" s="131">
        <v>499</v>
      </c>
      <c r="Z27" s="131">
        <v>749</v>
      </c>
      <c r="AA27" s="131">
        <v>611</v>
      </c>
      <c r="AB27" s="131">
        <v>1882</v>
      </c>
      <c r="AC27" s="131">
        <v>1958</v>
      </c>
      <c r="AD27" s="131">
        <v>2339</v>
      </c>
      <c r="AE27" s="131">
        <v>2053</v>
      </c>
      <c r="AF27" s="131">
        <v>2377</v>
      </c>
    </row>
    <row r="28" spans="1:42" x14ac:dyDescent="0.25">
      <c r="A28" s="170"/>
      <c r="B28" s="170"/>
      <c r="C28" s="168" t="s">
        <v>4</v>
      </c>
      <c r="E28" s="130"/>
      <c r="F28" s="130"/>
      <c r="G28" s="174" t="s">
        <v>4</v>
      </c>
      <c r="H28" s="131">
        <v>0</v>
      </c>
      <c r="I28" s="131">
        <v>703</v>
      </c>
      <c r="J28" s="131">
        <v>123</v>
      </c>
      <c r="K28" s="131">
        <v>122</v>
      </c>
      <c r="L28" s="131">
        <v>194</v>
      </c>
      <c r="M28" s="131">
        <v>841</v>
      </c>
      <c r="N28" s="131">
        <v>677</v>
      </c>
      <c r="O28" s="131">
        <v>331</v>
      </c>
      <c r="P28" s="131">
        <v>128</v>
      </c>
      <c r="Q28" s="131">
        <v>1205</v>
      </c>
      <c r="R28" s="131">
        <v>401</v>
      </c>
      <c r="S28" s="131">
        <v>1794</v>
      </c>
      <c r="T28" s="131">
        <v>1564</v>
      </c>
      <c r="U28" s="131">
        <v>2099</v>
      </c>
      <c r="V28" s="131">
        <v>2409</v>
      </c>
      <c r="W28" s="131">
        <v>2</v>
      </c>
      <c r="X28" s="131">
        <v>2173</v>
      </c>
      <c r="Y28" s="131">
        <v>4738</v>
      </c>
      <c r="Z28" s="131">
        <v>1354</v>
      </c>
      <c r="AA28" s="131">
        <v>362</v>
      </c>
      <c r="AB28" s="131">
        <v>0</v>
      </c>
      <c r="AC28" s="131">
        <v>6892</v>
      </c>
      <c r="AD28" s="131">
        <v>369</v>
      </c>
      <c r="AE28" s="131">
        <v>1747</v>
      </c>
      <c r="AF28" s="131">
        <v>2958</v>
      </c>
    </row>
    <row r="29" spans="1:42" x14ac:dyDescent="0.25">
      <c r="A29" s="170"/>
      <c r="B29" s="170"/>
      <c r="C29" s="168" t="s">
        <v>267</v>
      </c>
      <c r="E29" s="130"/>
      <c r="F29" s="130"/>
      <c r="G29" s="174" t="s">
        <v>267</v>
      </c>
      <c r="H29" s="131">
        <v>351</v>
      </c>
      <c r="I29" s="131">
        <v>388</v>
      </c>
      <c r="J29" s="131">
        <v>415</v>
      </c>
      <c r="K29" s="131">
        <v>39</v>
      </c>
      <c r="L29" s="131">
        <v>86</v>
      </c>
      <c r="M29" s="131">
        <v>113</v>
      </c>
      <c r="N29" s="131">
        <v>80</v>
      </c>
      <c r="O29" s="131">
        <v>75</v>
      </c>
      <c r="P29" s="131">
        <v>133</v>
      </c>
      <c r="Q29" s="131">
        <v>84</v>
      </c>
      <c r="R29" s="131">
        <v>87</v>
      </c>
      <c r="S29" s="131">
        <v>201</v>
      </c>
      <c r="T29" s="131">
        <v>0</v>
      </c>
      <c r="U29" s="131">
        <v>0</v>
      </c>
      <c r="V29" s="131">
        <v>0</v>
      </c>
      <c r="W29" s="131">
        <v>0</v>
      </c>
      <c r="X29" s="131">
        <v>1500</v>
      </c>
      <c r="Y29" s="131">
        <v>1314</v>
      </c>
      <c r="Z29" s="131">
        <v>1892</v>
      </c>
      <c r="AA29" s="131">
        <v>1509</v>
      </c>
      <c r="AB29" s="131">
        <v>5053</v>
      </c>
      <c r="AC29" s="131">
        <v>6402</v>
      </c>
      <c r="AD29" s="131">
        <v>6538</v>
      </c>
      <c r="AE29" s="131">
        <v>5755</v>
      </c>
      <c r="AF29" s="131">
        <v>10466</v>
      </c>
    </row>
    <row r="30" spans="1:42" x14ac:dyDescent="0.25">
      <c r="A30" s="170"/>
      <c r="B30" s="170" t="s">
        <v>273</v>
      </c>
      <c r="C30" s="170"/>
      <c r="E30" s="130"/>
      <c r="F30" s="130" t="s">
        <v>273</v>
      </c>
      <c r="G30" s="130"/>
      <c r="H30" s="131">
        <v>710</v>
      </c>
      <c r="I30" s="131">
        <v>2274</v>
      </c>
      <c r="J30" s="131">
        <v>853</v>
      </c>
      <c r="K30" s="131">
        <v>756</v>
      </c>
      <c r="L30" s="131">
        <v>760</v>
      </c>
      <c r="M30" s="131">
        <v>1955</v>
      </c>
      <c r="N30" s="131">
        <v>1552</v>
      </c>
      <c r="O30" s="131">
        <v>1038</v>
      </c>
      <c r="P30" s="131">
        <v>1448</v>
      </c>
      <c r="Q30" s="131">
        <v>3239</v>
      </c>
      <c r="R30" s="131">
        <v>2167</v>
      </c>
      <c r="S30" s="131">
        <v>4130</v>
      </c>
      <c r="T30" s="131">
        <v>3906</v>
      </c>
      <c r="U30" s="131">
        <v>3692</v>
      </c>
      <c r="V30" s="131">
        <v>3857</v>
      </c>
      <c r="W30" s="131">
        <v>309</v>
      </c>
      <c r="X30" s="131">
        <v>4718</v>
      </c>
      <c r="Y30" s="131">
        <v>6730</v>
      </c>
      <c r="Z30" s="131">
        <v>5548</v>
      </c>
      <c r="AA30" s="131">
        <v>4841</v>
      </c>
      <c r="AB30" s="131">
        <v>7228</v>
      </c>
      <c r="AC30" s="131">
        <v>15566</v>
      </c>
      <c r="AD30" s="131">
        <v>9432</v>
      </c>
      <c r="AE30" s="131">
        <v>10103</v>
      </c>
      <c r="AF30" s="131">
        <v>15889</v>
      </c>
    </row>
    <row r="31" spans="1:42" x14ac:dyDescent="0.25">
      <c r="A31" s="170"/>
      <c r="B31" s="170" t="s">
        <v>270</v>
      </c>
      <c r="C31" s="168" t="s">
        <v>256</v>
      </c>
      <c r="E31" s="130"/>
      <c r="F31" s="130" t="s">
        <v>270</v>
      </c>
      <c r="G31" s="174" t="s">
        <v>256</v>
      </c>
      <c r="H31" s="131">
        <v>0</v>
      </c>
      <c r="I31" s="131">
        <v>0</v>
      </c>
      <c r="J31" s="131">
        <v>1655</v>
      </c>
      <c r="K31" s="131">
        <v>2486</v>
      </c>
      <c r="L31" s="131">
        <v>1673</v>
      </c>
      <c r="M31" s="131">
        <v>2277</v>
      </c>
      <c r="N31" s="131">
        <v>2237</v>
      </c>
      <c r="O31" s="131">
        <v>2478</v>
      </c>
      <c r="P31" s="131">
        <v>876</v>
      </c>
      <c r="Q31" s="131">
        <v>1337</v>
      </c>
      <c r="R31" s="131">
        <v>1512</v>
      </c>
      <c r="S31" s="131">
        <v>1801</v>
      </c>
      <c r="T31" s="131">
        <v>1629</v>
      </c>
      <c r="U31" s="131">
        <v>1786</v>
      </c>
      <c r="V31" s="131">
        <v>1863</v>
      </c>
      <c r="W31" s="131">
        <v>2371</v>
      </c>
      <c r="X31" s="131">
        <v>2256</v>
      </c>
      <c r="Y31" s="131">
        <v>2410</v>
      </c>
      <c r="Z31" s="131">
        <v>3097</v>
      </c>
      <c r="AA31" s="131">
        <v>3312</v>
      </c>
      <c r="AB31" s="131">
        <v>3226</v>
      </c>
      <c r="AC31" s="131">
        <v>4234</v>
      </c>
      <c r="AD31" s="131">
        <v>9407</v>
      </c>
      <c r="AE31" s="131">
        <v>11336</v>
      </c>
      <c r="AF31" s="131">
        <v>11491</v>
      </c>
    </row>
    <row r="32" spans="1:42" x14ac:dyDescent="0.25">
      <c r="A32" s="170"/>
      <c r="B32" s="170"/>
      <c r="C32" s="168" t="s">
        <v>257</v>
      </c>
      <c r="E32" s="130"/>
      <c r="F32" s="130"/>
      <c r="G32" s="174" t="s">
        <v>257</v>
      </c>
      <c r="H32" s="131">
        <v>474</v>
      </c>
      <c r="I32" s="131">
        <v>315</v>
      </c>
      <c r="J32" s="131">
        <v>379</v>
      </c>
      <c r="K32" s="131">
        <v>357</v>
      </c>
      <c r="L32" s="131">
        <v>383</v>
      </c>
      <c r="M32" s="131">
        <v>442</v>
      </c>
      <c r="N32" s="131">
        <v>397</v>
      </c>
      <c r="O32" s="131">
        <v>129</v>
      </c>
      <c r="P32" s="131">
        <v>327</v>
      </c>
      <c r="Q32" s="131">
        <v>433</v>
      </c>
      <c r="R32" s="131">
        <v>409</v>
      </c>
      <c r="S32" s="131">
        <v>314</v>
      </c>
      <c r="T32" s="131">
        <v>276</v>
      </c>
      <c r="U32" s="131">
        <v>311</v>
      </c>
      <c r="V32" s="131">
        <v>226</v>
      </c>
      <c r="W32" s="131">
        <v>280</v>
      </c>
      <c r="X32" s="131">
        <v>219</v>
      </c>
      <c r="Y32" s="131">
        <v>241</v>
      </c>
      <c r="Z32" s="131">
        <v>360</v>
      </c>
      <c r="AA32" s="131">
        <v>312</v>
      </c>
      <c r="AB32" s="131">
        <v>0</v>
      </c>
      <c r="AC32" s="131">
        <v>0</v>
      </c>
      <c r="AD32" s="131">
        <v>0</v>
      </c>
      <c r="AE32" s="131">
        <v>0</v>
      </c>
      <c r="AF32" s="131">
        <v>0</v>
      </c>
    </row>
    <row r="33" spans="1:39" x14ac:dyDescent="0.25">
      <c r="A33" s="170"/>
      <c r="B33" s="170"/>
      <c r="C33" s="168" t="s">
        <v>7</v>
      </c>
      <c r="E33" s="130"/>
      <c r="F33" s="130"/>
      <c r="G33" s="174" t="s">
        <v>7</v>
      </c>
      <c r="H33" s="131">
        <v>58529</v>
      </c>
      <c r="I33" s="131">
        <v>65175</v>
      </c>
      <c r="J33" s="131">
        <v>76526</v>
      </c>
      <c r="K33" s="131">
        <v>69420</v>
      </c>
      <c r="L33" s="131">
        <v>57466</v>
      </c>
      <c r="M33" s="131">
        <v>83384</v>
      </c>
      <c r="N33" s="131">
        <v>92219</v>
      </c>
      <c r="O33" s="131">
        <v>88392</v>
      </c>
      <c r="P33" s="131">
        <v>73382</v>
      </c>
      <c r="Q33" s="131">
        <v>88804</v>
      </c>
      <c r="R33" s="131">
        <v>101480</v>
      </c>
      <c r="S33" s="131">
        <v>91173</v>
      </c>
      <c r="T33" s="131">
        <v>83643</v>
      </c>
      <c r="U33" s="131">
        <v>121921</v>
      </c>
      <c r="V33" s="131">
        <v>125305</v>
      </c>
      <c r="W33" s="131">
        <v>116165</v>
      </c>
      <c r="X33" s="131">
        <v>116635</v>
      </c>
      <c r="Y33" s="131">
        <v>112434</v>
      </c>
      <c r="Z33" s="131">
        <v>126284</v>
      </c>
      <c r="AA33" s="131">
        <v>126047</v>
      </c>
      <c r="AB33" s="131">
        <v>101684</v>
      </c>
      <c r="AC33" s="131">
        <v>141371</v>
      </c>
      <c r="AD33" s="131">
        <v>133174</v>
      </c>
      <c r="AE33" s="131">
        <v>132179</v>
      </c>
      <c r="AF33" s="131">
        <v>119080</v>
      </c>
    </row>
    <row r="34" spans="1:39" x14ac:dyDescent="0.25">
      <c r="A34" s="170"/>
      <c r="B34" s="170"/>
      <c r="C34" s="168" t="s">
        <v>255</v>
      </c>
      <c r="E34" s="130"/>
      <c r="F34" s="130"/>
      <c r="G34" s="174" t="s">
        <v>255</v>
      </c>
      <c r="H34" s="131">
        <v>0</v>
      </c>
      <c r="I34" s="131">
        <v>0</v>
      </c>
      <c r="J34" s="131">
        <v>0</v>
      </c>
      <c r="K34" s="131">
        <v>0</v>
      </c>
      <c r="L34" s="131">
        <v>0</v>
      </c>
      <c r="M34" s="131">
        <v>0</v>
      </c>
      <c r="N34" s="131">
        <v>0</v>
      </c>
      <c r="O34" s="131">
        <v>2863</v>
      </c>
      <c r="P34" s="131">
        <v>1967</v>
      </c>
      <c r="Q34" s="131">
        <v>1637</v>
      </c>
      <c r="R34" s="131">
        <v>1800</v>
      </c>
      <c r="S34" s="131">
        <v>4035</v>
      </c>
      <c r="T34" s="131">
        <v>907</v>
      </c>
      <c r="U34" s="131">
        <v>3104</v>
      </c>
      <c r="V34" s="131">
        <v>98814</v>
      </c>
      <c r="W34" s="131">
        <v>38390</v>
      </c>
      <c r="X34" s="131">
        <v>64363</v>
      </c>
      <c r="Y34" s="131">
        <v>53776</v>
      </c>
      <c r="Z34" s="131">
        <v>1167</v>
      </c>
      <c r="AA34" s="131">
        <v>29176</v>
      </c>
      <c r="AB34" s="131">
        <v>43742</v>
      </c>
      <c r="AC34" s="131">
        <v>41123</v>
      </c>
      <c r="AD34" s="131">
        <v>20090</v>
      </c>
      <c r="AE34" s="131">
        <v>27789</v>
      </c>
      <c r="AF34" s="131">
        <v>94596</v>
      </c>
    </row>
    <row r="35" spans="1:39" x14ac:dyDescent="0.25">
      <c r="A35" s="170"/>
      <c r="B35" s="170"/>
      <c r="C35" s="168" t="s">
        <v>775</v>
      </c>
      <c r="E35" s="130"/>
      <c r="F35" s="130"/>
      <c r="G35" s="174" t="s">
        <v>775</v>
      </c>
      <c r="H35" s="131">
        <v>0</v>
      </c>
      <c r="I35" s="131">
        <v>0</v>
      </c>
      <c r="J35" s="131">
        <v>0</v>
      </c>
      <c r="K35" s="131">
        <v>0</v>
      </c>
      <c r="L35" s="131">
        <v>0</v>
      </c>
      <c r="M35" s="131">
        <v>0</v>
      </c>
      <c r="N35" s="131">
        <v>0</v>
      </c>
      <c r="O35" s="131">
        <v>0</v>
      </c>
      <c r="P35" s="131">
        <v>4288</v>
      </c>
      <c r="Q35" s="131">
        <v>4206</v>
      </c>
      <c r="R35" s="131">
        <v>4382</v>
      </c>
      <c r="S35" s="131">
        <v>4313</v>
      </c>
      <c r="T35" s="131">
        <v>4662</v>
      </c>
      <c r="U35" s="131">
        <v>4756</v>
      </c>
      <c r="V35" s="131">
        <v>5787</v>
      </c>
      <c r="W35" s="131">
        <v>6098</v>
      </c>
      <c r="X35" s="131">
        <v>6390</v>
      </c>
      <c r="Y35" s="131">
        <v>6453</v>
      </c>
      <c r="Z35" s="131">
        <v>7824</v>
      </c>
      <c r="AA35" s="131">
        <v>8573</v>
      </c>
      <c r="AB35" s="131">
        <v>18263</v>
      </c>
      <c r="AC35" s="131">
        <v>28302</v>
      </c>
      <c r="AD35" s="131">
        <v>32541</v>
      </c>
      <c r="AE35" s="131">
        <v>36201</v>
      </c>
      <c r="AF35" s="131">
        <v>38120</v>
      </c>
    </row>
    <row r="36" spans="1:39" x14ac:dyDescent="0.25">
      <c r="A36" s="170"/>
      <c r="B36" s="170"/>
      <c r="C36" s="168" t="s">
        <v>261</v>
      </c>
      <c r="E36" s="130"/>
      <c r="F36" s="130"/>
      <c r="G36" s="174" t="s">
        <v>261</v>
      </c>
      <c r="H36" s="131">
        <v>321</v>
      </c>
      <c r="I36" s="131">
        <v>500</v>
      </c>
      <c r="J36" s="131">
        <v>684</v>
      </c>
      <c r="K36" s="131">
        <v>640</v>
      </c>
      <c r="L36" s="131">
        <v>649</v>
      </c>
      <c r="M36" s="131">
        <v>822</v>
      </c>
      <c r="N36" s="131">
        <v>1095</v>
      </c>
      <c r="O36" s="131">
        <v>946</v>
      </c>
      <c r="P36" s="131">
        <v>539</v>
      </c>
      <c r="Q36" s="131">
        <v>761</v>
      </c>
      <c r="R36" s="131">
        <v>968</v>
      </c>
      <c r="S36" s="131">
        <v>1214</v>
      </c>
      <c r="T36" s="131">
        <v>1187</v>
      </c>
      <c r="U36" s="131">
        <v>1500</v>
      </c>
      <c r="V36" s="131">
        <v>1965</v>
      </c>
      <c r="W36" s="131">
        <v>1940</v>
      </c>
      <c r="X36" s="131">
        <v>1529</v>
      </c>
      <c r="Y36" s="131">
        <v>1032</v>
      </c>
      <c r="Z36" s="131">
        <v>1952</v>
      </c>
      <c r="AA36" s="131">
        <v>1818</v>
      </c>
      <c r="AB36" s="131">
        <v>1901</v>
      </c>
      <c r="AC36" s="131">
        <v>2687</v>
      </c>
      <c r="AD36" s="131">
        <v>5360</v>
      </c>
      <c r="AE36" s="131">
        <v>5630</v>
      </c>
      <c r="AF36" s="131">
        <v>5423</v>
      </c>
      <c r="AG36" s="131" cm="1">
        <f t="array" ref="AG36">TREND(Y36:AF36,Y3:AF3,AG3)</f>
        <v>6459.5675351850223</v>
      </c>
      <c r="AH36" s="131" cm="1">
        <f t="array" ref="AH36">TREND(Z36:AG36,Z3:AG3,AH3)</f>
        <v>7293.6578179606004</v>
      </c>
      <c r="AI36" s="131" cm="1">
        <f t="array" ref="AI36">TREND(AA36:AH36,AA3:AH3,AI3)</f>
        <v>8303.3495078086271</v>
      </c>
      <c r="AJ36" s="131" cm="1">
        <f t="array" ref="AJ36">TREND(AB36:AI36,AB3:AI3,AJ3)</f>
        <v>9191.9194613869768</v>
      </c>
      <c r="AK36" s="131" cm="1">
        <f t="array" ref="AK36">TREND(AC36:AJ36,AC3:AJ3,AK3)</f>
        <v>9836.3624916571425</v>
      </c>
      <c r="AL36" s="131" cm="1">
        <f t="array" ref="AL36">TREND(AD36:AK36,AD3:AK3,AL3)</f>
        <v>10320.892223680799</v>
      </c>
      <c r="AM36" s="131" cm="1">
        <f t="array" ref="AM36">TREND(AE36:AL36,AE3:AL3,AM3)</f>
        <v>11246.055506150355</v>
      </c>
    </row>
    <row r="37" spans="1:39" x14ac:dyDescent="0.25">
      <c r="A37" s="170"/>
      <c r="B37" s="170"/>
      <c r="C37" s="168" t="s">
        <v>564</v>
      </c>
      <c r="E37" s="130"/>
      <c r="F37" s="130"/>
      <c r="G37" s="174" t="s">
        <v>777</v>
      </c>
      <c r="H37" s="131">
        <v>8573</v>
      </c>
      <c r="I37" s="131">
        <v>8574</v>
      </c>
      <c r="J37" s="131">
        <v>8573</v>
      </c>
      <c r="K37" s="131">
        <v>8574</v>
      </c>
      <c r="L37" s="131">
        <v>10301</v>
      </c>
      <c r="M37" s="131">
        <v>10301</v>
      </c>
      <c r="N37" s="131">
        <v>10301</v>
      </c>
      <c r="O37" s="131">
        <v>10301</v>
      </c>
      <c r="P37" s="131">
        <v>14222</v>
      </c>
      <c r="Q37" s="131">
        <v>14222</v>
      </c>
      <c r="R37" s="131">
        <v>14223</v>
      </c>
      <c r="S37" s="131">
        <v>14223</v>
      </c>
      <c r="T37" s="131">
        <v>18317</v>
      </c>
      <c r="U37" s="131">
        <v>18317</v>
      </c>
      <c r="V37" s="131">
        <v>18318</v>
      </c>
      <c r="W37" s="131">
        <v>18318</v>
      </c>
      <c r="X37" s="131">
        <v>24872</v>
      </c>
      <c r="Y37" s="131">
        <v>24872</v>
      </c>
      <c r="Z37" s="131">
        <v>24872</v>
      </c>
      <c r="AA37" s="131">
        <v>24872</v>
      </c>
      <c r="AB37" s="131">
        <v>32995.5</v>
      </c>
      <c r="AC37" s="131">
        <v>32995.5</v>
      </c>
      <c r="AD37" s="131">
        <v>39353</v>
      </c>
      <c r="AE37" s="131">
        <v>39352</v>
      </c>
      <c r="AF37" s="131">
        <v>0</v>
      </c>
    </row>
    <row r="38" spans="1:39" x14ac:dyDescent="0.25">
      <c r="A38" s="170"/>
      <c r="B38" s="170"/>
      <c r="C38" s="168" t="s">
        <v>262</v>
      </c>
      <c r="E38" s="130"/>
      <c r="F38" s="130"/>
      <c r="G38" s="174" t="s">
        <v>262</v>
      </c>
      <c r="H38" s="131">
        <v>35773</v>
      </c>
      <c r="I38" s="131">
        <v>40149</v>
      </c>
      <c r="J38" s="131">
        <v>37633</v>
      </c>
      <c r="K38" s="131">
        <v>37148</v>
      </c>
      <c r="L38" s="131">
        <v>35320</v>
      </c>
      <c r="M38" s="131">
        <v>41860</v>
      </c>
      <c r="N38" s="131">
        <v>33280</v>
      </c>
      <c r="O38" s="131">
        <v>32285</v>
      </c>
      <c r="P38" s="131">
        <v>30356</v>
      </c>
      <c r="Q38" s="131">
        <v>31671</v>
      </c>
      <c r="R38" s="131">
        <v>33147</v>
      </c>
      <c r="S38" s="131">
        <v>35201</v>
      </c>
      <c r="T38" s="131">
        <v>27189</v>
      </c>
      <c r="U38" s="131">
        <v>34844</v>
      </c>
      <c r="V38" s="131">
        <v>51580</v>
      </c>
      <c r="W38" s="131">
        <v>55045</v>
      </c>
      <c r="X38" s="131">
        <v>45329</v>
      </c>
      <c r="Y38" s="131">
        <v>47983</v>
      </c>
      <c r="Z38" s="131">
        <v>72658</v>
      </c>
      <c r="AA38" s="131">
        <v>98924</v>
      </c>
      <c r="AB38" s="131">
        <v>79497</v>
      </c>
      <c r="AC38" s="131">
        <v>120639</v>
      </c>
      <c r="AD38" s="131">
        <v>110420</v>
      </c>
      <c r="AE38" s="131">
        <v>98675</v>
      </c>
      <c r="AF38" s="131">
        <v>89264</v>
      </c>
    </row>
    <row r="39" spans="1:39" x14ac:dyDescent="0.25">
      <c r="A39" s="170"/>
      <c r="B39" s="170"/>
      <c r="C39" s="168" t="s">
        <v>263</v>
      </c>
      <c r="E39" s="130"/>
      <c r="F39" s="130"/>
      <c r="G39" s="174" t="s">
        <v>263</v>
      </c>
      <c r="H39" s="131">
        <v>2223</v>
      </c>
      <c r="I39" s="131">
        <v>0</v>
      </c>
      <c r="J39" s="131">
        <v>622</v>
      </c>
      <c r="K39" s="131">
        <v>0</v>
      </c>
      <c r="L39" s="131">
        <v>0</v>
      </c>
      <c r="M39" s="131">
        <v>0</v>
      </c>
      <c r="N39" s="131">
        <v>0</v>
      </c>
      <c r="O39" s="131">
        <v>0</v>
      </c>
      <c r="P39" s="131">
        <v>0</v>
      </c>
      <c r="Q39" s="131">
        <v>0</v>
      </c>
      <c r="R39" s="131">
        <v>0</v>
      </c>
      <c r="S39" s="131">
        <v>0</v>
      </c>
      <c r="T39" s="131">
        <v>0</v>
      </c>
      <c r="U39" s="131">
        <v>469</v>
      </c>
      <c r="V39" s="131">
        <v>0</v>
      </c>
      <c r="W39" s="131">
        <v>271</v>
      </c>
      <c r="X39" s="131">
        <v>0</v>
      </c>
      <c r="Y39" s="131">
        <v>98</v>
      </c>
      <c r="Z39" s="131">
        <v>0</v>
      </c>
      <c r="AA39" s="131">
        <v>0</v>
      </c>
      <c r="AB39" s="131">
        <v>0</v>
      </c>
      <c r="AC39" s="131">
        <v>0</v>
      </c>
      <c r="AD39" s="131">
        <v>0</v>
      </c>
      <c r="AE39" s="131">
        <v>0</v>
      </c>
      <c r="AF39" s="131">
        <v>0</v>
      </c>
    </row>
    <row r="40" spans="1:39" x14ac:dyDescent="0.25">
      <c r="A40" s="170"/>
      <c r="B40" s="170"/>
      <c r="C40" s="168" t="s">
        <v>264</v>
      </c>
      <c r="E40" s="130"/>
      <c r="F40" s="130"/>
      <c r="G40" s="174" t="s">
        <v>264</v>
      </c>
      <c r="H40" s="131">
        <v>40263</v>
      </c>
      <c r="I40" s="131">
        <v>40120</v>
      </c>
      <c r="J40" s="131">
        <v>51501</v>
      </c>
      <c r="K40" s="131">
        <v>36170</v>
      </c>
      <c r="L40" s="131">
        <v>44266</v>
      </c>
      <c r="M40" s="131">
        <v>52398</v>
      </c>
      <c r="N40" s="131">
        <v>47958</v>
      </c>
      <c r="O40" s="131">
        <v>70276</v>
      </c>
      <c r="P40" s="131">
        <v>68913</v>
      </c>
      <c r="Q40" s="131">
        <v>73362</v>
      </c>
      <c r="R40" s="131">
        <v>92640</v>
      </c>
      <c r="S40" s="131">
        <v>95805</v>
      </c>
      <c r="T40" s="131">
        <v>79909</v>
      </c>
      <c r="U40" s="131">
        <v>88120</v>
      </c>
      <c r="V40" s="131">
        <v>104296</v>
      </c>
      <c r="W40" s="131">
        <v>89853</v>
      </c>
      <c r="X40" s="131">
        <v>79069</v>
      </c>
      <c r="Y40" s="131">
        <v>59772</v>
      </c>
      <c r="Z40" s="131">
        <v>73079</v>
      </c>
      <c r="AA40" s="131">
        <v>29552</v>
      </c>
      <c r="AB40" s="131">
        <v>30850</v>
      </c>
      <c r="AC40" s="131">
        <v>30190</v>
      </c>
      <c r="AD40" s="131">
        <v>36688</v>
      </c>
      <c r="AE40" s="131">
        <v>34198</v>
      </c>
      <c r="AF40" s="131">
        <v>32146</v>
      </c>
    </row>
    <row r="41" spans="1:39" x14ac:dyDescent="0.25">
      <c r="A41" s="170"/>
      <c r="B41" s="170"/>
      <c r="C41" s="168" t="s">
        <v>265</v>
      </c>
      <c r="E41" s="130"/>
      <c r="F41" s="130"/>
      <c r="G41" s="174" t="s">
        <v>265</v>
      </c>
      <c r="H41" s="131">
        <v>60400</v>
      </c>
      <c r="I41" s="131">
        <v>42330</v>
      </c>
      <c r="J41" s="131">
        <v>51234</v>
      </c>
      <c r="K41" s="131">
        <v>38364</v>
      </c>
      <c r="L41" s="131">
        <v>41545</v>
      </c>
      <c r="M41" s="131">
        <v>36241</v>
      </c>
      <c r="N41" s="131">
        <v>65353</v>
      </c>
      <c r="O41" s="131">
        <v>39825</v>
      </c>
      <c r="P41" s="131">
        <v>21805</v>
      </c>
      <c r="Q41" s="131">
        <v>11729</v>
      </c>
      <c r="R41" s="131">
        <v>14563</v>
      </c>
      <c r="S41" s="131">
        <v>6624</v>
      </c>
      <c r="T41" s="131">
        <v>6067</v>
      </c>
      <c r="U41" s="131">
        <v>13083</v>
      </c>
      <c r="V41" s="131">
        <v>2282</v>
      </c>
      <c r="W41" s="131">
        <v>760</v>
      </c>
      <c r="X41" s="131">
        <v>19</v>
      </c>
      <c r="Y41" s="131">
        <v>788</v>
      </c>
      <c r="Z41" s="131">
        <v>70</v>
      </c>
      <c r="AA41" s="131">
        <v>0</v>
      </c>
      <c r="AB41" s="131">
        <v>0</v>
      </c>
      <c r="AC41" s="131">
        <v>0</v>
      </c>
      <c r="AD41" s="131">
        <v>0</v>
      </c>
      <c r="AE41" s="131">
        <v>0</v>
      </c>
      <c r="AF41" s="131">
        <v>0</v>
      </c>
    </row>
    <row r="42" spans="1:39" x14ac:dyDescent="0.25">
      <c r="A42" s="170"/>
      <c r="B42" s="170"/>
      <c r="C42" s="168" t="s">
        <v>266</v>
      </c>
      <c r="E42" s="130"/>
      <c r="F42" s="130"/>
      <c r="G42" s="174" t="s">
        <v>266</v>
      </c>
      <c r="H42" s="131">
        <v>61</v>
      </c>
      <c r="I42" s="131">
        <v>112</v>
      </c>
      <c r="J42" s="131">
        <v>346</v>
      </c>
      <c r="K42" s="131">
        <v>292</v>
      </c>
      <c r="L42" s="131">
        <v>308</v>
      </c>
      <c r="M42" s="131">
        <v>297</v>
      </c>
      <c r="N42" s="131">
        <v>327</v>
      </c>
      <c r="O42" s="131">
        <v>272</v>
      </c>
      <c r="P42" s="131">
        <v>472</v>
      </c>
      <c r="Q42" s="131">
        <v>514</v>
      </c>
      <c r="R42" s="131">
        <v>486</v>
      </c>
      <c r="S42" s="131">
        <v>387</v>
      </c>
      <c r="T42" s="131">
        <v>383</v>
      </c>
      <c r="U42" s="131">
        <v>399</v>
      </c>
      <c r="V42" s="131">
        <v>435</v>
      </c>
      <c r="W42" s="131">
        <v>325</v>
      </c>
      <c r="X42" s="131">
        <v>263</v>
      </c>
      <c r="Y42" s="131">
        <v>136</v>
      </c>
      <c r="Z42" s="131">
        <v>99</v>
      </c>
      <c r="AA42" s="131">
        <v>113</v>
      </c>
      <c r="AB42" s="131">
        <v>302</v>
      </c>
      <c r="AC42" s="131">
        <v>284</v>
      </c>
      <c r="AD42" s="131">
        <v>89</v>
      </c>
      <c r="AE42" s="131">
        <v>16</v>
      </c>
      <c r="AF42" s="131">
        <v>2</v>
      </c>
    </row>
    <row r="43" spans="1:39" x14ac:dyDescent="0.25">
      <c r="A43" s="170"/>
      <c r="B43" s="170"/>
      <c r="C43" s="168" t="s">
        <v>275</v>
      </c>
      <c r="E43" s="130"/>
      <c r="F43" s="130"/>
      <c r="G43" s="174" t="s">
        <v>275</v>
      </c>
      <c r="H43" s="131">
        <v>0</v>
      </c>
      <c r="I43" s="131">
        <v>0</v>
      </c>
      <c r="J43" s="131">
        <v>0</v>
      </c>
      <c r="K43" s="131">
        <v>0</v>
      </c>
      <c r="L43" s="131">
        <v>0</v>
      </c>
      <c r="M43" s="131">
        <v>0</v>
      </c>
      <c r="N43" s="131">
        <v>0</v>
      </c>
      <c r="O43" s="131">
        <v>0</v>
      </c>
      <c r="P43" s="131">
        <v>0</v>
      </c>
      <c r="Q43" s="131">
        <v>0</v>
      </c>
      <c r="R43" s="131">
        <v>0</v>
      </c>
      <c r="S43" s="131">
        <v>43</v>
      </c>
      <c r="T43" s="131">
        <v>10</v>
      </c>
      <c r="U43" s="131">
        <v>0</v>
      </c>
      <c r="V43" s="131">
        <v>0</v>
      </c>
      <c r="W43" s="131">
        <v>0</v>
      </c>
      <c r="X43" s="131">
        <v>0</v>
      </c>
      <c r="Y43" s="131">
        <v>0</v>
      </c>
      <c r="Z43" s="131">
        <v>0</v>
      </c>
      <c r="AA43" s="131">
        <v>0</v>
      </c>
      <c r="AB43" s="131">
        <v>0</v>
      </c>
      <c r="AC43" s="131">
        <v>0</v>
      </c>
      <c r="AD43" s="131">
        <v>0</v>
      </c>
      <c r="AE43" s="131">
        <v>0</v>
      </c>
      <c r="AF43" s="131">
        <v>0</v>
      </c>
    </row>
    <row r="44" spans="1:39" x14ac:dyDescent="0.25">
      <c r="A44" s="170"/>
      <c r="B44" s="170"/>
      <c r="C44" s="168" t="s">
        <v>268</v>
      </c>
      <c r="E44" s="130"/>
      <c r="F44" s="130"/>
      <c r="G44" s="174" t="s">
        <v>268</v>
      </c>
      <c r="H44" s="131">
        <v>28</v>
      </c>
      <c r="I44" s="131">
        <v>28</v>
      </c>
      <c r="J44" s="131">
        <v>13</v>
      </c>
      <c r="K44" s="131">
        <v>31</v>
      </c>
      <c r="L44" s="131">
        <v>32</v>
      </c>
      <c r="M44" s="131">
        <v>68</v>
      </c>
      <c r="N44" s="131">
        <v>38</v>
      </c>
      <c r="O44" s="131">
        <v>61</v>
      </c>
      <c r="P44" s="131">
        <v>199</v>
      </c>
      <c r="Q44" s="131">
        <v>218</v>
      </c>
      <c r="R44" s="131">
        <v>238</v>
      </c>
      <c r="S44" s="131">
        <v>535</v>
      </c>
      <c r="T44" s="131">
        <v>1219</v>
      </c>
      <c r="U44" s="131">
        <v>1385</v>
      </c>
      <c r="V44" s="131">
        <v>375</v>
      </c>
      <c r="W44" s="131">
        <v>700</v>
      </c>
      <c r="X44" s="131">
        <v>305</v>
      </c>
      <c r="Y44" s="131">
        <v>45</v>
      </c>
      <c r="Z44" s="131">
        <v>57</v>
      </c>
      <c r="AA44" s="131">
        <v>107</v>
      </c>
      <c r="AB44" s="131">
        <v>1319</v>
      </c>
      <c r="AC44" s="131">
        <v>1410</v>
      </c>
      <c r="AD44" s="131">
        <v>338</v>
      </c>
      <c r="AE44" s="131">
        <v>454</v>
      </c>
      <c r="AF44" s="131">
        <v>384</v>
      </c>
    </row>
    <row r="45" spans="1:39" x14ac:dyDescent="0.25">
      <c r="A45" s="170"/>
      <c r="B45" s="170"/>
      <c r="C45" s="168" t="s">
        <v>666</v>
      </c>
      <c r="E45" s="130"/>
      <c r="F45" s="130"/>
      <c r="G45" s="174" t="s">
        <v>666</v>
      </c>
      <c r="H45" s="131">
        <v>0</v>
      </c>
      <c r="I45" s="131">
        <v>0</v>
      </c>
      <c r="J45" s="131">
        <v>0</v>
      </c>
      <c r="K45" s="131">
        <v>0</v>
      </c>
      <c r="L45" s="131">
        <v>0</v>
      </c>
      <c r="M45" s="131">
        <v>0</v>
      </c>
      <c r="N45" s="131">
        <v>0</v>
      </c>
      <c r="O45" s="131">
        <v>0</v>
      </c>
      <c r="P45" s="131">
        <v>0</v>
      </c>
      <c r="Q45" s="131">
        <v>0</v>
      </c>
      <c r="R45" s="131">
        <v>0</v>
      </c>
      <c r="S45" s="131">
        <v>0</v>
      </c>
      <c r="T45" s="131">
        <v>0</v>
      </c>
      <c r="U45" s="131">
        <v>0</v>
      </c>
      <c r="V45" s="131">
        <v>1268</v>
      </c>
      <c r="W45" s="131">
        <v>1235</v>
      </c>
      <c r="X45" s="131">
        <v>1182</v>
      </c>
      <c r="Y45" s="131">
        <v>916</v>
      </c>
      <c r="Z45" s="131">
        <v>720</v>
      </c>
      <c r="AA45" s="131">
        <v>936</v>
      </c>
      <c r="AB45" s="131">
        <v>0</v>
      </c>
      <c r="AC45" s="131">
        <v>0</v>
      </c>
      <c r="AD45" s="131">
        <v>724</v>
      </c>
      <c r="AE45" s="131">
        <v>866</v>
      </c>
      <c r="AF45" s="131">
        <v>663</v>
      </c>
    </row>
    <row r="46" spans="1:39" x14ac:dyDescent="0.25">
      <c r="A46" s="171"/>
      <c r="B46" s="170" t="s">
        <v>271</v>
      </c>
      <c r="C46" s="170"/>
      <c r="E46" s="130"/>
      <c r="F46" s="130" t="s">
        <v>271</v>
      </c>
      <c r="G46" s="130"/>
      <c r="H46" s="131">
        <v>206645</v>
      </c>
      <c r="I46" s="131">
        <v>197303</v>
      </c>
      <c r="J46" s="131">
        <v>229166</v>
      </c>
      <c r="K46" s="131">
        <v>193482</v>
      </c>
      <c r="L46" s="131">
        <v>191943</v>
      </c>
      <c r="M46" s="131">
        <v>228090</v>
      </c>
      <c r="N46" s="131">
        <v>253205</v>
      </c>
      <c r="O46" s="131">
        <v>247828</v>
      </c>
      <c r="P46" s="131">
        <v>217346</v>
      </c>
      <c r="Q46" s="131">
        <v>228894</v>
      </c>
      <c r="R46" s="131">
        <v>265848</v>
      </c>
      <c r="S46" s="131">
        <v>255668</v>
      </c>
      <c r="T46" s="131">
        <v>225398</v>
      </c>
      <c r="U46" s="131">
        <v>289995</v>
      </c>
      <c r="V46" s="131">
        <v>412514</v>
      </c>
      <c r="W46" s="131">
        <v>331751</v>
      </c>
      <c r="X46" s="131">
        <v>342431</v>
      </c>
      <c r="Y46" s="131">
        <v>310956</v>
      </c>
      <c r="Z46" s="131">
        <v>312239</v>
      </c>
      <c r="AA46" s="131">
        <v>323742</v>
      </c>
      <c r="AB46" s="131">
        <v>313779.5</v>
      </c>
      <c r="AC46" s="131">
        <v>403235.5</v>
      </c>
      <c r="AD46" s="131">
        <v>388184</v>
      </c>
      <c r="AE46" s="131">
        <v>386696</v>
      </c>
      <c r="AF46" s="131">
        <v>391169</v>
      </c>
    </row>
    <row r="47" spans="1:39" x14ac:dyDescent="0.25">
      <c r="A47" s="170" t="s">
        <v>252</v>
      </c>
      <c r="B47" s="170" t="s">
        <v>272</v>
      </c>
      <c r="C47" s="168" t="s">
        <v>3</v>
      </c>
      <c r="E47" s="130" t="s">
        <v>252</v>
      </c>
      <c r="F47" s="130" t="s">
        <v>272</v>
      </c>
      <c r="G47" s="174" t="s">
        <v>3</v>
      </c>
      <c r="H47" s="131">
        <v>56065</v>
      </c>
      <c r="I47" s="131">
        <v>47111</v>
      </c>
      <c r="J47" s="131">
        <v>54209</v>
      </c>
      <c r="K47" s="131">
        <v>48337</v>
      </c>
      <c r="L47" s="131">
        <v>45529</v>
      </c>
      <c r="M47" s="131">
        <v>60739</v>
      </c>
      <c r="N47" s="131">
        <v>63246</v>
      </c>
      <c r="O47" s="131">
        <v>52953</v>
      </c>
      <c r="P47" s="131">
        <v>66852</v>
      </c>
      <c r="Q47" s="131">
        <v>76577</v>
      </c>
      <c r="R47" s="131">
        <v>85850</v>
      </c>
      <c r="S47" s="131">
        <v>71455</v>
      </c>
      <c r="T47" s="131">
        <v>83000</v>
      </c>
      <c r="U47" s="131">
        <v>79497</v>
      </c>
      <c r="V47" s="131">
        <v>89450</v>
      </c>
      <c r="W47" s="131">
        <v>85464</v>
      </c>
      <c r="X47" s="131">
        <v>87193</v>
      </c>
      <c r="Y47" s="131">
        <v>109990</v>
      </c>
      <c r="Z47" s="131">
        <v>106701</v>
      </c>
      <c r="AA47" s="131">
        <v>109403</v>
      </c>
      <c r="AB47" s="131">
        <v>136683</v>
      </c>
      <c r="AC47" s="131">
        <v>136860</v>
      </c>
      <c r="AD47" s="131">
        <v>149753</v>
      </c>
      <c r="AE47" s="131">
        <v>126085</v>
      </c>
      <c r="AF47" s="131">
        <v>184905</v>
      </c>
    </row>
    <row r="48" spans="1:39" x14ac:dyDescent="0.25">
      <c r="A48" s="170"/>
      <c r="B48" s="170"/>
      <c r="C48" s="168" t="s">
        <v>258</v>
      </c>
      <c r="E48" s="130"/>
      <c r="F48" s="130"/>
      <c r="G48" s="174" t="s">
        <v>258</v>
      </c>
      <c r="H48" s="131">
        <v>0</v>
      </c>
      <c r="I48" s="131">
        <v>0</v>
      </c>
      <c r="J48" s="131">
        <v>0</v>
      </c>
      <c r="K48" s="131">
        <v>0</v>
      </c>
      <c r="L48" s="131">
        <v>0</v>
      </c>
      <c r="M48" s="131">
        <v>0</v>
      </c>
      <c r="N48" s="131">
        <v>0</v>
      </c>
      <c r="O48" s="131">
        <v>0</v>
      </c>
      <c r="P48" s="131">
        <v>0</v>
      </c>
      <c r="Q48" s="131">
        <v>0</v>
      </c>
      <c r="R48" s="131">
        <v>0</v>
      </c>
      <c r="S48" s="131">
        <v>0</v>
      </c>
      <c r="T48" s="131">
        <v>3</v>
      </c>
      <c r="U48" s="131">
        <v>11</v>
      </c>
      <c r="V48" s="131">
        <v>13</v>
      </c>
      <c r="W48" s="131">
        <v>9</v>
      </c>
      <c r="X48" s="131">
        <v>61</v>
      </c>
      <c r="Y48" s="131">
        <v>18</v>
      </c>
      <c r="Z48" s="131">
        <v>20</v>
      </c>
      <c r="AA48" s="131">
        <v>56</v>
      </c>
      <c r="AB48" s="131">
        <v>71</v>
      </c>
      <c r="AC48" s="131">
        <v>161</v>
      </c>
      <c r="AD48" s="131">
        <v>131</v>
      </c>
      <c r="AE48" s="131">
        <v>120</v>
      </c>
      <c r="AF48" s="131">
        <v>53</v>
      </c>
    </row>
    <row r="49" spans="1:32" x14ac:dyDescent="0.25">
      <c r="A49" s="170"/>
      <c r="B49" s="170"/>
      <c r="C49" s="168" t="s">
        <v>259</v>
      </c>
      <c r="E49" s="130"/>
      <c r="F49" s="130"/>
      <c r="G49" s="174" t="s">
        <v>259</v>
      </c>
      <c r="H49" s="131">
        <v>455</v>
      </c>
      <c r="I49" s="131">
        <v>213</v>
      </c>
      <c r="J49" s="131">
        <v>194</v>
      </c>
      <c r="K49" s="131">
        <v>169</v>
      </c>
      <c r="L49" s="131">
        <v>262</v>
      </c>
      <c r="M49" s="131">
        <v>335</v>
      </c>
      <c r="N49" s="131">
        <v>309</v>
      </c>
      <c r="O49" s="131">
        <v>367</v>
      </c>
      <c r="P49" s="131">
        <v>549</v>
      </c>
      <c r="Q49" s="131">
        <v>437</v>
      </c>
      <c r="R49" s="131">
        <v>534</v>
      </c>
      <c r="S49" s="131">
        <v>488</v>
      </c>
      <c r="T49" s="131">
        <v>1056</v>
      </c>
      <c r="U49" s="131">
        <v>1593</v>
      </c>
      <c r="V49" s="131">
        <v>1623</v>
      </c>
      <c r="W49" s="131">
        <v>1064</v>
      </c>
      <c r="X49" s="131">
        <v>1667</v>
      </c>
      <c r="Y49" s="131">
        <v>1318</v>
      </c>
      <c r="Z49" s="131">
        <v>1121</v>
      </c>
      <c r="AA49" s="131">
        <v>1136</v>
      </c>
      <c r="AB49" s="131">
        <v>1577</v>
      </c>
      <c r="AC49" s="131">
        <v>2233</v>
      </c>
      <c r="AD49" s="131">
        <v>2069</v>
      </c>
      <c r="AE49" s="131">
        <v>1396</v>
      </c>
      <c r="AF49" s="131">
        <v>2333</v>
      </c>
    </row>
    <row r="50" spans="1:32" x14ac:dyDescent="0.25">
      <c r="A50" s="170"/>
      <c r="B50" s="170"/>
      <c r="C50" s="168" t="s">
        <v>4</v>
      </c>
      <c r="E50" s="130"/>
      <c r="F50" s="130"/>
      <c r="G50" s="174" t="s">
        <v>4</v>
      </c>
      <c r="H50" s="131">
        <v>104547</v>
      </c>
      <c r="I50" s="131">
        <v>91755</v>
      </c>
      <c r="J50" s="131">
        <v>105333</v>
      </c>
      <c r="K50" s="131">
        <v>89375</v>
      </c>
      <c r="L50" s="131">
        <v>81068</v>
      </c>
      <c r="M50" s="131">
        <v>108298</v>
      </c>
      <c r="N50" s="131">
        <v>122947</v>
      </c>
      <c r="O50" s="131">
        <v>109770</v>
      </c>
      <c r="P50" s="131">
        <v>122722</v>
      </c>
      <c r="Q50" s="131">
        <v>152102</v>
      </c>
      <c r="R50" s="131">
        <v>148748</v>
      </c>
      <c r="S50" s="131">
        <v>141307</v>
      </c>
      <c r="T50" s="131">
        <v>155569</v>
      </c>
      <c r="U50" s="131">
        <v>165206</v>
      </c>
      <c r="V50" s="131">
        <v>167815</v>
      </c>
      <c r="W50" s="131">
        <v>168167</v>
      </c>
      <c r="X50" s="131">
        <v>189739</v>
      </c>
      <c r="Y50" s="131">
        <v>150464</v>
      </c>
      <c r="Z50" s="131">
        <v>219530</v>
      </c>
      <c r="AA50" s="131">
        <v>177531</v>
      </c>
      <c r="AB50" s="131">
        <v>228468</v>
      </c>
      <c r="AC50" s="131">
        <v>232984</v>
      </c>
      <c r="AD50" s="131">
        <v>267660</v>
      </c>
      <c r="AE50" s="131">
        <v>228147</v>
      </c>
      <c r="AF50" s="131">
        <v>282812</v>
      </c>
    </row>
    <row r="51" spans="1:32" x14ac:dyDescent="0.25">
      <c r="A51" s="170"/>
      <c r="B51" s="170"/>
      <c r="C51" s="168" t="s">
        <v>267</v>
      </c>
      <c r="E51" s="130"/>
      <c r="F51" s="130"/>
      <c r="G51" s="174" t="s">
        <v>267</v>
      </c>
      <c r="H51" s="131">
        <v>484</v>
      </c>
      <c r="I51" s="131">
        <v>414</v>
      </c>
      <c r="J51" s="131">
        <v>451</v>
      </c>
      <c r="K51" s="131">
        <v>387</v>
      </c>
      <c r="L51" s="131">
        <v>823</v>
      </c>
      <c r="M51" s="131">
        <v>1039</v>
      </c>
      <c r="N51" s="131">
        <v>1360</v>
      </c>
      <c r="O51" s="131">
        <v>1037</v>
      </c>
      <c r="P51" s="131">
        <v>2325</v>
      </c>
      <c r="Q51" s="131">
        <v>2519</v>
      </c>
      <c r="R51" s="131">
        <v>2359</v>
      </c>
      <c r="S51" s="131">
        <v>1816</v>
      </c>
      <c r="T51" s="131">
        <v>3929</v>
      </c>
      <c r="U51" s="131">
        <v>4353</v>
      </c>
      <c r="V51" s="131">
        <v>3916</v>
      </c>
      <c r="W51" s="131">
        <v>3907</v>
      </c>
      <c r="X51" s="131">
        <v>5726</v>
      </c>
      <c r="Y51" s="131">
        <v>5009</v>
      </c>
      <c r="Z51" s="131">
        <v>5410</v>
      </c>
      <c r="AA51" s="131">
        <v>5339</v>
      </c>
      <c r="AB51" s="131">
        <v>6828</v>
      </c>
      <c r="AC51" s="131">
        <v>8513</v>
      </c>
      <c r="AD51" s="131">
        <v>8143</v>
      </c>
      <c r="AE51" s="131">
        <v>7096</v>
      </c>
      <c r="AF51" s="131">
        <v>9880</v>
      </c>
    </row>
    <row r="52" spans="1:32" x14ac:dyDescent="0.25">
      <c r="A52" s="170"/>
      <c r="B52" s="170" t="s">
        <v>273</v>
      </c>
      <c r="C52" s="170"/>
      <c r="E52" s="130"/>
      <c r="F52" s="130" t="s">
        <v>273</v>
      </c>
      <c r="G52" s="130"/>
      <c r="H52" s="131">
        <v>161551</v>
      </c>
      <c r="I52" s="131">
        <v>139493</v>
      </c>
      <c r="J52" s="131">
        <v>160187</v>
      </c>
      <c r="K52" s="131">
        <v>138268</v>
      </c>
      <c r="L52" s="131">
        <v>127682</v>
      </c>
      <c r="M52" s="131">
        <v>170411</v>
      </c>
      <c r="N52" s="131">
        <v>187862</v>
      </c>
      <c r="O52" s="131">
        <v>164127</v>
      </c>
      <c r="P52" s="131">
        <v>192448</v>
      </c>
      <c r="Q52" s="131">
        <v>231635</v>
      </c>
      <c r="R52" s="131">
        <v>237491</v>
      </c>
      <c r="S52" s="131">
        <v>215066</v>
      </c>
      <c r="T52" s="131">
        <v>243557</v>
      </c>
      <c r="U52" s="131">
        <v>250660</v>
      </c>
      <c r="V52" s="131">
        <v>262817</v>
      </c>
      <c r="W52" s="131">
        <v>258611</v>
      </c>
      <c r="X52" s="131">
        <v>284386</v>
      </c>
      <c r="Y52" s="131">
        <v>266799</v>
      </c>
      <c r="Z52" s="131">
        <v>332782</v>
      </c>
      <c r="AA52" s="131">
        <v>293465</v>
      </c>
      <c r="AB52" s="131">
        <v>373627</v>
      </c>
      <c r="AC52" s="131">
        <v>380751</v>
      </c>
      <c r="AD52" s="131">
        <v>427756</v>
      </c>
      <c r="AE52" s="131">
        <v>362844</v>
      </c>
      <c r="AF52" s="131">
        <v>479983</v>
      </c>
    </row>
    <row r="53" spans="1:32" x14ac:dyDescent="0.25">
      <c r="A53" s="170"/>
      <c r="B53" s="170" t="s">
        <v>270</v>
      </c>
      <c r="C53" s="168" t="s">
        <v>256</v>
      </c>
      <c r="E53" s="130"/>
      <c r="F53" s="130" t="s">
        <v>270</v>
      </c>
      <c r="G53" s="174" t="s">
        <v>256</v>
      </c>
      <c r="H53" s="131">
        <v>0</v>
      </c>
      <c r="I53" s="131">
        <v>0</v>
      </c>
      <c r="J53" s="131">
        <v>0</v>
      </c>
      <c r="K53" s="131">
        <v>0</v>
      </c>
      <c r="L53" s="131">
        <v>0</v>
      </c>
      <c r="M53" s="131">
        <v>0</v>
      </c>
      <c r="N53" s="131">
        <v>0</v>
      </c>
      <c r="O53" s="131">
        <v>0</v>
      </c>
      <c r="P53" s="131">
        <v>0</v>
      </c>
      <c r="Q53" s="131">
        <v>0</v>
      </c>
      <c r="R53" s="131">
        <v>0</v>
      </c>
      <c r="S53" s="131">
        <v>0</v>
      </c>
      <c r="T53" s="131">
        <v>0</v>
      </c>
      <c r="U53" s="131">
        <v>0</v>
      </c>
      <c r="V53" s="131">
        <v>0</v>
      </c>
      <c r="W53" s="131">
        <v>0</v>
      </c>
      <c r="X53" s="131">
        <v>0</v>
      </c>
      <c r="Y53" s="131">
        <v>0</v>
      </c>
      <c r="Z53" s="131">
        <v>0</v>
      </c>
      <c r="AA53" s="131">
        <v>0</v>
      </c>
      <c r="AB53" s="131">
        <v>0</v>
      </c>
      <c r="AC53" s="131">
        <v>0</v>
      </c>
      <c r="AD53" s="131">
        <v>0</v>
      </c>
      <c r="AE53" s="131">
        <v>0</v>
      </c>
      <c r="AF53" s="131">
        <v>0</v>
      </c>
    </row>
    <row r="54" spans="1:32" x14ac:dyDescent="0.25">
      <c r="A54" s="170"/>
      <c r="B54" s="170"/>
      <c r="C54" s="168" t="s">
        <v>257</v>
      </c>
      <c r="E54" s="130"/>
      <c r="F54" s="130"/>
      <c r="G54" s="174" t="s">
        <v>257</v>
      </c>
      <c r="H54" s="131">
        <v>0</v>
      </c>
      <c r="I54" s="131">
        <v>0</v>
      </c>
      <c r="J54" s="131">
        <v>0</v>
      </c>
      <c r="K54" s="131">
        <v>0</v>
      </c>
      <c r="L54" s="131">
        <v>0</v>
      </c>
      <c r="M54" s="131">
        <v>0</v>
      </c>
      <c r="N54" s="131">
        <v>0</v>
      </c>
      <c r="O54" s="131">
        <v>0</v>
      </c>
      <c r="P54" s="131">
        <v>0</v>
      </c>
      <c r="Q54" s="131">
        <v>0</v>
      </c>
      <c r="R54" s="131">
        <v>0</v>
      </c>
      <c r="S54" s="131">
        <v>0</v>
      </c>
      <c r="T54" s="131">
        <v>0</v>
      </c>
      <c r="U54" s="131">
        <v>0</v>
      </c>
      <c r="V54" s="131">
        <v>0</v>
      </c>
      <c r="W54" s="131">
        <v>0</v>
      </c>
      <c r="X54" s="131">
        <v>0</v>
      </c>
      <c r="Y54" s="131">
        <v>0</v>
      </c>
      <c r="Z54" s="131">
        <v>0</v>
      </c>
      <c r="AA54" s="131">
        <v>0</v>
      </c>
      <c r="AB54" s="131">
        <v>0</v>
      </c>
      <c r="AC54" s="131">
        <v>0</v>
      </c>
      <c r="AD54" s="131">
        <v>0</v>
      </c>
      <c r="AE54" s="131">
        <v>0</v>
      </c>
      <c r="AF54" s="131">
        <v>0</v>
      </c>
    </row>
    <row r="55" spans="1:32" x14ac:dyDescent="0.25">
      <c r="A55" s="170"/>
      <c r="B55" s="170"/>
      <c r="C55" s="168" t="s">
        <v>7</v>
      </c>
      <c r="E55" s="130"/>
      <c r="F55" s="130"/>
      <c r="G55" s="174" t="s">
        <v>7</v>
      </c>
      <c r="H55" s="131">
        <v>148</v>
      </c>
      <c r="I55" s="131">
        <v>1256</v>
      </c>
      <c r="J55" s="131">
        <v>1287</v>
      </c>
      <c r="K55" s="131">
        <v>483</v>
      </c>
      <c r="L55" s="131">
        <v>514</v>
      </c>
      <c r="M55" s="131">
        <v>906</v>
      </c>
      <c r="N55" s="131">
        <v>2144</v>
      </c>
      <c r="O55" s="131">
        <v>1286</v>
      </c>
      <c r="P55" s="131">
        <v>659</v>
      </c>
      <c r="Q55" s="131">
        <v>1134</v>
      </c>
      <c r="R55" s="131">
        <v>1096</v>
      </c>
      <c r="S55" s="131">
        <v>593</v>
      </c>
      <c r="T55" s="131">
        <v>1869</v>
      </c>
      <c r="U55" s="131">
        <v>1406</v>
      </c>
      <c r="V55" s="131">
        <v>1513</v>
      </c>
      <c r="W55" s="131">
        <v>942</v>
      </c>
      <c r="X55" s="131">
        <v>159</v>
      </c>
      <c r="Y55" s="131">
        <v>3928</v>
      </c>
      <c r="Z55" s="131">
        <v>1445</v>
      </c>
      <c r="AA55" s="131">
        <v>3193</v>
      </c>
      <c r="AB55" s="131">
        <v>1007</v>
      </c>
      <c r="AC55" s="131">
        <v>220</v>
      </c>
      <c r="AD55" s="131">
        <v>295</v>
      </c>
      <c r="AE55" s="131">
        <v>204</v>
      </c>
      <c r="AF55" s="131">
        <v>2258</v>
      </c>
    </row>
    <row r="56" spans="1:32" x14ac:dyDescent="0.25">
      <c r="A56" s="170"/>
      <c r="B56" s="170"/>
      <c r="C56" s="168" t="s">
        <v>255</v>
      </c>
      <c r="E56" s="130"/>
      <c r="F56" s="130"/>
      <c r="G56" s="174" t="s">
        <v>255</v>
      </c>
      <c r="H56" s="131">
        <v>0</v>
      </c>
      <c r="I56" s="131">
        <v>0</v>
      </c>
      <c r="J56" s="131">
        <v>0</v>
      </c>
      <c r="K56" s="131">
        <v>0</v>
      </c>
      <c r="L56" s="131">
        <v>0</v>
      </c>
      <c r="M56" s="131">
        <v>0</v>
      </c>
      <c r="N56" s="131">
        <v>0</v>
      </c>
      <c r="O56" s="131">
        <v>0</v>
      </c>
      <c r="P56" s="131">
        <v>18</v>
      </c>
      <c r="Q56" s="131">
        <v>0</v>
      </c>
      <c r="R56" s="131">
        <v>0</v>
      </c>
      <c r="S56" s="131">
        <v>0</v>
      </c>
      <c r="T56" s="131">
        <v>0</v>
      </c>
      <c r="U56" s="131">
        <v>0</v>
      </c>
      <c r="V56" s="131">
        <v>0</v>
      </c>
      <c r="W56" s="131">
        <v>0</v>
      </c>
      <c r="X56" s="131">
        <v>117</v>
      </c>
      <c r="Y56" s="131">
        <v>208</v>
      </c>
      <c r="Z56" s="131">
        <v>302</v>
      </c>
      <c r="AA56" s="131">
        <v>141</v>
      </c>
      <c r="AB56" s="131">
        <v>15423</v>
      </c>
      <c r="AC56" s="131">
        <v>28996</v>
      </c>
      <c r="AD56" s="131">
        <v>176</v>
      </c>
      <c r="AE56" s="131">
        <v>13383</v>
      </c>
      <c r="AF56" s="131">
        <v>4504</v>
      </c>
    </row>
    <row r="57" spans="1:32" x14ac:dyDescent="0.25">
      <c r="A57" s="170"/>
      <c r="B57" s="170"/>
      <c r="C57" s="168" t="s">
        <v>775</v>
      </c>
      <c r="E57" s="130"/>
      <c r="F57" s="130"/>
      <c r="G57" s="174" t="s">
        <v>775</v>
      </c>
      <c r="H57" s="131">
        <v>0</v>
      </c>
      <c r="I57" s="131">
        <v>0</v>
      </c>
      <c r="J57" s="131">
        <v>0</v>
      </c>
      <c r="K57" s="131">
        <v>0</v>
      </c>
      <c r="L57" s="131">
        <v>0</v>
      </c>
      <c r="M57" s="131">
        <v>0</v>
      </c>
      <c r="N57" s="131">
        <v>0</v>
      </c>
      <c r="O57" s="131">
        <v>0</v>
      </c>
      <c r="P57" s="131">
        <v>0</v>
      </c>
      <c r="Q57" s="131">
        <v>0</v>
      </c>
      <c r="R57" s="131">
        <v>0</v>
      </c>
      <c r="S57" s="131">
        <v>0</v>
      </c>
      <c r="T57" s="131">
        <v>0</v>
      </c>
      <c r="U57" s="131">
        <v>0</v>
      </c>
      <c r="V57" s="131">
        <v>0</v>
      </c>
      <c r="W57" s="131">
        <v>0</v>
      </c>
      <c r="X57" s="131">
        <v>0</v>
      </c>
      <c r="Y57" s="131">
        <v>0</v>
      </c>
      <c r="Z57" s="131">
        <v>0</v>
      </c>
      <c r="AA57" s="131">
        <v>0</v>
      </c>
      <c r="AB57" s="131">
        <v>0</v>
      </c>
      <c r="AC57" s="131">
        <v>0</v>
      </c>
      <c r="AD57" s="131">
        <v>0</v>
      </c>
      <c r="AE57" s="131">
        <v>0</v>
      </c>
      <c r="AF57" s="131">
        <v>0</v>
      </c>
    </row>
    <row r="58" spans="1:32" x14ac:dyDescent="0.25">
      <c r="A58" s="170"/>
      <c r="B58" s="170"/>
      <c r="C58" s="168" t="s">
        <v>261</v>
      </c>
      <c r="E58" s="130"/>
      <c r="F58" s="130"/>
      <c r="G58" s="174" t="s">
        <v>261</v>
      </c>
      <c r="H58" s="131">
        <v>0</v>
      </c>
      <c r="I58" s="131">
        <v>0</v>
      </c>
      <c r="J58" s="131">
        <v>0</v>
      </c>
      <c r="K58" s="131">
        <v>0</v>
      </c>
      <c r="L58" s="131">
        <v>0</v>
      </c>
      <c r="M58" s="131">
        <v>0</v>
      </c>
      <c r="N58" s="131">
        <v>0</v>
      </c>
      <c r="O58" s="131">
        <v>0</v>
      </c>
      <c r="P58" s="131">
        <v>0</v>
      </c>
      <c r="Q58" s="131">
        <v>0</v>
      </c>
      <c r="R58" s="131">
        <v>0</v>
      </c>
      <c r="S58" s="131">
        <v>0</v>
      </c>
      <c r="T58" s="131">
        <v>0</v>
      </c>
      <c r="U58" s="131">
        <v>0</v>
      </c>
      <c r="V58" s="131">
        <v>0</v>
      </c>
      <c r="W58" s="131">
        <v>0</v>
      </c>
      <c r="X58" s="131">
        <v>0</v>
      </c>
      <c r="Y58" s="131">
        <v>0</v>
      </c>
      <c r="Z58" s="131">
        <v>0</v>
      </c>
      <c r="AA58" s="131">
        <v>0</v>
      </c>
      <c r="AB58" s="131">
        <v>0</v>
      </c>
      <c r="AC58" s="131">
        <v>0</v>
      </c>
      <c r="AD58" s="131">
        <v>0</v>
      </c>
      <c r="AE58" s="131">
        <v>0</v>
      </c>
      <c r="AF58" s="131">
        <v>0</v>
      </c>
    </row>
    <row r="59" spans="1:32" x14ac:dyDescent="0.25">
      <c r="A59" s="170"/>
      <c r="B59" s="170"/>
      <c r="C59" s="168" t="s">
        <v>262</v>
      </c>
      <c r="E59" s="130"/>
      <c r="F59" s="130"/>
      <c r="G59" s="174" t="s">
        <v>262</v>
      </c>
      <c r="H59" s="131">
        <v>0</v>
      </c>
      <c r="I59" s="131">
        <v>1516</v>
      </c>
      <c r="J59" s="131">
        <v>2383</v>
      </c>
      <c r="K59" s="131">
        <v>0</v>
      </c>
      <c r="L59" s="131">
        <v>0</v>
      </c>
      <c r="M59" s="131">
        <v>8226</v>
      </c>
      <c r="N59" s="131">
        <v>0</v>
      </c>
      <c r="O59" s="131">
        <v>0</v>
      </c>
      <c r="P59" s="131">
        <v>292</v>
      </c>
      <c r="Q59" s="131">
        <v>0</v>
      </c>
      <c r="R59" s="131">
        <v>0</v>
      </c>
      <c r="S59" s="131">
        <v>3765</v>
      </c>
      <c r="T59" s="131">
        <v>0</v>
      </c>
      <c r="U59" s="131">
        <v>388</v>
      </c>
      <c r="V59" s="131">
        <v>354</v>
      </c>
      <c r="W59" s="131">
        <v>4915</v>
      </c>
      <c r="X59" s="131">
        <v>106</v>
      </c>
      <c r="Y59" s="131">
        <v>3</v>
      </c>
      <c r="Z59" s="131">
        <v>6032</v>
      </c>
      <c r="AA59" s="131">
        <v>1252</v>
      </c>
      <c r="AB59" s="131">
        <v>1528</v>
      </c>
      <c r="AC59" s="131">
        <v>0</v>
      </c>
      <c r="AD59" s="131">
        <v>259</v>
      </c>
      <c r="AE59" s="131">
        <v>1640</v>
      </c>
      <c r="AF59" s="131">
        <v>5555</v>
      </c>
    </row>
    <row r="60" spans="1:32" x14ac:dyDescent="0.25">
      <c r="A60" s="170"/>
      <c r="B60" s="170"/>
      <c r="C60" s="168" t="s">
        <v>263</v>
      </c>
      <c r="E60" s="130"/>
      <c r="F60" s="130"/>
      <c r="G60" s="174" t="s">
        <v>263</v>
      </c>
      <c r="H60" s="131">
        <v>0</v>
      </c>
      <c r="I60" s="131">
        <v>0</v>
      </c>
      <c r="J60" s="131">
        <v>0</v>
      </c>
      <c r="K60" s="131">
        <v>0</v>
      </c>
      <c r="L60" s="131">
        <v>0</v>
      </c>
      <c r="M60" s="131">
        <v>0</v>
      </c>
      <c r="N60" s="131">
        <v>0</v>
      </c>
      <c r="O60" s="131">
        <v>0</v>
      </c>
      <c r="P60" s="131">
        <v>0</v>
      </c>
      <c r="Q60" s="131">
        <v>0</v>
      </c>
      <c r="R60" s="131">
        <v>0</v>
      </c>
      <c r="S60" s="131">
        <v>0</v>
      </c>
      <c r="T60" s="131">
        <v>0</v>
      </c>
      <c r="U60" s="131">
        <v>0</v>
      </c>
      <c r="V60" s="131">
        <v>0</v>
      </c>
      <c r="W60" s="131">
        <v>0</v>
      </c>
      <c r="X60" s="131">
        <v>4</v>
      </c>
      <c r="Y60" s="131">
        <v>0</v>
      </c>
      <c r="Z60" s="131">
        <v>0</v>
      </c>
      <c r="AA60" s="131">
        <v>0</v>
      </c>
      <c r="AB60" s="131">
        <v>0</v>
      </c>
      <c r="AC60" s="131">
        <v>0</v>
      </c>
      <c r="AD60" s="131">
        <v>0</v>
      </c>
      <c r="AE60" s="131">
        <v>0</v>
      </c>
      <c r="AF60" s="131">
        <v>0</v>
      </c>
    </row>
    <row r="61" spans="1:32" x14ac:dyDescent="0.25">
      <c r="A61" s="170"/>
      <c r="B61" s="170"/>
      <c r="C61" s="168" t="s">
        <v>264</v>
      </c>
      <c r="E61" s="130"/>
      <c r="F61" s="130"/>
      <c r="G61" s="174" t="s">
        <v>264</v>
      </c>
      <c r="H61" s="131">
        <v>0</v>
      </c>
      <c r="I61" s="131">
        <v>1817</v>
      </c>
      <c r="J61" s="131">
        <v>1447</v>
      </c>
      <c r="K61" s="131">
        <v>2771</v>
      </c>
      <c r="L61" s="131">
        <v>7370</v>
      </c>
      <c r="M61" s="131">
        <v>2800</v>
      </c>
      <c r="N61" s="131">
        <v>3123</v>
      </c>
      <c r="O61" s="131">
        <v>3653</v>
      </c>
      <c r="P61" s="131">
        <v>3494</v>
      </c>
      <c r="Q61" s="131">
        <v>2984</v>
      </c>
      <c r="R61" s="131">
        <v>5393</v>
      </c>
      <c r="S61" s="131">
        <v>3490</v>
      </c>
      <c r="T61" s="131">
        <v>4010</v>
      </c>
      <c r="U61" s="131">
        <v>8574</v>
      </c>
      <c r="V61" s="131">
        <v>11085</v>
      </c>
      <c r="W61" s="131">
        <v>1691</v>
      </c>
      <c r="X61" s="131">
        <v>1334</v>
      </c>
      <c r="Y61" s="131">
        <v>0</v>
      </c>
      <c r="Z61" s="131">
        <v>4652</v>
      </c>
      <c r="AA61" s="131">
        <v>3455</v>
      </c>
      <c r="AB61" s="131">
        <v>149</v>
      </c>
      <c r="AC61" s="131">
        <v>89</v>
      </c>
      <c r="AD61" s="131">
        <v>2854</v>
      </c>
      <c r="AE61" s="131">
        <v>860</v>
      </c>
      <c r="AF61" s="131">
        <v>651</v>
      </c>
    </row>
    <row r="62" spans="1:32" x14ac:dyDescent="0.25">
      <c r="A62" s="170"/>
      <c r="B62" s="170"/>
      <c r="C62" s="168" t="s">
        <v>265</v>
      </c>
      <c r="E62" s="130"/>
      <c r="F62" s="130"/>
      <c r="G62" s="174" t="s">
        <v>265</v>
      </c>
      <c r="H62" s="131">
        <v>0</v>
      </c>
      <c r="I62" s="131">
        <v>480</v>
      </c>
      <c r="J62" s="131">
        <v>2618</v>
      </c>
      <c r="K62" s="131">
        <v>905</v>
      </c>
      <c r="L62" s="131">
        <v>3234</v>
      </c>
      <c r="M62" s="131">
        <v>2470</v>
      </c>
      <c r="N62" s="131">
        <v>12273</v>
      </c>
      <c r="O62" s="131">
        <v>17390</v>
      </c>
      <c r="P62" s="131">
        <v>203</v>
      </c>
      <c r="Q62" s="131">
        <v>0</v>
      </c>
      <c r="R62" s="131">
        <v>10</v>
      </c>
      <c r="S62" s="131">
        <v>206</v>
      </c>
      <c r="T62" s="131">
        <v>282</v>
      </c>
      <c r="U62" s="131">
        <v>9</v>
      </c>
      <c r="V62" s="131">
        <v>4</v>
      </c>
      <c r="W62" s="131">
        <v>0</v>
      </c>
      <c r="X62" s="131">
        <v>0</v>
      </c>
      <c r="Y62" s="131">
        <v>0</v>
      </c>
      <c r="Z62" s="131">
        <v>788</v>
      </c>
      <c r="AA62" s="131">
        <v>0</v>
      </c>
      <c r="AB62" s="131">
        <v>0</v>
      </c>
      <c r="AC62" s="131">
        <v>0</v>
      </c>
      <c r="AD62" s="131">
        <v>0</v>
      </c>
      <c r="AE62" s="131">
        <v>0</v>
      </c>
      <c r="AF62" s="131">
        <v>0</v>
      </c>
    </row>
    <row r="63" spans="1:32" x14ac:dyDescent="0.25">
      <c r="A63" s="170"/>
      <c r="B63" s="170"/>
      <c r="C63" s="168" t="s">
        <v>266</v>
      </c>
      <c r="E63" s="130"/>
      <c r="F63" s="130"/>
      <c r="G63" s="174" t="s">
        <v>266</v>
      </c>
      <c r="H63" s="131">
        <v>0</v>
      </c>
      <c r="I63" s="131">
        <v>0</v>
      </c>
      <c r="J63" s="131">
        <v>0</v>
      </c>
      <c r="K63" s="131">
        <v>0</v>
      </c>
      <c r="L63" s="131">
        <v>0</v>
      </c>
      <c r="M63" s="131">
        <v>0</v>
      </c>
      <c r="N63" s="131">
        <v>0</v>
      </c>
      <c r="O63" s="131">
        <v>0</v>
      </c>
      <c r="P63" s="131">
        <v>0</v>
      </c>
      <c r="Q63" s="131">
        <v>0</v>
      </c>
      <c r="R63" s="131">
        <v>0</v>
      </c>
      <c r="S63" s="131">
        <v>0</v>
      </c>
      <c r="T63" s="131">
        <v>0</v>
      </c>
      <c r="U63" s="131">
        <v>0</v>
      </c>
      <c r="V63" s="131">
        <v>0</v>
      </c>
      <c r="W63" s="131">
        <v>0</v>
      </c>
      <c r="X63" s="131">
        <v>0</v>
      </c>
      <c r="Y63" s="131">
        <v>0</v>
      </c>
      <c r="Z63" s="131">
        <v>0</v>
      </c>
      <c r="AA63" s="131">
        <v>0</v>
      </c>
      <c r="AB63" s="131">
        <v>0</v>
      </c>
      <c r="AC63" s="131">
        <v>0</v>
      </c>
      <c r="AD63" s="131">
        <v>0</v>
      </c>
      <c r="AE63" s="131">
        <v>0</v>
      </c>
      <c r="AF63" s="131">
        <v>0</v>
      </c>
    </row>
    <row r="64" spans="1:32" x14ac:dyDescent="0.25">
      <c r="A64" s="170"/>
      <c r="B64" s="170"/>
      <c r="C64" s="168" t="s">
        <v>275</v>
      </c>
      <c r="E64" s="130"/>
      <c r="F64" s="130"/>
      <c r="G64" s="174" t="s">
        <v>275</v>
      </c>
      <c r="H64" s="131">
        <v>0</v>
      </c>
      <c r="I64" s="131">
        <v>0</v>
      </c>
      <c r="J64" s="131">
        <v>0</v>
      </c>
      <c r="K64" s="131">
        <v>0</v>
      </c>
      <c r="L64" s="131">
        <v>0</v>
      </c>
      <c r="M64" s="131">
        <v>0</v>
      </c>
      <c r="N64" s="131">
        <v>0</v>
      </c>
      <c r="O64" s="131">
        <v>0</v>
      </c>
      <c r="P64" s="131">
        <v>0</v>
      </c>
      <c r="Q64" s="131">
        <v>0</v>
      </c>
      <c r="R64" s="131">
        <v>0</v>
      </c>
      <c r="S64" s="131">
        <v>0</v>
      </c>
      <c r="T64" s="131">
        <v>0</v>
      </c>
      <c r="U64" s="131">
        <v>0</v>
      </c>
      <c r="V64" s="131">
        <v>0</v>
      </c>
      <c r="W64" s="131">
        <v>0</v>
      </c>
      <c r="X64" s="131">
        <v>0</v>
      </c>
      <c r="Y64" s="131">
        <v>0</v>
      </c>
      <c r="Z64" s="131">
        <v>0</v>
      </c>
      <c r="AA64" s="131">
        <v>0</v>
      </c>
      <c r="AB64" s="131">
        <v>0</v>
      </c>
      <c r="AC64" s="131">
        <v>0</v>
      </c>
      <c r="AD64" s="131">
        <v>0</v>
      </c>
      <c r="AE64" s="131">
        <v>0</v>
      </c>
      <c r="AF64" s="131">
        <v>0</v>
      </c>
    </row>
    <row r="65" spans="1:47" x14ac:dyDescent="0.25">
      <c r="A65" s="170"/>
      <c r="B65" s="170"/>
      <c r="C65" s="168" t="s">
        <v>268</v>
      </c>
      <c r="E65" s="130"/>
      <c r="F65" s="130"/>
      <c r="G65" s="174" t="s">
        <v>268</v>
      </c>
      <c r="H65" s="131">
        <v>0</v>
      </c>
      <c r="I65" s="131">
        <v>0</v>
      </c>
      <c r="J65" s="131">
        <v>0</v>
      </c>
      <c r="K65" s="131">
        <v>0</v>
      </c>
      <c r="L65" s="131">
        <v>0</v>
      </c>
      <c r="M65" s="131">
        <v>0</v>
      </c>
      <c r="N65" s="131">
        <v>0</v>
      </c>
      <c r="O65" s="131">
        <v>0</v>
      </c>
      <c r="P65" s="131">
        <v>0</v>
      </c>
      <c r="Q65" s="131">
        <v>0</v>
      </c>
      <c r="R65" s="131">
        <v>0</v>
      </c>
      <c r="S65" s="131">
        <v>0</v>
      </c>
      <c r="T65" s="131">
        <v>0</v>
      </c>
      <c r="U65" s="131">
        <v>0</v>
      </c>
      <c r="V65" s="131">
        <v>0</v>
      </c>
      <c r="W65" s="131">
        <v>0</v>
      </c>
      <c r="X65" s="131">
        <v>0</v>
      </c>
      <c r="Y65" s="131">
        <v>0</v>
      </c>
      <c r="Z65" s="131">
        <v>0</v>
      </c>
      <c r="AA65" s="131">
        <v>0</v>
      </c>
      <c r="AB65" s="131">
        <v>0</v>
      </c>
      <c r="AC65" s="131">
        <v>0</v>
      </c>
      <c r="AD65" s="131">
        <v>0</v>
      </c>
      <c r="AE65" s="131">
        <v>0</v>
      </c>
      <c r="AF65" s="131">
        <v>0</v>
      </c>
    </row>
    <row r="66" spans="1:47" x14ac:dyDescent="0.25">
      <c r="A66" s="170"/>
      <c r="B66" s="170"/>
      <c r="C66" s="168" t="s">
        <v>666</v>
      </c>
      <c r="E66" s="130"/>
      <c r="F66" s="130"/>
      <c r="G66" s="174" t="s">
        <v>666</v>
      </c>
      <c r="H66" s="131">
        <v>0</v>
      </c>
      <c r="I66" s="131">
        <v>0</v>
      </c>
      <c r="J66" s="131">
        <v>0</v>
      </c>
      <c r="K66" s="131">
        <v>0</v>
      </c>
      <c r="L66" s="131">
        <v>0</v>
      </c>
      <c r="M66" s="131">
        <v>0</v>
      </c>
      <c r="N66" s="131">
        <v>0</v>
      </c>
      <c r="O66" s="131">
        <v>0</v>
      </c>
      <c r="P66" s="131">
        <v>0</v>
      </c>
      <c r="Q66" s="131">
        <v>0</v>
      </c>
      <c r="R66" s="131">
        <v>0</v>
      </c>
      <c r="S66" s="131">
        <v>0</v>
      </c>
      <c r="T66" s="131">
        <v>0</v>
      </c>
      <c r="U66" s="131">
        <v>0</v>
      </c>
      <c r="V66" s="131">
        <v>0</v>
      </c>
      <c r="W66" s="131">
        <v>0</v>
      </c>
      <c r="X66" s="131">
        <v>0</v>
      </c>
      <c r="Y66" s="131">
        <v>0</v>
      </c>
      <c r="Z66" s="131">
        <v>0</v>
      </c>
      <c r="AA66" s="131">
        <v>0</v>
      </c>
      <c r="AB66" s="131">
        <v>0</v>
      </c>
      <c r="AC66" s="131">
        <v>0</v>
      </c>
      <c r="AD66" s="131">
        <v>0</v>
      </c>
      <c r="AE66" s="131">
        <v>0</v>
      </c>
      <c r="AF66" s="131">
        <v>0</v>
      </c>
    </row>
    <row r="67" spans="1:47" x14ac:dyDescent="0.25">
      <c r="A67" s="171"/>
      <c r="B67" s="170" t="s">
        <v>271</v>
      </c>
      <c r="C67" s="170"/>
      <c r="E67" s="130"/>
      <c r="F67" s="130" t="s">
        <v>271</v>
      </c>
      <c r="G67" s="130"/>
      <c r="H67" s="131">
        <v>148</v>
      </c>
      <c r="I67" s="131">
        <v>5069</v>
      </c>
      <c r="J67" s="131">
        <v>7735</v>
      </c>
      <c r="K67" s="131">
        <v>4159</v>
      </c>
      <c r="L67" s="131">
        <v>11118</v>
      </c>
      <c r="M67" s="131">
        <v>14402</v>
      </c>
      <c r="N67" s="131">
        <v>17540</v>
      </c>
      <c r="O67" s="131">
        <v>22329</v>
      </c>
      <c r="P67" s="131">
        <v>4666</v>
      </c>
      <c r="Q67" s="131">
        <v>4118</v>
      </c>
      <c r="R67" s="131">
        <v>6499</v>
      </c>
      <c r="S67" s="131">
        <v>8054</v>
      </c>
      <c r="T67" s="131">
        <v>6161</v>
      </c>
      <c r="U67" s="131">
        <v>10377</v>
      </c>
      <c r="V67" s="131">
        <v>12956</v>
      </c>
      <c r="W67" s="131">
        <v>7548</v>
      </c>
      <c r="X67" s="131">
        <v>1720</v>
      </c>
      <c r="Y67" s="131">
        <v>4139</v>
      </c>
      <c r="Z67" s="131">
        <v>13219</v>
      </c>
      <c r="AA67" s="131">
        <v>8041</v>
      </c>
      <c r="AB67" s="131">
        <v>18107</v>
      </c>
      <c r="AC67" s="131">
        <v>29305</v>
      </c>
      <c r="AD67" s="131">
        <v>3584</v>
      </c>
      <c r="AE67" s="131">
        <v>16087</v>
      </c>
      <c r="AF67" s="131">
        <v>12968</v>
      </c>
    </row>
    <row r="68" spans="1:47" s="168" customFormat="1" x14ac:dyDescent="0.25">
      <c r="A68" s="172"/>
      <c r="B68" s="170"/>
      <c r="C68" s="170"/>
      <c r="E68"/>
      <c r="F68"/>
      <c r="G68"/>
      <c r="H68"/>
      <c r="I68"/>
      <c r="J68"/>
      <c r="K68"/>
      <c r="L68"/>
      <c r="M68"/>
      <c r="N68"/>
      <c r="O68"/>
      <c r="P68"/>
      <c r="Q68"/>
      <c r="R68"/>
      <c r="S68"/>
      <c r="T68"/>
      <c r="U68"/>
      <c r="V68"/>
      <c r="W68"/>
      <c r="X68"/>
      <c r="Y68"/>
      <c r="Z68"/>
      <c r="AA68"/>
      <c r="AB68"/>
      <c r="AC68"/>
      <c r="AD68"/>
      <c r="AE68"/>
    </row>
    <row r="69" spans="1:47" s="123" customFormat="1" x14ac:dyDescent="0.25">
      <c r="A69" s="168"/>
      <c r="B69" s="168"/>
      <c r="C69" s="168"/>
      <c r="D69" s="168"/>
      <c r="E69"/>
      <c r="F69"/>
      <c r="G69"/>
      <c r="H69"/>
      <c r="I69"/>
      <c r="J69"/>
      <c r="K69"/>
      <c r="L69"/>
      <c r="M69"/>
      <c r="N69"/>
      <c r="O69"/>
      <c r="P69"/>
      <c r="Q69"/>
      <c r="R69"/>
      <c r="S69"/>
      <c r="T69"/>
      <c r="U69"/>
      <c r="V69"/>
      <c r="W69"/>
      <c r="X69"/>
      <c r="Y69"/>
      <c r="Z69"/>
      <c r="AA69"/>
      <c r="AB69"/>
      <c r="AC69"/>
      <c r="AD69"/>
    </row>
    <row r="70" spans="1:47" s="123" customFormat="1" x14ac:dyDescent="0.25">
      <c r="A70" s="168"/>
      <c r="B70" s="168"/>
      <c r="C70" s="168"/>
      <c r="D70" s="168"/>
      <c r="E70"/>
      <c r="F70"/>
      <c r="G70"/>
      <c r="H70"/>
      <c r="I70"/>
      <c r="J70"/>
      <c r="K70"/>
      <c r="L70"/>
      <c r="M70"/>
      <c r="N70"/>
      <c r="O70"/>
      <c r="P70"/>
      <c r="Q70"/>
      <c r="R70"/>
      <c r="S70"/>
      <c r="T70"/>
      <c r="U70"/>
      <c r="V70"/>
      <c r="W70"/>
      <c r="X70"/>
      <c r="Y70"/>
      <c r="Z70"/>
      <c r="AA70"/>
      <c r="AB70"/>
      <c r="AC70"/>
      <c r="AD70"/>
    </row>
    <row r="71" spans="1:47" s="123" customFormat="1" x14ac:dyDescent="0.25">
      <c r="A71" s="168"/>
      <c r="B71" s="168"/>
      <c r="C71" s="168"/>
      <c r="D71" s="168"/>
      <c r="E71"/>
      <c r="F71"/>
      <c r="G71"/>
      <c r="H71"/>
      <c r="I71"/>
      <c r="J71"/>
      <c r="K71"/>
      <c r="L71"/>
      <c r="M71"/>
      <c r="N71"/>
      <c r="O71"/>
      <c r="P71"/>
      <c r="Q71"/>
      <c r="R71"/>
      <c r="S71"/>
      <c r="T71"/>
      <c r="U71"/>
      <c r="V71"/>
      <c r="W71"/>
      <c r="X71"/>
      <c r="Y71"/>
      <c r="Z71"/>
      <c r="AA71"/>
      <c r="AB71"/>
      <c r="AC71"/>
      <c r="AD71"/>
    </row>
    <row r="72" spans="1:47" s="123" customFormat="1" x14ac:dyDescent="0.25">
      <c r="A72" s="168"/>
      <c r="B72" s="168"/>
      <c r="C72" s="168"/>
      <c r="D72" s="168"/>
      <c r="E72" s="130"/>
      <c r="F72" s="130"/>
      <c r="G72" s="130"/>
      <c r="H72" s="131"/>
      <c r="I72" s="131"/>
      <c r="J72" s="131"/>
      <c r="K72" s="131"/>
      <c r="L72" s="131"/>
      <c r="M72" s="131"/>
      <c r="N72" s="131"/>
      <c r="O72" s="131"/>
      <c r="P72" s="131"/>
      <c r="Q72" s="131"/>
      <c r="R72" s="131"/>
      <c r="S72" s="131"/>
      <c r="T72" s="131"/>
      <c r="U72" s="131"/>
      <c r="V72" s="131"/>
      <c r="W72" s="131"/>
      <c r="X72" s="131"/>
      <c r="Y72" s="131"/>
      <c r="Z72" s="131"/>
      <c r="AA72" s="131"/>
    </row>
    <row r="73" spans="1:47" x14ac:dyDescent="0.25">
      <c r="H73" s="10"/>
      <c r="I73" s="10"/>
      <c r="J73" s="10"/>
      <c r="K73" s="10"/>
      <c r="L73" s="10"/>
      <c r="M73" s="10"/>
      <c r="N73" s="10"/>
      <c r="O73" s="10"/>
      <c r="P73" s="10"/>
      <c r="Q73" s="10"/>
      <c r="R73" s="10"/>
      <c r="S73" s="10"/>
      <c r="T73" s="10"/>
      <c r="U73" s="10"/>
      <c r="V73" s="10"/>
    </row>
    <row r="74" spans="1:47" ht="21" x14ac:dyDescent="0.35">
      <c r="E74" s="91" t="s">
        <v>701</v>
      </c>
      <c r="F74" s="38"/>
      <c r="G74" s="38"/>
      <c r="H74" s="10" t="s">
        <v>778</v>
      </c>
      <c r="I74" s="10" t="s">
        <v>779</v>
      </c>
      <c r="J74" s="10" t="s">
        <v>780</v>
      </c>
      <c r="K74" s="10" t="s">
        <v>781</v>
      </c>
      <c r="L74" s="124" t="s">
        <v>782</v>
      </c>
      <c r="M74" s="124" t="s">
        <v>783</v>
      </c>
      <c r="N74" s="124" t="s">
        <v>784</v>
      </c>
      <c r="O74" s="124" t="s">
        <v>785</v>
      </c>
      <c r="P74" s="124" t="s">
        <v>786</v>
      </c>
      <c r="Q74" s="124" t="s">
        <v>787</v>
      </c>
      <c r="R74" s="124" t="s">
        <v>788</v>
      </c>
      <c r="S74" s="124" t="s">
        <v>789</v>
      </c>
      <c r="T74" s="124" t="s">
        <v>790</v>
      </c>
      <c r="U74" s="124" t="s">
        <v>791</v>
      </c>
      <c r="V74" s="124" t="s">
        <v>792</v>
      </c>
      <c r="W74" s="124" t="s">
        <v>793</v>
      </c>
      <c r="X74" s="124" t="s">
        <v>794</v>
      </c>
      <c r="Y74" s="124" t="s">
        <v>795</v>
      </c>
      <c r="Z74" s="124" t="s">
        <v>796</v>
      </c>
      <c r="AA74" s="124" t="s">
        <v>797</v>
      </c>
      <c r="AB74" s="124" t="s">
        <v>798</v>
      </c>
      <c r="AC74" s="124" t="s">
        <v>799</v>
      </c>
      <c r="AD74" s="124" t="s">
        <v>800</v>
      </c>
      <c r="AE74" s="124" t="s">
        <v>801</v>
      </c>
      <c r="AF74" s="124" t="s">
        <v>872</v>
      </c>
      <c r="AG74" s="124" t="s">
        <v>873</v>
      </c>
      <c r="AH74" s="124" t="s">
        <v>874</v>
      </c>
      <c r="AI74" s="124" t="s">
        <v>875</v>
      </c>
      <c r="AJ74" s="124" t="s">
        <v>876</v>
      </c>
      <c r="AK74" s="124" t="s">
        <v>877</v>
      </c>
      <c r="AL74" s="124" t="s">
        <v>878</v>
      </c>
      <c r="AM74" s="124" t="s">
        <v>879</v>
      </c>
    </row>
    <row r="75" spans="1:47" x14ac:dyDescent="0.25">
      <c r="F75" s="38" t="s">
        <v>613</v>
      </c>
      <c r="G75" s="38"/>
      <c r="H75" s="64">
        <f t="shared" ref="H75:AU75" si="0">H3</f>
        <v>42370</v>
      </c>
      <c r="I75" s="64">
        <f t="shared" si="0"/>
        <v>42461</v>
      </c>
      <c r="J75" s="64">
        <f t="shared" si="0"/>
        <v>42552</v>
      </c>
      <c r="K75" s="64">
        <f t="shared" si="0"/>
        <v>42644</v>
      </c>
      <c r="L75" s="64">
        <f t="shared" si="0"/>
        <v>42736</v>
      </c>
      <c r="M75" s="64">
        <f t="shared" si="0"/>
        <v>42826</v>
      </c>
      <c r="N75" s="64">
        <f t="shared" si="0"/>
        <v>42917</v>
      </c>
      <c r="O75" s="64">
        <f t="shared" si="0"/>
        <v>43009</v>
      </c>
      <c r="P75" s="64">
        <f t="shared" si="0"/>
        <v>43101</v>
      </c>
      <c r="Q75" s="64">
        <f t="shared" si="0"/>
        <v>43191</v>
      </c>
      <c r="R75" s="64">
        <f t="shared" si="0"/>
        <v>43282</v>
      </c>
      <c r="S75" s="64">
        <f t="shared" si="0"/>
        <v>43374</v>
      </c>
      <c r="T75" s="64">
        <f t="shared" si="0"/>
        <v>43466</v>
      </c>
      <c r="U75" s="64">
        <f t="shared" si="0"/>
        <v>43556</v>
      </c>
      <c r="V75" s="64">
        <f t="shared" si="0"/>
        <v>43647</v>
      </c>
      <c r="W75" s="64">
        <f t="shared" si="0"/>
        <v>43739</v>
      </c>
      <c r="X75" s="64">
        <f t="shared" si="0"/>
        <v>43831</v>
      </c>
      <c r="Y75" s="64">
        <f t="shared" si="0"/>
        <v>43922</v>
      </c>
      <c r="Z75" s="64">
        <f t="shared" si="0"/>
        <v>44013</v>
      </c>
      <c r="AA75" s="64">
        <f t="shared" si="0"/>
        <v>44105</v>
      </c>
      <c r="AB75" s="64">
        <f t="shared" si="0"/>
        <v>44197</v>
      </c>
      <c r="AC75" s="64">
        <f t="shared" si="0"/>
        <v>44287</v>
      </c>
      <c r="AD75" s="64">
        <f t="shared" si="0"/>
        <v>44378</v>
      </c>
      <c r="AE75" s="64">
        <f t="shared" si="0"/>
        <v>44470</v>
      </c>
      <c r="AF75" s="64">
        <f t="shared" si="0"/>
        <v>44562</v>
      </c>
      <c r="AG75" s="64">
        <f t="shared" si="0"/>
        <v>44652</v>
      </c>
      <c r="AH75" s="64">
        <f t="shared" si="0"/>
        <v>44743</v>
      </c>
      <c r="AI75" s="64">
        <f t="shared" si="0"/>
        <v>44835</v>
      </c>
      <c r="AJ75" s="64">
        <f t="shared" si="0"/>
        <v>44927</v>
      </c>
      <c r="AK75" s="64">
        <f t="shared" si="0"/>
        <v>45017</v>
      </c>
      <c r="AL75" s="64">
        <f t="shared" si="0"/>
        <v>45108</v>
      </c>
      <c r="AM75" s="64">
        <f t="shared" si="0"/>
        <v>45200</v>
      </c>
      <c r="AN75" s="64">
        <f t="shared" si="0"/>
        <v>45292</v>
      </c>
      <c r="AO75" s="64">
        <f t="shared" si="0"/>
        <v>45383</v>
      </c>
      <c r="AP75" s="64">
        <f t="shared" si="0"/>
        <v>45474</v>
      </c>
      <c r="AQ75" s="64">
        <f t="shared" si="0"/>
        <v>45566</v>
      </c>
      <c r="AR75" s="64">
        <f t="shared" si="0"/>
        <v>45658</v>
      </c>
      <c r="AS75" s="64">
        <f t="shared" si="0"/>
        <v>45748</v>
      </c>
      <c r="AT75" s="64">
        <f t="shared" si="0"/>
        <v>45839</v>
      </c>
      <c r="AU75" s="64">
        <f t="shared" si="0"/>
        <v>45931</v>
      </c>
    </row>
    <row r="76" spans="1:47" s="65" customFormat="1" x14ac:dyDescent="0.25">
      <c r="G76" s="65" t="s">
        <v>551</v>
      </c>
      <c r="H76" s="66">
        <f t="shared" ref="H76:AE76" si="1">SUM(H7,0.9*H8)</f>
        <v>381383659.69999999</v>
      </c>
      <c r="I76" s="66">
        <f t="shared" si="1"/>
        <v>328075962.39999998</v>
      </c>
      <c r="J76" s="66">
        <f t="shared" si="1"/>
        <v>379266357.10000002</v>
      </c>
      <c r="K76" s="66">
        <f t="shared" si="1"/>
        <v>336253578.89999998</v>
      </c>
      <c r="L76" s="66">
        <f t="shared" si="1"/>
        <v>277814931.10000002</v>
      </c>
      <c r="M76" s="66">
        <f t="shared" si="1"/>
        <v>368121419.5</v>
      </c>
      <c r="N76" s="66">
        <f t="shared" si="1"/>
        <v>423128254.60000002</v>
      </c>
      <c r="O76" s="66">
        <f t="shared" si="1"/>
        <v>375289359.30000001</v>
      </c>
      <c r="P76" s="66">
        <f t="shared" si="1"/>
        <v>338548507.10000002</v>
      </c>
      <c r="Q76" s="66">
        <f t="shared" si="1"/>
        <v>415029028.10000002</v>
      </c>
      <c r="R76" s="66">
        <f t="shared" si="1"/>
        <v>407048080.69999999</v>
      </c>
      <c r="S76" s="66">
        <f t="shared" si="1"/>
        <v>378789890.89999998</v>
      </c>
      <c r="T76" s="66">
        <f t="shared" si="1"/>
        <v>372492659.80000001</v>
      </c>
      <c r="U76" s="66">
        <f t="shared" si="1"/>
        <v>393899061.39999998</v>
      </c>
      <c r="V76" s="66">
        <f t="shared" si="1"/>
        <v>396686453.10000002</v>
      </c>
      <c r="W76" s="66">
        <f t="shared" si="1"/>
        <v>402271955.80000001</v>
      </c>
      <c r="X76" s="66">
        <f t="shared" si="1"/>
        <v>326580303.5</v>
      </c>
      <c r="Y76" s="66">
        <f t="shared" si="1"/>
        <v>252550278</v>
      </c>
      <c r="Z76" s="66">
        <f t="shared" si="1"/>
        <v>379779868.89999998</v>
      </c>
      <c r="AA76" s="66">
        <f t="shared" si="1"/>
        <v>306530244.69999999</v>
      </c>
      <c r="AB76" s="66">
        <f t="shared" si="1"/>
        <v>325632683.39999998</v>
      </c>
      <c r="AC76" s="66">
        <f t="shared" si="1"/>
        <v>318363130.39999998</v>
      </c>
      <c r="AD76" s="66">
        <f t="shared" si="1"/>
        <v>377836128.10000002</v>
      </c>
      <c r="AE76" s="66">
        <f t="shared" si="1"/>
        <v>319286471.60000002</v>
      </c>
      <c r="AF76" s="66">
        <f t="shared" ref="AF76:AM76" si="2">AF79-AF77</f>
        <v>319947053.85039485</v>
      </c>
      <c r="AG76" s="66">
        <f t="shared" si="2"/>
        <v>305751390.76831996</v>
      </c>
      <c r="AH76" s="66">
        <f t="shared" si="2"/>
        <v>358990484.82536191</v>
      </c>
      <c r="AI76" s="66">
        <f t="shared" si="2"/>
        <v>312889611.37722909</v>
      </c>
      <c r="AJ76" s="66">
        <f t="shared" si="2"/>
        <v>314510959.9612596</v>
      </c>
      <c r="AK76" s="66">
        <f t="shared" si="2"/>
        <v>303052123.71749657</v>
      </c>
      <c r="AL76" s="66">
        <f t="shared" si="2"/>
        <v>357724197.75357813</v>
      </c>
      <c r="AM76" s="66">
        <f t="shared" si="2"/>
        <v>312499812.02553779</v>
      </c>
    </row>
    <row r="77" spans="1:47" s="65" customFormat="1" x14ac:dyDescent="0.25">
      <c r="G77" s="65" t="s">
        <v>5</v>
      </c>
      <c r="H77" s="66">
        <f t="shared" ref="H77:AE77" si="3">SUM(0.1*H8,H16:H19)</f>
        <v>50904982.299999997</v>
      </c>
      <c r="I77" s="66">
        <f t="shared" si="3"/>
        <v>41169772.600000001</v>
      </c>
      <c r="J77" s="66">
        <f t="shared" si="3"/>
        <v>46844753.899999999</v>
      </c>
      <c r="K77" s="66">
        <f t="shared" si="3"/>
        <v>38687842.100000001</v>
      </c>
      <c r="L77" s="66">
        <f t="shared" si="3"/>
        <v>39795000.899999999</v>
      </c>
      <c r="M77" s="66">
        <f t="shared" si="3"/>
        <v>42848673.5</v>
      </c>
      <c r="N77" s="66">
        <f t="shared" si="3"/>
        <v>49152301.399999999</v>
      </c>
      <c r="O77" s="66">
        <f t="shared" si="3"/>
        <v>42482357.700000003</v>
      </c>
      <c r="P77" s="66">
        <f t="shared" si="3"/>
        <v>41973456.899999999</v>
      </c>
      <c r="Q77" s="66">
        <f t="shared" si="3"/>
        <v>40297149.899999999</v>
      </c>
      <c r="R77" s="66">
        <f t="shared" si="3"/>
        <v>46877337.299999997</v>
      </c>
      <c r="S77" s="66">
        <f t="shared" si="3"/>
        <v>43494023.100000001</v>
      </c>
      <c r="T77" s="66">
        <f t="shared" si="3"/>
        <v>38612516.200000003</v>
      </c>
      <c r="U77" s="66">
        <f t="shared" si="3"/>
        <v>44486189.600000001</v>
      </c>
      <c r="V77" s="66">
        <f t="shared" si="3"/>
        <v>47299348.899999999</v>
      </c>
      <c r="W77" s="66">
        <f t="shared" si="3"/>
        <v>43634242.200000003</v>
      </c>
      <c r="X77" s="66">
        <f t="shared" si="3"/>
        <v>36176279.5</v>
      </c>
      <c r="Y77" s="66">
        <f t="shared" si="3"/>
        <v>32344049</v>
      </c>
      <c r="Z77" s="66">
        <f t="shared" si="3"/>
        <v>39113520.100000001</v>
      </c>
      <c r="AA77" s="66">
        <f t="shared" si="3"/>
        <v>34126098.299999997</v>
      </c>
      <c r="AB77" s="66">
        <f t="shared" si="3"/>
        <v>31022128.600000001</v>
      </c>
      <c r="AC77" s="66">
        <f t="shared" si="3"/>
        <v>43283555.600000001</v>
      </c>
      <c r="AD77" s="66">
        <f t="shared" si="3"/>
        <v>41217790.899999999</v>
      </c>
      <c r="AE77" s="66">
        <f t="shared" si="3"/>
        <v>37553113.399999999</v>
      </c>
      <c r="AF77" s="66">
        <f t="shared" ref="AF77:AM77" si="4">AF79*AF78</f>
        <v>36341424.824877806</v>
      </c>
      <c r="AG77" s="66">
        <f t="shared" si="4"/>
        <v>34728999.842281334</v>
      </c>
      <c r="AH77" s="66">
        <f t="shared" si="4"/>
        <v>40776202.062568948</v>
      </c>
      <c r="AI77" s="66">
        <f t="shared" si="4"/>
        <v>35539799.955988161</v>
      </c>
      <c r="AJ77" s="66">
        <f t="shared" si="4"/>
        <v>35723962.04459741</v>
      </c>
      <c r="AK77" s="66">
        <f t="shared" si="4"/>
        <v>34422401.580383793</v>
      </c>
      <c r="AL77" s="66">
        <f t="shared" si="4"/>
        <v>40632369.900740497</v>
      </c>
      <c r="AM77" s="66">
        <f t="shared" si="4"/>
        <v>35495524.30579605</v>
      </c>
    </row>
    <row r="78" spans="1:47" s="65" customFormat="1" x14ac:dyDescent="0.25">
      <c r="G78" s="67" t="s">
        <v>606</v>
      </c>
      <c r="H78" s="68">
        <f>H77/H79</f>
        <v>0.11775692755767568</v>
      </c>
      <c r="I78" s="68">
        <f t="shared" ref="I78:V78" si="5">I77/I79</f>
        <v>0.11149694823150767</v>
      </c>
      <c r="J78" s="68">
        <f t="shared" si="5"/>
        <v>0.10993553721249949</v>
      </c>
      <c r="K78" s="68">
        <f t="shared" si="5"/>
        <v>0.10318369732748199</v>
      </c>
      <c r="L78" s="68">
        <f t="shared" si="5"/>
        <v>0.12529520298502503</v>
      </c>
      <c r="M78" s="68">
        <f t="shared" si="5"/>
        <v>0.10426226684091097</v>
      </c>
      <c r="N78" s="68">
        <f t="shared" si="5"/>
        <v>0.10407437015044083</v>
      </c>
      <c r="O78" s="68">
        <f t="shared" si="5"/>
        <v>0.10168796970044768</v>
      </c>
      <c r="P78" s="68">
        <f t="shared" si="5"/>
        <v>0.11030495180562035</v>
      </c>
      <c r="Q78" s="68">
        <f t="shared" si="5"/>
        <v>8.8501719969195355E-2</v>
      </c>
      <c r="R78" s="68">
        <f t="shared" si="5"/>
        <v>0.10327101202338926</v>
      </c>
      <c r="S78" s="68">
        <f t="shared" si="5"/>
        <v>0.10299711084898204</v>
      </c>
      <c r="T78" s="68">
        <f t="shared" si="5"/>
        <v>9.3923692656207286E-2</v>
      </c>
      <c r="U78" s="68">
        <f t="shared" si="5"/>
        <v>0.10147738661034471</v>
      </c>
      <c r="V78" s="68">
        <f t="shared" si="5"/>
        <v>0.10653347176178395</v>
      </c>
      <c r="W78" s="68">
        <f t="shared" ref="W78:AE78" si="6">W77/W79</f>
        <v>9.7855204515457317E-2</v>
      </c>
      <c r="X78" s="68">
        <f t="shared" si="6"/>
        <v>9.9726045495361834E-2</v>
      </c>
      <c r="Y78" s="68">
        <f t="shared" si="6"/>
        <v>0.11352998615518238</v>
      </c>
      <c r="Z78" s="68">
        <f t="shared" si="6"/>
        <v>9.337344805888069E-2</v>
      </c>
      <c r="AA78" s="68">
        <f t="shared" si="6"/>
        <v>0.10017749265863515</v>
      </c>
      <c r="AB78" s="166">
        <f t="shared" si="6"/>
        <v>8.6980821669104522E-2</v>
      </c>
      <c r="AC78" s="166">
        <f t="shared" si="6"/>
        <v>0.11968464602493274</v>
      </c>
      <c r="AD78" s="166">
        <f t="shared" si="6"/>
        <v>9.835915864564436E-2</v>
      </c>
      <c r="AE78" s="166">
        <f t="shared" si="6"/>
        <v>0.10523808169993247</v>
      </c>
      <c r="AF78" s="166">
        <f>+BR_eth_T1</f>
        <v>0.10199999999999999</v>
      </c>
      <c r="AG78" s="166">
        <f>+BR_eth_T1</f>
        <v>0.10199999999999999</v>
      </c>
      <c r="AH78" s="166">
        <f>+BR_eth_T1</f>
        <v>0.10199999999999999</v>
      </c>
      <c r="AI78" s="166">
        <f>+BR_eth_T1</f>
        <v>0.10199999999999999</v>
      </c>
      <c r="AJ78" s="166">
        <f>+BR_eth_T0</f>
        <v>0.10199999999999999</v>
      </c>
      <c r="AK78" s="166">
        <f>+BR_eth_T0</f>
        <v>0.10199999999999999</v>
      </c>
      <c r="AL78" s="166">
        <f>+BR_eth_T0</f>
        <v>0.10199999999999999</v>
      </c>
      <c r="AM78" s="166">
        <f>+BR_eth_T0</f>
        <v>0.10199999999999999</v>
      </c>
    </row>
    <row r="79" spans="1:47" s="65" customFormat="1" ht="15.75" thickBot="1" x14ac:dyDescent="0.3">
      <c r="G79" s="69" t="s">
        <v>30</v>
      </c>
      <c r="H79" s="70">
        <f>SUM(H76:H77)</f>
        <v>432288642</v>
      </c>
      <c r="I79" s="70">
        <f t="shared" ref="I79:V79" si="7">SUM(I76:I77)</f>
        <v>369245735</v>
      </c>
      <c r="J79" s="70">
        <f t="shared" si="7"/>
        <v>426111111</v>
      </c>
      <c r="K79" s="70">
        <f t="shared" si="7"/>
        <v>374941421</v>
      </c>
      <c r="L79" s="70">
        <f t="shared" si="7"/>
        <v>317609932</v>
      </c>
      <c r="M79" s="70">
        <f t="shared" si="7"/>
        <v>410970093</v>
      </c>
      <c r="N79" s="70">
        <f t="shared" si="7"/>
        <v>472280556</v>
      </c>
      <c r="O79" s="70">
        <f t="shared" si="7"/>
        <v>417771717</v>
      </c>
      <c r="P79" s="70">
        <f t="shared" si="7"/>
        <v>380521964</v>
      </c>
      <c r="Q79" s="70">
        <f t="shared" si="7"/>
        <v>455326178</v>
      </c>
      <c r="R79" s="70">
        <f t="shared" si="7"/>
        <v>453925418</v>
      </c>
      <c r="S79" s="70">
        <f t="shared" si="7"/>
        <v>422283914</v>
      </c>
      <c r="T79" s="70">
        <f t="shared" si="7"/>
        <v>411105176</v>
      </c>
      <c r="U79" s="70">
        <f t="shared" si="7"/>
        <v>438385251</v>
      </c>
      <c r="V79" s="70">
        <f t="shared" si="7"/>
        <v>443985802</v>
      </c>
      <c r="W79" s="70">
        <f t="shared" ref="W79:AE79" si="8">SUM(W76:W77)</f>
        <v>445906198</v>
      </c>
      <c r="X79" s="70">
        <f t="shared" si="8"/>
        <v>362756583</v>
      </c>
      <c r="Y79" s="70">
        <f t="shared" si="8"/>
        <v>284894327</v>
      </c>
      <c r="Z79" s="70">
        <f t="shared" si="8"/>
        <v>418893389</v>
      </c>
      <c r="AA79" s="70">
        <f t="shared" si="8"/>
        <v>340656343</v>
      </c>
      <c r="AB79" s="70">
        <f t="shared" si="8"/>
        <v>356654812</v>
      </c>
      <c r="AC79" s="70">
        <f t="shared" si="8"/>
        <v>361646686</v>
      </c>
      <c r="AD79" s="70">
        <f t="shared" si="8"/>
        <v>419053919</v>
      </c>
      <c r="AE79" s="70">
        <f t="shared" si="8"/>
        <v>356839585</v>
      </c>
      <c r="AF79" s="132">
        <f t="shared" ref="AF79:AM79" si="9">AB79*(1+AF80)</f>
        <v>356288478.67527264</v>
      </c>
      <c r="AG79" s="132">
        <f t="shared" si="9"/>
        <v>340480390.61060131</v>
      </c>
      <c r="AH79" s="132">
        <f t="shared" si="9"/>
        <v>399766686.88793087</v>
      </c>
      <c r="AI79" s="132">
        <f t="shared" si="9"/>
        <v>348429411.33321726</v>
      </c>
      <c r="AJ79" s="132">
        <f t="shared" si="9"/>
        <v>350234922.00585699</v>
      </c>
      <c r="AK79" s="132">
        <f t="shared" si="9"/>
        <v>337474525.29788035</v>
      </c>
      <c r="AL79" s="132">
        <f t="shared" si="9"/>
        <v>398356567.65431863</v>
      </c>
      <c r="AM79" s="132">
        <f t="shared" si="9"/>
        <v>347995336.33133382</v>
      </c>
    </row>
    <row r="80" spans="1:47" s="65" customFormat="1" x14ac:dyDescent="0.25">
      <c r="G80" s="133" t="s">
        <v>634</v>
      </c>
      <c r="H80" s="134"/>
      <c r="I80" s="134"/>
      <c r="J80" s="134"/>
      <c r="K80" s="134"/>
      <c r="L80" s="135">
        <f t="shared" ref="L80:W80" si="10">L79/H79-1</f>
        <v>-0.26528272746060255</v>
      </c>
      <c r="M80" s="135">
        <f t="shared" si="10"/>
        <v>0.11299888947938697</v>
      </c>
      <c r="N80" s="135">
        <f t="shared" si="10"/>
        <v>0.10835071841156463</v>
      </c>
      <c r="O80" s="135">
        <f t="shared" si="10"/>
        <v>0.11423196691837356</v>
      </c>
      <c r="P80" s="135">
        <f t="shared" si="10"/>
        <v>0.19807954872141709</v>
      </c>
      <c r="Q80" s="135">
        <f t="shared" si="10"/>
        <v>0.10793020162661815</v>
      </c>
      <c r="R80" s="135">
        <f t="shared" si="10"/>
        <v>-3.8864903004814821E-2</v>
      </c>
      <c r="S80" s="135">
        <f t="shared" si="10"/>
        <v>1.0800628229220122E-2</v>
      </c>
      <c r="T80" s="135">
        <f t="shared" si="10"/>
        <v>8.0371739067340631E-2</v>
      </c>
      <c r="U80" s="135">
        <f t="shared" si="10"/>
        <v>-3.720613445598997E-2</v>
      </c>
      <c r="V80" s="135">
        <f t="shared" si="10"/>
        <v>-2.189702450194142E-2</v>
      </c>
      <c r="W80" s="135">
        <f t="shared" si="10"/>
        <v>5.5939341321914471E-2</v>
      </c>
      <c r="X80" s="135">
        <f t="shared" ref="X80:AE80" si="11">X79/T79-1</f>
        <v>-0.11760638353042774</v>
      </c>
      <c r="Y80" s="135">
        <f t="shared" si="11"/>
        <v>-0.35012793804050679</v>
      </c>
      <c r="Z80" s="135">
        <f t="shared" si="11"/>
        <v>-5.6516250940835233E-2</v>
      </c>
      <c r="AA80" s="135">
        <f t="shared" si="11"/>
        <v>-0.23603586465510396</v>
      </c>
      <c r="AB80" s="135">
        <f t="shared" si="11"/>
        <v>-1.682056587240488E-2</v>
      </c>
      <c r="AC80" s="135">
        <f t="shared" si="11"/>
        <v>0.26940641397889253</v>
      </c>
      <c r="AD80" s="135">
        <f t="shared" si="11"/>
        <v>3.8322399974655141E-4</v>
      </c>
      <c r="AE80" s="135">
        <f t="shared" si="11"/>
        <v>4.7506063904408258E-2</v>
      </c>
      <c r="AF80" s="137">
        <f>'[1]Quarterly Work'!J27</f>
        <v>-1.0271369189528423E-3</v>
      </c>
      <c r="AG80" s="137">
        <f>'[1]Quarterly Work'!J28</f>
        <v>-5.8527552467047106E-2</v>
      </c>
      <c r="AH80" s="137">
        <f>'[1]Quarterly Work'!J29</f>
        <v>-4.602565740965936E-2</v>
      </c>
      <c r="AI80" s="137">
        <f>'[1]Quarterly Work'!J30</f>
        <v>-2.3568499741369098E-2</v>
      </c>
      <c r="AJ80" s="137">
        <f>'[1]Quarterly Work'!J31</f>
        <v>-1.6990604613215554E-2</v>
      </c>
      <c r="AK80" s="137">
        <f>'[1]Quarterly Work'!J32</f>
        <v>-8.8283066972825175E-3</v>
      </c>
      <c r="AL80" s="137">
        <f>'[1]Quarterly Work'!J33</f>
        <v>-3.5273555297706816E-3</v>
      </c>
      <c r="AM80" s="137">
        <f>'[1]Quarterly Work'!J34</f>
        <v>-1.2458047104075831E-3</v>
      </c>
    </row>
    <row r="81" spans="7:40" s="65" customFormat="1" x14ac:dyDescent="0.25">
      <c r="G81" s="122"/>
      <c r="H81" s="23"/>
      <c r="I81" s="23"/>
      <c r="J81" s="23"/>
      <c r="K81" s="23"/>
      <c r="L81" s="46"/>
      <c r="M81" s="46"/>
      <c r="N81" s="46"/>
      <c r="O81" s="46"/>
      <c r="P81" s="46"/>
      <c r="Q81" s="46"/>
      <c r="R81" s="46"/>
      <c r="S81" s="46"/>
      <c r="T81" s="46"/>
      <c r="U81" s="46"/>
      <c r="V81" s="46"/>
      <c r="W81" s="46"/>
      <c r="X81"/>
      <c r="Y81"/>
      <c r="Z81" s="123"/>
      <c r="AA81"/>
      <c r="AB81" s="168"/>
      <c r="AC81" s="168"/>
      <c r="AD81"/>
      <c r="AE81"/>
      <c r="AF81"/>
    </row>
    <row r="82" spans="7:40" s="65" customFormat="1" x14ac:dyDescent="0.25">
      <c r="G82" s="65" t="s">
        <v>553</v>
      </c>
      <c r="H82" s="66">
        <f t="shared" ref="H82:AE82" si="12">SUM(H4,0.8*H5,0.95*H6)</f>
        <v>200546412.40000001</v>
      </c>
      <c r="I82" s="66">
        <f t="shared" si="12"/>
        <v>158442194</v>
      </c>
      <c r="J82" s="66">
        <f t="shared" si="12"/>
        <v>184357269.94999999</v>
      </c>
      <c r="K82" s="66">
        <f t="shared" si="12"/>
        <v>165547124.84999999</v>
      </c>
      <c r="L82" s="66">
        <f t="shared" si="12"/>
        <v>140610590</v>
      </c>
      <c r="M82" s="66">
        <f t="shared" si="12"/>
        <v>185101028.80000001</v>
      </c>
      <c r="N82" s="66">
        <f t="shared" si="12"/>
        <v>193155530.75</v>
      </c>
      <c r="O82" s="66">
        <f t="shared" si="12"/>
        <v>163876928.19999999</v>
      </c>
      <c r="P82" s="66">
        <f t="shared" si="12"/>
        <v>161928057.75</v>
      </c>
      <c r="Q82" s="66">
        <f t="shared" si="12"/>
        <v>181643251.14999998</v>
      </c>
      <c r="R82" s="66">
        <f t="shared" si="12"/>
        <v>204800544.40000001</v>
      </c>
      <c r="S82" s="66">
        <f t="shared" si="12"/>
        <v>168174070.40000001</v>
      </c>
      <c r="T82" s="66">
        <f t="shared" si="12"/>
        <v>174790251.40000001</v>
      </c>
      <c r="U82" s="66">
        <f t="shared" si="12"/>
        <v>169817565.84999999</v>
      </c>
      <c r="V82" s="66">
        <f t="shared" si="12"/>
        <v>191951959.25</v>
      </c>
      <c r="W82" s="66">
        <f t="shared" si="12"/>
        <v>183194227.59999999</v>
      </c>
      <c r="X82" s="66">
        <f t="shared" si="12"/>
        <v>140851202.29999998</v>
      </c>
      <c r="Y82" s="66">
        <f t="shared" si="12"/>
        <v>178439866.5</v>
      </c>
      <c r="Z82" s="66">
        <f t="shared" si="12"/>
        <v>169257305.59999999</v>
      </c>
      <c r="AA82" s="66">
        <f t="shared" si="12"/>
        <v>173246694.54999998</v>
      </c>
      <c r="AB82" s="66">
        <f t="shared" si="12"/>
        <v>180452942.05000001</v>
      </c>
      <c r="AC82" s="66">
        <f t="shared" si="12"/>
        <v>181865582.85000002</v>
      </c>
      <c r="AD82" s="66">
        <f t="shared" si="12"/>
        <v>196899970.15000001</v>
      </c>
      <c r="AE82" s="66">
        <f t="shared" si="12"/>
        <v>164118747.45000002</v>
      </c>
      <c r="AF82" s="66">
        <f t="shared" ref="AF82:AM82" si="13">AF87-SUM(AF83,AF85)</f>
        <v>172329313.63366863</v>
      </c>
      <c r="AG82" s="66">
        <f t="shared" si="13"/>
        <v>167176022.59056506</v>
      </c>
      <c r="AH82" s="66">
        <f t="shared" si="13"/>
        <v>182561943.46500716</v>
      </c>
      <c r="AI82" s="66">
        <f t="shared" si="13"/>
        <v>160351290.79662955</v>
      </c>
      <c r="AJ82" s="66">
        <f t="shared" si="13"/>
        <v>166943600.90042746</v>
      </c>
      <c r="AK82" s="66">
        <f t="shared" si="13"/>
        <v>160344085.1203672</v>
      </c>
      <c r="AL82" s="66">
        <f t="shared" si="13"/>
        <v>175819986.85951078</v>
      </c>
      <c r="AM82" s="66">
        <f t="shared" si="13"/>
        <v>154755674.97407043</v>
      </c>
    </row>
    <row r="83" spans="7:40" s="65" customFormat="1" x14ac:dyDescent="0.25">
      <c r="G83" s="65" t="s">
        <v>7</v>
      </c>
      <c r="H83" s="66">
        <f t="shared" ref="H83:AE83" si="14">SUM(H12,H5*0.2*(H12/SUM(H12:H13)),H6*0.05*(H12/SUM(H12:H13)))</f>
        <v>11867430.6</v>
      </c>
      <c r="I83" s="66">
        <f t="shared" si="14"/>
        <v>11165820</v>
      </c>
      <c r="J83" s="66">
        <f t="shared" si="14"/>
        <v>13012715.050000001</v>
      </c>
      <c r="K83" s="66">
        <f t="shared" si="14"/>
        <v>11489107.15</v>
      </c>
      <c r="L83" s="66">
        <f t="shared" si="14"/>
        <v>9104597</v>
      </c>
      <c r="M83" s="66">
        <f t="shared" si="14"/>
        <v>13400125.199999999</v>
      </c>
      <c r="N83" s="66">
        <f t="shared" si="14"/>
        <v>14471281.25</v>
      </c>
      <c r="O83" s="66">
        <f t="shared" si="14"/>
        <v>14210435.268036803</v>
      </c>
      <c r="P83" s="66">
        <f t="shared" si="14"/>
        <v>10794217.172234204</v>
      </c>
      <c r="Q83" s="66">
        <f t="shared" si="14"/>
        <v>13063325.912483048</v>
      </c>
      <c r="R83" s="66">
        <f t="shared" si="14"/>
        <v>14749408.915234635</v>
      </c>
      <c r="S83" s="66">
        <f t="shared" si="14"/>
        <v>13034116.418898588</v>
      </c>
      <c r="T83" s="66">
        <f t="shared" si="14"/>
        <v>11315967.817921368</v>
      </c>
      <c r="U83" s="66">
        <f t="shared" si="14"/>
        <v>16520225.203099381</v>
      </c>
      <c r="V83" s="66">
        <f t="shared" si="14"/>
        <v>16949908.901677188</v>
      </c>
      <c r="W83" s="66">
        <f t="shared" si="14"/>
        <v>15297240.151916169</v>
      </c>
      <c r="X83" s="66">
        <f t="shared" si="14"/>
        <v>15348223.572442209</v>
      </c>
      <c r="Y83" s="66">
        <f t="shared" si="14"/>
        <v>16208288.798798824</v>
      </c>
      <c r="Z83" s="66">
        <f t="shared" si="14"/>
        <v>18216867.571092319</v>
      </c>
      <c r="AA83" s="66">
        <f t="shared" si="14"/>
        <v>18654722.818652291</v>
      </c>
      <c r="AB83" s="66">
        <f t="shared" si="14"/>
        <v>15127470.708564309</v>
      </c>
      <c r="AC83" s="66">
        <f t="shared" si="14"/>
        <v>20163775.56557611</v>
      </c>
      <c r="AD83" s="66">
        <f t="shared" si="14"/>
        <v>18966761.179938015</v>
      </c>
      <c r="AE83" s="66">
        <f t="shared" si="14"/>
        <v>19286231.330298893</v>
      </c>
      <c r="AF83" s="66">
        <f t="shared" ref="AF83:AM83" si="15">AF87*AF84</f>
        <v>19582876.549280528</v>
      </c>
      <c r="AG83" s="66">
        <f t="shared" si="15"/>
        <v>18997275.294382393</v>
      </c>
      <c r="AH83" s="66">
        <f t="shared" si="15"/>
        <v>20745675.393750817</v>
      </c>
      <c r="AI83" s="66">
        <f t="shared" si="15"/>
        <v>18221737.590526085</v>
      </c>
      <c r="AJ83" s="66">
        <f t="shared" si="15"/>
        <v>21478124.092452656</v>
      </c>
      <c r="AK83" s="66">
        <f t="shared" si="15"/>
        <v>20629063.582737301</v>
      </c>
      <c r="AL83" s="66">
        <f t="shared" si="15"/>
        <v>22620115.268475071</v>
      </c>
      <c r="AM83" s="66">
        <f t="shared" si="15"/>
        <v>19910086.838769294</v>
      </c>
    </row>
    <row r="84" spans="7:40" s="65" customFormat="1" x14ac:dyDescent="0.25">
      <c r="G84" s="67" t="s">
        <v>606</v>
      </c>
      <c r="H84" s="68">
        <f>H83/H87</f>
        <v>5.5869384181331347E-2</v>
      </c>
      <c r="I84" s="68">
        <f t="shared" ref="I84:V84" si="16">I83/I87</f>
        <v>6.5833092061322054E-2</v>
      </c>
      <c r="J84" s="68">
        <f t="shared" si="16"/>
        <v>6.5930567152852546E-2</v>
      </c>
      <c r="K84" s="68">
        <f t="shared" si="16"/>
        <v>6.4896925449701173E-2</v>
      </c>
      <c r="L84" s="68">
        <f t="shared" si="16"/>
        <v>6.0812781805495791E-2</v>
      </c>
      <c r="M84" s="68">
        <f t="shared" si="16"/>
        <v>6.7506535503566889E-2</v>
      </c>
      <c r="N84" s="68">
        <f t="shared" si="16"/>
        <v>6.969851875392663E-2</v>
      </c>
      <c r="O84" s="68">
        <f t="shared" si="16"/>
        <v>7.9642577236442066E-2</v>
      </c>
      <c r="P84" s="68">
        <f t="shared" si="16"/>
        <v>6.2385752232972005E-2</v>
      </c>
      <c r="Q84" s="68">
        <f t="shared" si="16"/>
        <v>6.7023368584565382E-2</v>
      </c>
      <c r="R84" s="68">
        <f t="shared" si="16"/>
        <v>6.7111751966367289E-2</v>
      </c>
      <c r="S84" s="68">
        <f t="shared" si="16"/>
        <v>7.1738307743542812E-2</v>
      </c>
      <c r="T84" s="68">
        <f t="shared" si="16"/>
        <v>6.0750667673647646E-2</v>
      </c>
      <c r="U84" s="68">
        <f>U83/U87</f>
        <v>8.8439150430515756E-2</v>
      </c>
      <c r="V84" s="68">
        <f t="shared" si="16"/>
        <v>7.6943815626543066E-2</v>
      </c>
      <c r="W84" s="68">
        <f t="shared" ref="W84:AE84" si="17">W83/W87</f>
        <v>7.5432523813665373E-2</v>
      </c>
      <c r="X84" s="68">
        <f t="shared" si="17"/>
        <v>9.397262999735688E-2</v>
      </c>
      <c r="Y84" s="68">
        <f t="shared" si="17"/>
        <v>8.0703423756347439E-2</v>
      </c>
      <c r="Z84" s="68">
        <f t="shared" si="17"/>
        <v>9.7064787708608449E-2</v>
      </c>
      <c r="AA84" s="68">
        <f t="shared" si="17"/>
        <v>9.5274855769459044E-2</v>
      </c>
      <c r="AB84" s="68">
        <f t="shared" si="17"/>
        <v>7.4729514367893074E-2</v>
      </c>
      <c r="AC84" s="68">
        <f t="shared" si="17"/>
        <v>0.10002475181591224</v>
      </c>
      <c r="AD84" s="68">
        <f t="shared" si="17"/>
        <v>8.6559600124470018E-2</v>
      </c>
      <c r="AE84" s="68">
        <f t="shared" si="17"/>
        <v>0.10510870996699123</v>
      </c>
      <c r="AF84" s="68">
        <f>+BR_bio_T1</f>
        <v>0.1</v>
      </c>
      <c r="AG84" s="68">
        <f>+BR_bio_T1</f>
        <v>0.1</v>
      </c>
      <c r="AH84" s="68">
        <f>+BR_bio_T1</f>
        <v>0.1</v>
      </c>
      <c r="AI84" s="68">
        <f>+BR_bio_T1</f>
        <v>0.1</v>
      </c>
      <c r="AJ84" s="68">
        <f>+BR_bio_T0</f>
        <v>0.11</v>
      </c>
      <c r="AK84" s="68">
        <f>+BR_bio_T0</f>
        <v>0.11</v>
      </c>
      <c r="AL84" s="68">
        <f>+BR_bio_T0</f>
        <v>0.11</v>
      </c>
      <c r="AM84" s="68">
        <f>+BR_bio_T0</f>
        <v>0.11</v>
      </c>
    </row>
    <row r="85" spans="7:40" s="65" customFormat="1" x14ac:dyDescent="0.25">
      <c r="G85" s="65" t="s">
        <v>6</v>
      </c>
      <c r="H85" s="66">
        <f t="shared" ref="H85:AE85" si="18">SUM(H13,H5*0.2*(H13/SUM(H12:H13)),H6*0.05*(H13/SUM(H12:H13)))</f>
        <v>0</v>
      </c>
      <c r="I85" s="66">
        <f t="shared" si="18"/>
        <v>0</v>
      </c>
      <c r="J85" s="66">
        <f t="shared" si="18"/>
        <v>0</v>
      </c>
      <c r="K85" s="66">
        <f t="shared" si="18"/>
        <v>0</v>
      </c>
      <c r="L85" s="66">
        <f t="shared" si="18"/>
        <v>0</v>
      </c>
      <c r="M85" s="66">
        <f t="shared" si="18"/>
        <v>0</v>
      </c>
      <c r="N85" s="66">
        <f t="shared" si="18"/>
        <v>0</v>
      </c>
      <c r="O85" s="66">
        <f t="shared" si="18"/>
        <v>340253.53196319623</v>
      </c>
      <c r="P85" s="66">
        <f t="shared" si="18"/>
        <v>301481.0777657968</v>
      </c>
      <c r="Q85" s="66">
        <f t="shared" si="18"/>
        <v>200455.93751695345</v>
      </c>
      <c r="R85" s="66">
        <f t="shared" si="18"/>
        <v>223908.68476536599</v>
      </c>
      <c r="S85" s="66">
        <f t="shared" si="18"/>
        <v>481580.18110141181</v>
      </c>
      <c r="T85" s="66">
        <f t="shared" si="18"/>
        <v>162808.78207863175</v>
      </c>
      <c r="U85" s="66">
        <f t="shared" si="18"/>
        <v>459855.94690061948</v>
      </c>
      <c r="V85" s="66">
        <f t="shared" si="18"/>
        <v>11387556.848322812</v>
      </c>
      <c r="W85" s="66">
        <f t="shared" si="18"/>
        <v>4302226.2480838317</v>
      </c>
      <c r="X85" s="66">
        <f t="shared" si="18"/>
        <v>7127104.1275577899</v>
      </c>
      <c r="Y85" s="66">
        <f t="shared" si="18"/>
        <v>6189529.7012011772</v>
      </c>
      <c r="Z85" s="66">
        <f t="shared" si="18"/>
        <v>203232.82890768119</v>
      </c>
      <c r="AA85" s="66">
        <f t="shared" si="18"/>
        <v>3897596.6313477093</v>
      </c>
      <c r="AB85" s="66">
        <f t="shared" si="18"/>
        <v>6849254.2414356917</v>
      </c>
      <c r="AC85" s="66">
        <f t="shared" si="18"/>
        <v>-441499.41557611019</v>
      </c>
      <c r="AD85" s="66">
        <f t="shared" si="18"/>
        <v>3251207.6700619878</v>
      </c>
      <c r="AE85" s="66">
        <f t="shared" si="18"/>
        <v>83443.219701105278</v>
      </c>
      <c r="AF85" s="66">
        <f t="shared" ref="AF85:AM85" si="19">AF86*AF87</f>
        <v>3916575.3098561056</v>
      </c>
      <c r="AG85" s="66">
        <f t="shared" si="19"/>
        <v>3799455.0588764786</v>
      </c>
      <c r="AH85" s="66">
        <f t="shared" si="19"/>
        <v>4149135.0787501629</v>
      </c>
      <c r="AI85" s="66">
        <f t="shared" si="19"/>
        <v>3644347.5181052173</v>
      </c>
      <c r="AJ85" s="66">
        <f t="shared" si="19"/>
        <v>6833948.5748712998</v>
      </c>
      <c r="AK85" s="66">
        <f t="shared" si="19"/>
        <v>6563792.9581436869</v>
      </c>
      <c r="AL85" s="66">
        <f t="shared" si="19"/>
        <v>7197309.4036057051</v>
      </c>
      <c r="AM85" s="66">
        <f t="shared" si="19"/>
        <v>6335027.6305175032</v>
      </c>
    </row>
    <row r="86" spans="7:40" s="65" customFormat="1" x14ac:dyDescent="0.25">
      <c r="G86" s="67" t="s">
        <v>606</v>
      </c>
      <c r="H86" s="68">
        <f>H85/H87</f>
        <v>0</v>
      </c>
      <c r="I86" s="68">
        <f t="shared" ref="I86:V86" si="20">I85/I87</f>
        <v>0</v>
      </c>
      <c r="J86" s="68">
        <f t="shared" si="20"/>
        <v>0</v>
      </c>
      <c r="K86" s="68">
        <f t="shared" si="20"/>
        <v>0</v>
      </c>
      <c r="L86" s="68">
        <f t="shared" si="20"/>
        <v>0</v>
      </c>
      <c r="M86" s="68">
        <f t="shared" si="20"/>
        <v>0</v>
      </c>
      <c r="N86" s="68">
        <f t="shared" si="20"/>
        <v>0</v>
      </c>
      <c r="O86" s="68">
        <f t="shared" si="20"/>
        <v>1.9069555357184209E-3</v>
      </c>
      <c r="P86" s="68">
        <f t="shared" si="20"/>
        <v>1.7424259230957673E-3</v>
      </c>
      <c r="Q86" s="68">
        <f t="shared" si="20"/>
        <v>1.0284694935403047E-3</v>
      </c>
      <c r="R86" s="68">
        <f t="shared" si="20"/>
        <v>1.0188139878315738E-3</v>
      </c>
      <c r="S86" s="68">
        <f t="shared" si="20"/>
        <v>2.650563039697287E-3</v>
      </c>
      <c r="T86" s="68">
        <f t="shared" si="20"/>
        <v>8.7405181541309028E-4</v>
      </c>
      <c r="U86" s="68">
        <f t="shared" si="20"/>
        <v>2.4617866139428376E-3</v>
      </c>
      <c r="V86" s="68">
        <f t="shared" si="20"/>
        <v>5.1693615561994463E-2</v>
      </c>
      <c r="W86" s="68">
        <f t="shared" ref="W86:AE86" si="21">W85/W87</f>
        <v>2.1214793040279803E-2</v>
      </c>
      <c r="X86" s="68">
        <f t="shared" si="21"/>
        <v>4.3637149014050504E-2</v>
      </c>
      <c r="Y86" s="68">
        <f t="shared" si="21"/>
        <v>3.0818567248478177E-2</v>
      </c>
      <c r="Z86" s="68">
        <f t="shared" si="21"/>
        <v>1.0828838336974947E-3</v>
      </c>
      <c r="AA86" s="68">
        <f t="shared" si="21"/>
        <v>1.9906109595361442E-2</v>
      </c>
      <c r="AB86" s="68">
        <f t="shared" si="21"/>
        <v>3.383522950435764E-2</v>
      </c>
      <c r="AC86" s="68">
        <f t="shared" si="21"/>
        <v>-2.1901091552150977E-3</v>
      </c>
      <c r="AD86" s="68">
        <f t="shared" si="21"/>
        <v>1.4837706510474197E-2</v>
      </c>
      <c r="AE86" s="68">
        <f t="shared" si="21"/>
        <v>4.5476013577088408E-4</v>
      </c>
      <c r="AF86" s="68">
        <f>+BR_ren_T1</f>
        <v>0.02</v>
      </c>
      <c r="AG86" s="68">
        <f>+BR_ren_T1</f>
        <v>0.02</v>
      </c>
      <c r="AH86" s="68">
        <f>+BR_ren_T1</f>
        <v>0.02</v>
      </c>
      <c r="AI86" s="68">
        <f>+BR_ren_T1</f>
        <v>0.02</v>
      </c>
      <c r="AJ86" s="68">
        <f>+BR_ren_T0</f>
        <v>3.5000000000000003E-2</v>
      </c>
      <c r="AK86" s="68">
        <f>+BR_ren_T0</f>
        <v>3.5000000000000003E-2</v>
      </c>
      <c r="AL86" s="68">
        <f>+BR_ren_T0</f>
        <v>3.5000000000000003E-2</v>
      </c>
      <c r="AM86" s="68">
        <f>+BR_ren_T0</f>
        <v>3.5000000000000003E-2</v>
      </c>
    </row>
    <row r="87" spans="7:40" s="65" customFormat="1" ht="15.75" thickBot="1" x14ac:dyDescent="0.3">
      <c r="G87" s="69" t="s">
        <v>548</v>
      </c>
      <c r="H87" s="70">
        <f t="shared" ref="H87:AE87" si="22">SUM(H4:H6,H12:H13)</f>
        <v>212413843</v>
      </c>
      <c r="I87" s="70">
        <f t="shared" si="22"/>
        <v>169608014</v>
      </c>
      <c r="J87" s="70">
        <f t="shared" si="22"/>
        <v>197369985</v>
      </c>
      <c r="K87" s="70">
        <f t="shared" si="22"/>
        <v>177036232</v>
      </c>
      <c r="L87" s="70">
        <f t="shared" si="22"/>
        <v>149715187</v>
      </c>
      <c r="M87" s="70">
        <f t="shared" si="22"/>
        <v>198501154</v>
      </c>
      <c r="N87" s="70">
        <f t="shared" si="22"/>
        <v>207626812</v>
      </c>
      <c r="O87" s="70">
        <f t="shared" si="22"/>
        <v>178427617</v>
      </c>
      <c r="P87" s="70">
        <f t="shared" si="22"/>
        <v>173023756</v>
      </c>
      <c r="Q87" s="70">
        <f t="shared" si="22"/>
        <v>194907033</v>
      </c>
      <c r="R87" s="70">
        <f t="shared" si="22"/>
        <v>219773862</v>
      </c>
      <c r="S87" s="70">
        <f t="shared" si="22"/>
        <v>181689767</v>
      </c>
      <c r="T87" s="70">
        <f t="shared" si="22"/>
        <v>186269028</v>
      </c>
      <c r="U87" s="70">
        <f t="shared" si="22"/>
        <v>186797647</v>
      </c>
      <c r="V87" s="70">
        <f t="shared" si="22"/>
        <v>220289425</v>
      </c>
      <c r="W87" s="70">
        <f t="shared" si="22"/>
        <v>202793694</v>
      </c>
      <c r="X87" s="70">
        <f t="shared" si="22"/>
        <v>163326530</v>
      </c>
      <c r="Y87" s="70">
        <f t="shared" si="22"/>
        <v>200837685</v>
      </c>
      <c r="Z87" s="70">
        <f t="shared" si="22"/>
        <v>187677406</v>
      </c>
      <c r="AA87" s="70">
        <f t="shared" si="22"/>
        <v>195799014</v>
      </c>
      <c r="AB87" s="70">
        <f t="shared" si="22"/>
        <v>202429667</v>
      </c>
      <c r="AC87" s="70">
        <f t="shared" si="22"/>
        <v>201587859</v>
      </c>
      <c r="AD87" s="70">
        <f t="shared" si="22"/>
        <v>219117939</v>
      </c>
      <c r="AE87" s="70">
        <f t="shared" si="22"/>
        <v>183488422</v>
      </c>
      <c r="AF87" s="132">
        <f t="shared" ref="AF87:AM87" si="23">AB87*(1+AF88)</f>
        <v>195828765.49280527</v>
      </c>
      <c r="AG87" s="132">
        <f t="shared" si="23"/>
        <v>189972752.94382393</v>
      </c>
      <c r="AH87" s="132">
        <f t="shared" si="23"/>
        <v>207456753.93750814</v>
      </c>
      <c r="AI87" s="132">
        <f t="shared" si="23"/>
        <v>182217375.90526086</v>
      </c>
      <c r="AJ87" s="132">
        <f t="shared" si="23"/>
        <v>195255673.56775141</v>
      </c>
      <c r="AK87" s="132">
        <f t="shared" si="23"/>
        <v>187536941.66124818</v>
      </c>
      <c r="AL87" s="132">
        <f t="shared" si="23"/>
        <v>205637411.53159156</v>
      </c>
      <c r="AM87" s="132">
        <f t="shared" si="23"/>
        <v>181000789.44335723</v>
      </c>
    </row>
    <row r="88" spans="7:40" s="65" customFormat="1" x14ac:dyDescent="0.25">
      <c r="G88" s="133" t="s">
        <v>634</v>
      </c>
      <c r="H88" s="134"/>
      <c r="I88" s="134"/>
      <c r="J88" s="134"/>
      <c r="K88" s="134"/>
      <c r="L88" s="135">
        <f t="shared" ref="L88:W88" si="24">L87/H87-1</f>
        <v>-0.2951721748191336</v>
      </c>
      <c r="M88" s="135">
        <f t="shared" si="24"/>
        <v>0.17035244572818353</v>
      </c>
      <c r="N88" s="135">
        <f t="shared" si="24"/>
        <v>5.196751167610425E-2</v>
      </c>
      <c r="O88" s="135">
        <f t="shared" si="24"/>
        <v>7.8593233954504793E-3</v>
      </c>
      <c r="P88" s="135">
        <f t="shared" si="24"/>
        <v>0.15568606944330909</v>
      </c>
      <c r="Q88" s="135">
        <f t="shared" si="24"/>
        <v>-1.8106297759860834E-2</v>
      </c>
      <c r="R88" s="135">
        <f t="shared" si="24"/>
        <v>5.8504245588474335E-2</v>
      </c>
      <c r="S88" s="135">
        <f t="shared" si="24"/>
        <v>1.8282763928859636E-2</v>
      </c>
      <c r="T88" s="135">
        <f t="shared" si="24"/>
        <v>7.6551753968397307E-2</v>
      </c>
      <c r="U88" s="135">
        <f t="shared" si="24"/>
        <v>-4.1606430897750069E-2</v>
      </c>
      <c r="V88" s="135">
        <f t="shared" si="24"/>
        <v>2.3458795113679987E-3</v>
      </c>
      <c r="W88" s="135">
        <f t="shared" si="24"/>
        <v>0.11615363566402714</v>
      </c>
      <c r="X88" s="135">
        <f t="shared" ref="X88:AE88" si="25">X87/T87-1</f>
        <v>-0.1231686139469198</v>
      </c>
      <c r="Y88" s="135">
        <f t="shared" si="25"/>
        <v>7.5161749762297614E-2</v>
      </c>
      <c r="Z88" s="135">
        <f t="shared" si="25"/>
        <v>-0.14804169106165677</v>
      </c>
      <c r="AA88" s="135">
        <f t="shared" si="25"/>
        <v>-3.4491605049612684E-2</v>
      </c>
      <c r="AB88" s="135">
        <f t="shared" si="25"/>
        <v>0.23941693367268635</v>
      </c>
      <c r="AC88" s="135">
        <f t="shared" si="25"/>
        <v>3.7352252890188176E-3</v>
      </c>
      <c r="AD88" s="135">
        <f t="shared" si="25"/>
        <v>0.16752433694655822</v>
      </c>
      <c r="AE88" s="135">
        <f t="shared" si="25"/>
        <v>-6.2873615900844171E-2</v>
      </c>
      <c r="AF88" s="137">
        <f>'[1]Quarterly Work'!Q27+AF89</f>
        <v>-3.2608370131808395E-2</v>
      </c>
      <c r="AG88" s="137">
        <f>'[1]Quarterly Work'!Q28+AG89</f>
        <v>-5.7618083320067792E-2</v>
      </c>
      <c r="AH88" s="137">
        <f>'[1]Quarterly Work'!Q29+AH89</f>
        <v>-5.3218760251719344E-2</v>
      </c>
      <c r="AI88" s="137">
        <f>'[1]Quarterly Work'!Q30</f>
        <v>-6.9271187843075177E-3</v>
      </c>
      <c r="AJ88" s="137">
        <f>'[1]Quarterly Work'!Q31</f>
        <v>-2.9264951122561778E-3</v>
      </c>
      <c r="AK88" s="137">
        <f>'[1]Quarterly Work'!Q32</f>
        <v>-1.2821898113441699E-2</v>
      </c>
      <c r="AL88" s="137">
        <f>'[1]Quarterly Work'!Q33</f>
        <v>-8.7697429531005122E-3</v>
      </c>
      <c r="AM88" s="137">
        <f>'[1]Quarterly Work'!Q34</f>
        <v>-6.6765666877792729E-3</v>
      </c>
    </row>
    <row r="89" spans="7:40" s="65" customFormat="1" x14ac:dyDescent="0.25">
      <c r="H89" s="66"/>
      <c r="I89" s="66"/>
      <c r="J89" s="66"/>
      <c r="K89" s="66"/>
      <c r="L89" s="66"/>
      <c r="M89" s="66"/>
      <c r="N89" s="66"/>
      <c r="O89" s="66"/>
      <c r="P89" s="66"/>
      <c r="Q89" s="66"/>
      <c r="R89" s="66"/>
      <c r="S89" s="66"/>
      <c r="T89" s="66"/>
      <c r="AD89"/>
      <c r="AE89" s="8"/>
      <c r="AF89" s="8"/>
      <c r="AG89" s="8"/>
      <c r="AH89" s="8"/>
    </row>
    <row r="90" spans="7:40" s="65" customFormat="1" x14ac:dyDescent="0.25">
      <c r="G90" s="65" t="s">
        <v>608</v>
      </c>
      <c r="H90" s="66">
        <f t="shared" ref="H90:AE90" si="26">H15</f>
        <v>7061</v>
      </c>
      <c r="I90" s="66">
        <f t="shared" si="26"/>
        <v>10979</v>
      </c>
      <c r="J90" s="66">
        <f t="shared" si="26"/>
        <v>15031</v>
      </c>
      <c r="K90" s="66">
        <f t="shared" si="26"/>
        <v>14084</v>
      </c>
      <c r="L90" s="66">
        <f t="shared" si="26"/>
        <v>14322</v>
      </c>
      <c r="M90" s="66">
        <f t="shared" si="26"/>
        <v>18144</v>
      </c>
      <c r="N90" s="66">
        <f t="shared" si="26"/>
        <v>24117</v>
      </c>
      <c r="O90" s="66">
        <f t="shared" si="26"/>
        <v>22967</v>
      </c>
      <c r="P90" s="66">
        <f t="shared" si="26"/>
        <v>18643</v>
      </c>
      <c r="Q90" s="66">
        <f t="shared" si="26"/>
        <v>26424</v>
      </c>
      <c r="R90" s="66">
        <f t="shared" si="26"/>
        <v>34852</v>
      </c>
      <c r="S90" s="66">
        <f t="shared" si="26"/>
        <v>43869</v>
      </c>
      <c r="T90" s="66">
        <f t="shared" si="26"/>
        <v>43384</v>
      </c>
      <c r="U90" s="66">
        <f t="shared" si="26"/>
        <v>54052</v>
      </c>
      <c r="V90" s="66">
        <f t="shared" si="26"/>
        <v>70193</v>
      </c>
      <c r="W90" s="66">
        <f t="shared" si="26"/>
        <v>69198</v>
      </c>
      <c r="X90" s="66">
        <f t="shared" si="26"/>
        <v>54300</v>
      </c>
      <c r="Y90" s="66">
        <f t="shared" si="26"/>
        <v>37633</v>
      </c>
      <c r="Z90" s="66">
        <f t="shared" si="26"/>
        <v>72090</v>
      </c>
      <c r="AA90" s="66">
        <f t="shared" si="26"/>
        <v>67128</v>
      </c>
      <c r="AB90" s="66">
        <f t="shared" si="26"/>
        <v>74857</v>
      </c>
      <c r="AC90" s="66">
        <f t="shared" si="26"/>
        <v>108611</v>
      </c>
      <c r="AD90" s="66">
        <f t="shared" si="26"/>
        <v>141880</v>
      </c>
      <c r="AE90" s="66">
        <f t="shared" si="26"/>
        <v>146167</v>
      </c>
      <c r="AF90" s="66" cm="1">
        <f t="array" ref="AF90">TREND(Z90:AE90,Z3:AE3,AF3)</f>
        <v>164737.27570685744</v>
      </c>
      <c r="AG90" s="66" cm="1">
        <f t="array" ref="AG90">TREND(AA90:AF90,AA3:AF3,AG3)</f>
        <v>190548.92574100196</v>
      </c>
      <c r="AH90" s="66" cm="1">
        <f t="array" ref="AH90">TREND(AB90:AG90,AB3:AG3,AH3)</f>
        <v>212735.64723243378</v>
      </c>
      <c r="AI90" s="66" cm="1">
        <f t="array" ref="AI90">TREND(AC90:AH90,AC3:AH3,AI3)</f>
        <v>229327.7522928752</v>
      </c>
      <c r="AJ90" s="66" cm="1">
        <f t="array" ref="AJ90">TREND(AD90:AI90,AD3:AI3,AJ3)</f>
        <v>247337.36235020123</v>
      </c>
      <c r="AK90" s="66" cm="1">
        <f t="array" ref="AK90">TREND(AE90:AJ90,AE3:AJ3,AK3)</f>
        <v>270487.00393334031</v>
      </c>
      <c r="AL90" s="66" cm="1">
        <f t="array" ref="AL90">TREND(AF90:AK90,AF3:AK3,AL3)</f>
        <v>290627.41672282852</v>
      </c>
      <c r="AM90" s="66" cm="1">
        <f t="array" ref="AM90">TREND(AG90:AL90,AG3:AL3,AM3)</f>
        <v>309389.61238052323</v>
      </c>
    </row>
    <row r="91" spans="7:40" s="65" customFormat="1" x14ac:dyDescent="0.25">
      <c r="G91" s="65" t="s">
        <v>609</v>
      </c>
      <c r="H91" s="66">
        <f>'Electric Vehicles'!$B90*(3.6/116.09)*(H90/SUM($H90:$K90))</f>
        <v>191567.53531276336</v>
      </c>
      <c r="I91" s="66">
        <f>'Electric Vehicles'!$B90*(3.6/116.09)*(I90/SUM($H90:$K90))</f>
        <v>297864.32094587578</v>
      </c>
      <c r="J91" s="66">
        <f>'Electric Vehicles'!$B90*(3.6/116.09)*(J90/SUM($H90:$K90))</f>
        <v>407796.57602126413</v>
      </c>
      <c r="K91" s="66">
        <f>'Electric Vehicles'!$B90*(3.6/116.09)*(K90/SUM($H90:$K90))</f>
        <v>382104.11660458281</v>
      </c>
      <c r="L91" s="66">
        <f>'Electric Vehicles'!$C90*(3.6/116.09)*(L90/SUM($L90:$O90))</f>
        <v>281507.37611096178</v>
      </c>
      <c r="M91" s="66">
        <f>'Electric Vehicles'!$C90*(3.6/116.09)*(M90/SUM($L90:$O90))</f>
        <v>356631.04539570527</v>
      </c>
      <c r="N91" s="66">
        <f>'Electric Vehicles'!$C90*(3.6/116.09)*(N90/SUM($L90:$O90))</f>
        <v>474033.89119313407</v>
      </c>
      <c r="O91" s="66">
        <f>'Electric Vehicles'!$C90*(3.6/116.09)*(O90/SUM($L90:$O90))</f>
        <v>451429.96139788156</v>
      </c>
      <c r="P91" s="66">
        <f>'Electric Vehicles'!$D90*(3.6/116.09)*(P90/SUM($P90:$S90))</f>
        <v>318047.5502671334</v>
      </c>
      <c r="Q91" s="66">
        <f>'Electric Vehicles'!$D90*(3.6/116.09)*(Q90/SUM($P90:$S90))</f>
        <v>450790.5631206744</v>
      </c>
      <c r="R91" s="66">
        <f>'Electric Vehicles'!$D90*(3.6/116.09)*(R90/SUM($P90:$S90))</f>
        <v>594571.32553291484</v>
      </c>
      <c r="S91" s="66">
        <f>'Electric Vehicles'!$D90*(3.6/116.09)*(S90/SUM($P90:$S90))</f>
        <v>748400.36381853104</v>
      </c>
      <c r="T91" s="66">
        <f>'Electric Vehicles'!$E90*(3.6/118.383)*(T90/SUM($T90:$W90))</f>
        <v>483822.83333091799</v>
      </c>
      <c r="U91" s="66">
        <f>'Electric Vehicles'!$E90*(3.6/118.383)*(U90/SUM($T90:$W90))</f>
        <v>602793.46734286321</v>
      </c>
      <c r="V91" s="66">
        <f>'Electric Vehicles'!$E90*(3.6/118.383)*(V90/SUM($T90:$W90))</f>
        <v>782799.5606674609</v>
      </c>
      <c r="W91" s="66">
        <f>'Electric Vehicles'!$E90*(3.6/118.383)*(W90/SUM($T90:$W90))</f>
        <v>771703.21825633547</v>
      </c>
      <c r="X91" s="66">
        <f>'Electric Vehicles'!$F90*(3.6/122.48)*(X90/SUM($X90:$AA90))</f>
        <v>808474.95238599239</v>
      </c>
      <c r="Y91" s="66">
        <f>'Electric Vehicles'!$F90*(3.6/122.48)*(Y90/SUM($X90:$AA90))</f>
        <v>560319.29803208204</v>
      </c>
      <c r="Z91" s="66">
        <f>'Electric Vehicles'!$F90*(3.6/122.48)*(Z90/SUM($X90:$AA90))</f>
        <v>1073351.0003223976</v>
      </c>
      <c r="AA91" s="66">
        <f>'Electric Vehicles'!$F90*(3.6/122.48)*(AA90/SUM($X90:$AA90))</f>
        <v>999471.57649662788</v>
      </c>
      <c r="AB91" s="66">
        <f>'Electric Vehicles'!$G90*(3.6/122.48)*(AB90/SUM($AB90:$AE90))</f>
        <v>667264.50003799412</v>
      </c>
      <c r="AC91" s="66">
        <f>'Electric Vehicles'!$G90*(3.6/122.48)*(AC90/SUM($AB90:$AE90))</f>
        <v>968142.78709575033</v>
      </c>
      <c r="AD91" s="66">
        <f>'Electric Vehicles'!$G90*(3.6/122.48)*(AD90/SUM($AB90:$AE90))</f>
        <v>1264697.8541137183</v>
      </c>
      <c r="AE91" s="66">
        <f>'Electric Vehicles'!$G90*(3.6/122.48)*(AE90/SUM($AB90:$AE90))</f>
        <v>1302911.5537231453</v>
      </c>
      <c r="AF91" s="66">
        <f t="shared" ref="AF91:AM91" si="27">AF93*AF92</f>
        <v>1182421.7961239843</v>
      </c>
      <c r="AG91" s="66">
        <f t="shared" si="27"/>
        <v>1297049.0317845808</v>
      </c>
      <c r="AH91" s="66">
        <f t="shared" si="27"/>
        <v>1404797.5438189723</v>
      </c>
      <c r="AI91" s="66">
        <f t="shared" si="27"/>
        <v>1495227.5317635844</v>
      </c>
      <c r="AJ91" s="66">
        <f t="shared" si="27"/>
        <v>1590945.9049096922</v>
      </c>
      <c r="AK91" s="66">
        <f t="shared" si="27"/>
        <v>1708619.8209674261</v>
      </c>
      <c r="AL91" s="66">
        <f t="shared" si="27"/>
        <v>1815499.8059666567</v>
      </c>
      <c r="AM91" s="66">
        <f t="shared" si="27"/>
        <v>1919402.9658971922</v>
      </c>
    </row>
    <row r="92" spans="7:40" s="65" customFormat="1" x14ac:dyDescent="0.25">
      <c r="G92" s="67" t="s">
        <v>611</v>
      </c>
      <c r="H92" s="68">
        <f>H91/H93</f>
        <v>0.96445123059040005</v>
      </c>
      <c r="I92" s="68">
        <f t="shared" ref="I92:AA92" si="28">I91/I93</f>
        <v>0.96445123059040005</v>
      </c>
      <c r="J92" s="68">
        <f t="shared" si="28"/>
        <v>0.96445123059040005</v>
      </c>
      <c r="K92" s="68">
        <f t="shared" si="28"/>
        <v>0.96445123059040005</v>
      </c>
      <c r="L92" s="68">
        <f t="shared" si="28"/>
        <v>0.95158695803547244</v>
      </c>
      <c r="M92" s="68">
        <f t="shared" si="28"/>
        <v>0.95158695803547244</v>
      </c>
      <c r="N92" s="68">
        <f t="shared" si="28"/>
        <v>0.95158695803547244</v>
      </c>
      <c r="O92" s="68">
        <f t="shared" si="28"/>
        <v>0.95158695803547244</v>
      </c>
      <c r="P92" s="68">
        <f t="shared" si="28"/>
        <v>0.94462868059347527</v>
      </c>
      <c r="Q92" s="68">
        <f t="shared" si="28"/>
        <v>0.94462868059347527</v>
      </c>
      <c r="R92" s="68">
        <f t="shared" si="28"/>
        <v>0.94462868059347527</v>
      </c>
      <c r="S92" s="68">
        <f t="shared" si="28"/>
        <v>0.94462868059347527</v>
      </c>
      <c r="T92" s="68">
        <f t="shared" si="28"/>
        <v>0.91770971607879626</v>
      </c>
      <c r="U92" s="68">
        <f t="shared" si="28"/>
        <v>0.91770971607879626</v>
      </c>
      <c r="V92" s="68">
        <f t="shared" si="28"/>
        <v>0.91770971607879626</v>
      </c>
      <c r="W92" s="68">
        <f t="shared" si="28"/>
        <v>0.91770971607879626</v>
      </c>
      <c r="X92" s="68">
        <f t="shared" si="28"/>
        <v>0.93706354148340298</v>
      </c>
      <c r="Y92" s="68">
        <f t="shared" si="28"/>
        <v>0.93706354148340298</v>
      </c>
      <c r="Z92" s="68">
        <f t="shared" si="28"/>
        <v>0.93706354148340298</v>
      </c>
      <c r="AA92" s="68">
        <f t="shared" si="28"/>
        <v>0.93706354148340298</v>
      </c>
      <c r="AB92" s="68">
        <f t="shared" ref="AB92:AM92" si="29">TREND($H92:$AA92,$H75:$AA75,AB75)</f>
        <v>0.92066452195395332</v>
      </c>
      <c r="AC92" s="68">
        <f t="shared" si="29"/>
        <v>0.91856209950764423</v>
      </c>
      <c r="AD92" s="68">
        <f t="shared" si="29"/>
        <v>0.91643631681193161</v>
      </c>
      <c r="AE92" s="68">
        <f t="shared" si="29"/>
        <v>0.91428717386681568</v>
      </c>
      <c r="AF92" s="68">
        <f t="shared" si="29"/>
        <v>0.91213803092169976</v>
      </c>
      <c r="AG92" s="68">
        <f t="shared" si="29"/>
        <v>0.91003560847539089</v>
      </c>
      <c r="AH92" s="68">
        <f t="shared" si="29"/>
        <v>0.90790982577967827</v>
      </c>
      <c r="AI92" s="68">
        <f t="shared" si="29"/>
        <v>0.90576068283456235</v>
      </c>
      <c r="AJ92" s="68">
        <f t="shared" si="29"/>
        <v>0.90361153988944642</v>
      </c>
      <c r="AK92" s="68">
        <f t="shared" si="29"/>
        <v>0.90150911744313733</v>
      </c>
      <c r="AL92" s="68">
        <f t="shared" si="29"/>
        <v>0.89938333474742493</v>
      </c>
      <c r="AM92" s="68">
        <f t="shared" si="29"/>
        <v>0.89723419180230901</v>
      </c>
    </row>
    <row r="93" spans="7:40" s="65" customFormat="1" ht="15.75" thickBot="1" x14ac:dyDescent="0.3">
      <c r="G93" s="69" t="s">
        <v>610</v>
      </c>
      <c r="H93" s="70">
        <f t="shared" ref="H93:U93" si="30">SUM(H90:H91)</f>
        <v>198628.53531276336</v>
      </c>
      <c r="I93" s="70">
        <f t="shared" si="30"/>
        <v>308843.32094587578</v>
      </c>
      <c r="J93" s="70">
        <f t="shared" si="30"/>
        <v>422827.57602126413</v>
      </c>
      <c r="K93" s="70">
        <f t="shared" si="30"/>
        <v>396188.11660458281</v>
      </c>
      <c r="L93" s="70">
        <f t="shared" si="30"/>
        <v>295829.37611096178</v>
      </c>
      <c r="M93" s="70">
        <f t="shared" si="30"/>
        <v>374775.04539570527</v>
      </c>
      <c r="N93" s="70">
        <f t="shared" si="30"/>
        <v>498150.89119313407</v>
      </c>
      <c r="O93" s="70">
        <f t="shared" si="30"/>
        <v>474396.96139788156</v>
      </c>
      <c r="P93" s="70">
        <f t="shared" si="30"/>
        <v>336690.5502671334</v>
      </c>
      <c r="Q93" s="70">
        <f t="shared" si="30"/>
        <v>477214.5631206744</v>
      </c>
      <c r="R93" s="70">
        <f t="shared" si="30"/>
        <v>629423.32553291484</v>
      </c>
      <c r="S93" s="70">
        <f t="shared" si="30"/>
        <v>792269.36381853104</v>
      </c>
      <c r="T93" s="70">
        <f>SUM(T90:T91)</f>
        <v>527206.83333091799</v>
      </c>
      <c r="U93" s="70">
        <f t="shared" si="30"/>
        <v>656845.46734286321</v>
      </c>
      <c r="V93" s="70">
        <f t="shared" ref="V93:AE93" si="31">SUM(V90:V91)</f>
        <v>852992.5606674609</v>
      </c>
      <c r="W93" s="70">
        <f t="shared" si="31"/>
        <v>840901.21825633547</v>
      </c>
      <c r="X93" s="70">
        <f t="shared" si="31"/>
        <v>862774.95238599239</v>
      </c>
      <c r="Y93" s="70">
        <f t="shared" si="31"/>
        <v>597952.29803208204</v>
      </c>
      <c r="Z93" s="70">
        <f t="shared" si="31"/>
        <v>1145441.0003223976</v>
      </c>
      <c r="AA93" s="70">
        <f t="shared" si="31"/>
        <v>1066599.5764966279</v>
      </c>
      <c r="AB93" s="70">
        <f t="shared" si="31"/>
        <v>742121.50003799412</v>
      </c>
      <c r="AC93" s="70">
        <f t="shared" si="31"/>
        <v>1076753.7870957502</v>
      </c>
      <c r="AD93" s="70">
        <f t="shared" si="31"/>
        <v>1406577.8541137183</v>
      </c>
      <c r="AE93" s="70">
        <f t="shared" si="31"/>
        <v>1449078.5537231453</v>
      </c>
      <c r="AF93" s="132">
        <f>'Electric Vehicles'!$H$40*3102.5*(ED_eon_T1/ED_gas_T1)/4+AF90</f>
        <v>1296318.9298544733</v>
      </c>
      <c r="AG93" s="132">
        <f>'Electric Vehicles'!$H$41*3102.5*(ED_eon_T1/ED_gas_T1)/4+AG90</f>
        <v>1425272.8351559395</v>
      </c>
      <c r="AH93" s="132">
        <f>'Electric Vehicles'!$H$42*3102.5*(ED_eon_T1/ED_gas_T1)/4+AH90</f>
        <v>1547287.5212167529</v>
      </c>
      <c r="AI93" s="132">
        <f>'Electric Vehicles'!$H$43*3102.5*(ED_eon_T1/ED_gas_T1)/4+AI90</f>
        <v>1650797.5672826688</v>
      </c>
      <c r="AJ93" s="132">
        <f>'Electric Vehicles'!$H$44*3102.5*(ED_eon_T0/ED_gas_T0)/4+AJ90</f>
        <v>1760652.4869130584</v>
      </c>
      <c r="AK93" s="132">
        <f>'Electric Vehicles'!$H$45*3102.5*(ED_eon_T0/ED_gas_T0)/4+AK90</f>
        <v>1895288.45344728</v>
      </c>
      <c r="AL93" s="132">
        <f>'Electric Vehicles'!$H$46*3102.5*(ED_eon_T0/ED_gas_T0)/4+AL90</f>
        <v>2018605.1217821441</v>
      </c>
      <c r="AM93" s="132">
        <f>'Electric Vehicles'!$H$47*3102.5*(ED_eon_T0/ED_gas_T0)/4+AM90</f>
        <v>2139244.1164570572</v>
      </c>
    </row>
    <row r="94" spans="7:40" s="65" customFormat="1" x14ac:dyDescent="0.25">
      <c r="G94" s="133" t="s">
        <v>634</v>
      </c>
      <c r="H94" s="134"/>
      <c r="I94" s="134"/>
      <c r="J94" s="134"/>
      <c r="K94" s="134"/>
      <c r="L94" s="135">
        <f t="shared" ref="L94:AE94" si="32">L93/H93-1</f>
        <v>0.4893599031234086</v>
      </c>
      <c r="M94" s="135">
        <f t="shared" si="32"/>
        <v>0.21347952174553875</v>
      </c>
      <c r="N94" s="135">
        <f t="shared" si="32"/>
        <v>0.17814191751789132</v>
      </c>
      <c r="O94" s="135">
        <f t="shared" si="32"/>
        <v>0.19740330796280658</v>
      </c>
      <c r="P94" s="135">
        <f t="shared" si="32"/>
        <v>0.13812412645877714</v>
      </c>
      <c r="Q94" s="135">
        <f t="shared" si="32"/>
        <v>0.27333601578730682</v>
      </c>
      <c r="R94" s="135">
        <f t="shared" si="32"/>
        <v>0.2635194208432845</v>
      </c>
      <c r="S94" s="135">
        <f t="shared" si="32"/>
        <v>0.67005573029808407</v>
      </c>
      <c r="T94" s="135">
        <f t="shared" si="32"/>
        <v>0.5658498075239331</v>
      </c>
      <c r="U94" s="135">
        <f t="shared" si="32"/>
        <v>0.37641538650354445</v>
      </c>
      <c r="V94" s="135">
        <f t="shared" si="32"/>
        <v>0.35519693355065352</v>
      </c>
      <c r="W94" s="135">
        <f t="shared" si="32"/>
        <v>6.1382979903970458E-2</v>
      </c>
      <c r="X94" s="135">
        <f t="shared" si="32"/>
        <v>0.63650183920215708</v>
      </c>
      <c r="Y94" s="135">
        <f t="shared" si="32"/>
        <v>-8.9660616140081917E-2</v>
      </c>
      <c r="Z94" s="135">
        <f t="shared" si="32"/>
        <v>0.34284992992916341</v>
      </c>
      <c r="AA94" s="135">
        <f t="shared" si="32"/>
        <v>0.26840056042289118</v>
      </c>
      <c r="AB94" s="135">
        <f t="shared" si="32"/>
        <v>-0.13984348063690633</v>
      </c>
      <c r="AC94" s="135">
        <f t="shared" si="32"/>
        <v>0.80073526038690623</v>
      </c>
      <c r="AD94" s="135">
        <f t="shared" si="32"/>
        <v>0.22797931427094076</v>
      </c>
      <c r="AE94" s="135">
        <f t="shared" si="32"/>
        <v>0.35859659581228676</v>
      </c>
      <c r="AF94" s="135">
        <f t="shared" ref="AF94:AM94" si="33">AF93/AB93-1</f>
        <v>0.74677452383215703</v>
      </c>
      <c r="AG94" s="135">
        <f t="shared" si="33"/>
        <v>0.32367571141795048</v>
      </c>
      <c r="AH94" s="135">
        <f t="shared" si="33"/>
        <v>0.10003688504799868</v>
      </c>
      <c r="AI94" s="135">
        <f t="shared" si="33"/>
        <v>0.13920502311019844</v>
      </c>
      <c r="AJ94" s="135">
        <f t="shared" si="33"/>
        <v>0.35819391846010595</v>
      </c>
      <c r="AK94" s="135">
        <f t="shared" si="33"/>
        <v>0.32977238231016726</v>
      </c>
      <c r="AL94" s="135">
        <f t="shared" si="33"/>
        <v>0.30460893279534584</v>
      </c>
      <c r="AM94" s="135">
        <f t="shared" si="33"/>
        <v>0.29588518838103606</v>
      </c>
    </row>
    <row r="95" spans="7:40" s="65" customFormat="1" x14ac:dyDescent="0.25">
      <c r="G95" s="89"/>
      <c r="H95" s="23"/>
      <c r="I95" s="23"/>
      <c r="J95" s="23"/>
      <c r="K95" s="23"/>
      <c r="L95" s="23"/>
      <c r="M95" s="23"/>
      <c r="N95" s="23"/>
      <c r="O95" s="23"/>
      <c r="P95" s="23"/>
      <c r="Q95" s="23"/>
      <c r="R95" s="23"/>
      <c r="S95" s="23"/>
      <c r="T95" s="23"/>
      <c r="U95" s="23"/>
      <c r="V95" s="23"/>
      <c r="W95" s="23"/>
      <c r="X95" s="23"/>
      <c r="Y95" s="23"/>
      <c r="Z95" s="23"/>
      <c r="AA95" s="23"/>
      <c r="AB95" s="23"/>
      <c r="AC95" s="23"/>
      <c r="AD95" s="23"/>
      <c r="AE95" s="23"/>
    </row>
    <row r="96" spans="7:40" s="65" customFormat="1" x14ac:dyDescent="0.25">
      <c r="G96" s="89" t="s">
        <v>884</v>
      </c>
      <c r="H96" s="23">
        <f>+H90*'Constants Pivot'!$L6/'Constants Pivot'!$L12/AVERAGE('Electric Vehicles'!$H16:$H19)</f>
        <v>19.578472580491066</v>
      </c>
      <c r="I96" s="23">
        <f>+I90*'Constants Pivot'!$L6/'Constants Pivot'!$L12/AVERAGE('Electric Vehicles'!$H16:$H19)</f>
        <v>30.442154151141683</v>
      </c>
      <c r="J96" s="23">
        <f>+J90*'Constants Pivot'!$L6/'Constants Pivot'!$L12/AVERAGE('Electric Vehicles'!$H16:$H19)</f>
        <v>41.677385831661411</v>
      </c>
      <c r="K96" s="23">
        <f>+K90*'Constants Pivot'!$L6/'Constants Pivot'!$L12/AVERAGE('Electric Vehicles'!$H16:$H19)</f>
        <v>39.051580204452087</v>
      </c>
      <c r="L96" s="23">
        <f>+L90*'Constants Pivot'!$L6/'Constants Pivot'!$L12/AVERAGE('Electric Vehicles'!$H20:$H23)</f>
        <v>29.149962393162394</v>
      </c>
      <c r="M96" s="23">
        <f>+M90*'Constants Pivot'!$L6/'Constants Pivot'!$L12/AVERAGE('Electric Vehicles'!$H20:$H23)</f>
        <v>36.928984615384614</v>
      </c>
      <c r="N96" s="23">
        <f>+N90*'Constants Pivot'!$L6/'Constants Pivot'!$L12/AVERAGE('Electric Vehicles'!$H20:$H23)</f>
        <v>49.085996581196589</v>
      </c>
      <c r="O96" s="23">
        <f>+O90*'Constants Pivot'!$L6/'Constants Pivot'!$L12/AVERAGE('Electric Vehicles'!$H20:$H23)</f>
        <v>46.745369800569804</v>
      </c>
      <c r="P96" s="23">
        <f>+P90*'Constants Pivot'!$L6/'Constants Pivot'!$L12/AVERAGE('Electric Vehicles'!$H24:$H27)</f>
        <v>29.393126465910743</v>
      </c>
      <c r="Q96" s="23">
        <f>+Q90*'Constants Pivot'!$L6/'Constants Pivot'!$L12/AVERAGE('Electric Vehicles'!$H24:$H27)</f>
        <v>41.660890078593866</v>
      </c>
      <c r="R96" s="23">
        <f>+R90*'Constants Pivot'!$L6/'Constants Pivot'!$L12/AVERAGE('Electric Vehicles'!$H24:$H27)</f>
        <v>54.948733765484157</v>
      </c>
      <c r="S96" s="23">
        <f>+S90*'Constants Pivot'!$L6/'Constants Pivot'!$L12/AVERAGE('Electric Vehicles'!$H24:$H27)</f>
        <v>69.16521294496799</v>
      </c>
      <c r="T96" s="23">
        <f>+T90*'Constants Pivot'!$K6/'Constants Pivot'!$K12/AVERAGE('Electric Vehicles'!$H28:$H31)</f>
        <v>52.258120390720386</v>
      </c>
      <c r="U96" s="23">
        <f>+U90*'Constants Pivot'!$K6/'Constants Pivot'!$K12/AVERAGE('Electric Vehicles'!$H28:$H31)</f>
        <v>65.108240903540903</v>
      </c>
      <c r="V96" s="23">
        <f>+V90*'Constants Pivot'!$K6/'Constants Pivot'!$K12/AVERAGE('Electric Vehicles'!$H28:$H31)</f>
        <v>84.550853876678872</v>
      </c>
      <c r="W96" s="23">
        <f>+W90*'Constants Pivot'!$K6/'Constants Pivot'!$K12/AVERAGE('Electric Vehicles'!$H28:$H31)</f>
        <v>83.35232838827838</v>
      </c>
      <c r="X96" s="23">
        <f>+X90*'Constants Pivot'!$I6/'Constants Pivot'!$I12/AVERAGE('Electric Vehicles'!$H32:$H35)</f>
        <v>55.764454338502553</v>
      </c>
      <c r="Y96" s="23">
        <f>+Y90*'Constants Pivot'!$I6/'Constants Pivot'!$I12/AVERAGE('Electric Vehicles'!$H32:$H35)</f>
        <v>38.647950462631066</v>
      </c>
      <c r="Z96" s="23">
        <f>+Z90*'Constants Pivot'!$I6/'Constants Pivot'!$I12/AVERAGE('Electric Vehicles'!$H32:$H35)</f>
        <v>74.034245179790986</v>
      </c>
      <c r="AA96" s="23">
        <f>+AA90*'Constants Pivot'!$I6/'Constants Pivot'!$I12/AVERAGE('Electric Vehicles'!$H32:$H35)</f>
        <v>68.93842156233886</v>
      </c>
      <c r="AB96" s="23">
        <f>+AB90*'Constants Pivot'!$G6/'Constants Pivot'!$G12/AVERAGE('Electric Vehicles'!$H36:$H39)</f>
        <v>61.187727598221855</v>
      </c>
      <c r="AC96" s="23">
        <f>+AC90*'Constants Pivot'!$G6/'Constants Pivot'!$G12/AVERAGE('Electric Vehicles'!$H36:$H39)</f>
        <v>88.778073956616936</v>
      </c>
      <c r="AD96" s="23">
        <f>+AD90*'Constants Pivot'!$G6/'Constants Pivot'!$G12/AVERAGE('Electric Vehicles'!$H36:$H39)</f>
        <v>115.97198380426303</v>
      </c>
      <c r="AE96" s="23">
        <f>+AE90*'Constants Pivot'!$G6/'Constants Pivot'!$G12/AVERAGE('Electric Vehicles'!$H36:$H39)</f>
        <v>119.47615560133714</v>
      </c>
      <c r="AF96" s="23" cm="1">
        <f t="array" ref="AF96">TREND(T96:AE96,T3:AE3,AF3)-AF97</f>
        <v>98.207836431091451</v>
      </c>
      <c r="AG96" s="23" cm="1">
        <f t="array" ref="AG96">TREND(U96:AF96,U3:AF3,AG3)-AG97</f>
        <v>100.67566432997934</v>
      </c>
      <c r="AH96" s="23" cm="1">
        <f t="array" ref="AH96">TREND(V96:AG96,V3:AG3,AH3)-AH97</f>
        <v>104.68113593860177</v>
      </c>
      <c r="AI96" s="23" cm="1">
        <f t="array" ref="AI96">TREND(W96:AH96,W3:AH3,AI3)-AI97</f>
        <v>112.59887900161858</v>
      </c>
      <c r="AJ96" s="23" cm="1">
        <f t="array" ref="AJ96">TREND(X96:AI96,X3:AI3,AJ3)-AJ97</f>
        <v>121.9805846715558</v>
      </c>
      <c r="AK96" s="23" cm="1">
        <f t="array" ref="AK96">TREND(Y96:AJ96,Y3:AJ3,AK3)-AK97</f>
        <v>127.13783407631901</v>
      </c>
      <c r="AL96" s="23" cm="1">
        <f t="array" ref="AL96">TREND(Z96:AK96,Z3:AK3,AL3)-AL97</f>
        <v>127.48369605202517</v>
      </c>
      <c r="AM96" s="23" cm="1">
        <f t="array" ref="AM96">TREND(AA96:AL96,AA3:AL3,AM3)-AM97</f>
        <v>131.48630662378082</v>
      </c>
      <c r="AN96" s="66">
        <f>SUM(AJ96:AM96)</f>
        <v>508.08842142368081</v>
      </c>
    </row>
    <row r="97" spans="1:41" s="65" customFormat="1" x14ac:dyDescent="0.25">
      <c r="G97" s="89"/>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09">
        <f>+$AN97</f>
        <v>4.518872093484319</v>
      </c>
      <c r="AG97" s="209">
        <f t="shared" ref="AG97:AM97" si="34">+$AN97</f>
        <v>4.518872093484319</v>
      </c>
      <c r="AH97" s="209">
        <f t="shared" si="34"/>
        <v>4.518872093484319</v>
      </c>
      <c r="AI97" s="209">
        <f t="shared" si="34"/>
        <v>4.518872093484319</v>
      </c>
      <c r="AJ97" s="209">
        <f t="shared" si="34"/>
        <v>4.518872093484319</v>
      </c>
      <c r="AK97" s="209">
        <f t="shared" si="34"/>
        <v>4.518872093484319</v>
      </c>
      <c r="AL97" s="209">
        <f t="shared" si="34"/>
        <v>4.518872093484319</v>
      </c>
      <c r="AM97" s="209">
        <f t="shared" si="34"/>
        <v>4.518872093484319</v>
      </c>
      <c r="AN97" s="209">
        <v>4.518872093484319</v>
      </c>
    </row>
    <row r="98" spans="1:41" s="65" customFormat="1" x14ac:dyDescent="0.25">
      <c r="G98" s="89" t="s">
        <v>652</v>
      </c>
      <c r="H98" s="23">
        <f>H93*116.09/3.6/'Electric Vehicles'!$H16*4</f>
        <v>2518.7646550944532</v>
      </c>
      <c r="I98" s="23">
        <f>I93*116.09/3.6/'Electric Vehicles'!$H17*4</f>
        <v>3581.8518980006315</v>
      </c>
      <c r="J98" s="23">
        <f>J93*116.09/3.6/'Electric Vehicles'!$H18*4</f>
        <v>4523.5182236514111</v>
      </c>
      <c r="K98" s="23">
        <f>K93*116.09/3.6/'Electric Vehicles'!$H19*4</f>
        <v>3880.6184943280955</v>
      </c>
      <c r="L98" s="23">
        <f>L93*116.09/3.6/'Electric Vehicles'!$H20*4</f>
        <v>2664.8999598607561</v>
      </c>
      <c r="M98" s="23">
        <f>M93*116.09/3.6/'Electric Vehicles'!$H21*4</f>
        <v>3135.414235884999</v>
      </c>
      <c r="N98" s="23">
        <f>N93*116.09/3.6/'Electric Vehicles'!$H22*4</f>
        <v>3936.0447138751697</v>
      </c>
      <c r="O98" s="23">
        <f>O93*116.09/3.6/'Electric Vehicles'!$H23*4</f>
        <v>3534.4502364106656</v>
      </c>
      <c r="P98" s="23">
        <f>P93*116.09/3.6/'Electric Vehicles'!$H24*4</f>
        <v>2352.4911964869798</v>
      </c>
      <c r="Q98" s="23">
        <f>Q93*116.09/3.6/'Electric Vehicles'!$H25*4</f>
        <v>3134.5033230742602</v>
      </c>
      <c r="R98" s="23">
        <f>R93*116.09/3.6/'Electric Vehicles'!$H26*4</f>
        <v>3890.7660613044568</v>
      </c>
      <c r="S98" s="23">
        <f>S93*116.09/3.6/'Electric Vehicles'!$H27*4</f>
        <v>4472.9699715349579</v>
      </c>
      <c r="T98" s="23">
        <f>T93*118.383/3.6/'Electric Vehicles'!H28*4</f>
        <v>2810.1888195582055</v>
      </c>
      <c r="U98" s="23">
        <f>U93*118.383/3.6/'Electric Vehicles'!H29*4</f>
        <v>3297.8076754604785</v>
      </c>
      <c r="V98" s="23">
        <f>V93*118.383/3.6/'Electric Vehicles'!H30*4</f>
        <v>3970.1283790970679</v>
      </c>
      <c r="W98" s="23">
        <f>W93*118.383/3.6/'Electric Vehicles'!H31*4</f>
        <v>3679.2516796519812</v>
      </c>
      <c r="X98" s="23">
        <f>X93*122.48/3.6/'Electric Vehicles'!H32*4</f>
        <v>3672.288638268968</v>
      </c>
      <c r="Y98" s="23">
        <f>Y93*122.48/3.6/'Electric Vehicles'!H33*4</f>
        <v>2529.9920360572</v>
      </c>
      <c r="Z98" s="23">
        <f>Z93*122.48/3.6/'Electric Vehicles'!H34*4</f>
        <v>4689.8668097253894</v>
      </c>
      <c r="AA98" s="23">
        <f>AA93*122.48/3.6/'Electric Vehicles'!$H35*4</f>
        <v>4130.6872867041984</v>
      </c>
      <c r="AB98" s="23">
        <f>AB93*122.48/3.6/'Electric Vehicles'!$H36*4</f>
        <v>2710.8248432662158</v>
      </c>
      <c r="AC98" s="23">
        <f>AC93*122.48/3.6/'Electric Vehicles'!$H37*4</f>
        <v>3699.331662739236</v>
      </c>
      <c r="AD98" s="23">
        <f>AD93*122.48/3.6/'Electric Vehicles'!$H38*4</f>
        <v>4455.763903679087</v>
      </c>
      <c r="AE98" s="23">
        <f>AE93*122.48/3.6/'Electric Vehicles'!$H39*4</f>
        <v>4226.0305650801674</v>
      </c>
      <c r="AF98" s="23">
        <f>'Electric Vehicles'!$D101</f>
        <v>3585.4400807600091</v>
      </c>
      <c r="AG98" s="23">
        <f>'Electric Vehicles'!$D101</f>
        <v>3585.4400807600091</v>
      </c>
      <c r="AH98" s="23">
        <f>'Electric Vehicles'!$D101</f>
        <v>3585.4400807600091</v>
      </c>
      <c r="AI98" s="23">
        <f>'Electric Vehicles'!$D101</f>
        <v>3585.4400807600091</v>
      </c>
      <c r="AJ98" s="23">
        <f>'Electric Vehicles'!$D102</f>
        <v>3620.4404803517436</v>
      </c>
      <c r="AK98" s="23">
        <f>'Electric Vehicles'!$D102</f>
        <v>3620.4404803517436</v>
      </c>
      <c r="AL98" s="23">
        <f>'Electric Vehicles'!$D102</f>
        <v>3620.4404803517436</v>
      </c>
      <c r="AM98" s="23">
        <f>'Electric Vehicles'!$D102</f>
        <v>3620.4404803517436</v>
      </c>
      <c r="AO98" s="46"/>
    </row>
    <row r="99" spans="1:41" s="65" customFormat="1" x14ac:dyDescent="0.25">
      <c r="G99" s="89"/>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row>
    <row r="100" spans="1:41" s="65" customFormat="1" ht="15.75" thickBot="1" x14ac:dyDescent="0.3">
      <c r="G100" s="69" t="s">
        <v>647</v>
      </c>
      <c r="H100" s="70">
        <f t="shared" ref="H100:AC100" si="35">H14</f>
        <v>0</v>
      </c>
      <c r="I100" s="70">
        <f t="shared" si="35"/>
        <v>0</v>
      </c>
      <c r="J100" s="70">
        <f t="shared" si="35"/>
        <v>0</v>
      </c>
      <c r="K100" s="70">
        <f t="shared" si="35"/>
        <v>0</v>
      </c>
      <c r="L100" s="70">
        <f t="shared" si="35"/>
        <v>0</v>
      </c>
      <c r="M100" s="70">
        <f t="shared" si="35"/>
        <v>0</v>
      </c>
      <c r="N100" s="70">
        <f t="shared" si="35"/>
        <v>0</v>
      </c>
      <c r="O100" s="70">
        <f t="shared" si="35"/>
        <v>0</v>
      </c>
      <c r="P100" s="70">
        <f t="shared" si="35"/>
        <v>431079</v>
      </c>
      <c r="Q100" s="70">
        <f t="shared" si="35"/>
        <v>422832</v>
      </c>
      <c r="R100" s="70">
        <f t="shared" si="35"/>
        <v>440204</v>
      </c>
      <c r="S100" s="70">
        <f t="shared" si="35"/>
        <v>433671</v>
      </c>
      <c r="T100" s="70">
        <f t="shared" si="35"/>
        <v>477625</v>
      </c>
      <c r="U100" s="70">
        <f t="shared" si="35"/>
        <v>490452</v>
      </c>
      <c r="V100" s="70">
        <f t="shared" si="35"/>
        <v>605468</v>
      </c>
      <c r="W100" s="70">
        <f t="shared" si="35"/>
        <v>647037</v>
      </c>
      <c r="X100" s="70">
        <f t="shared" si="35"/>
        <v>690933</v>
      </c>
      <c r="Y100" s="70">
        <f t="shared" si="35"/>
        <v>710727</v>
      </c>
      <c r="Z100" s="70">
        <f t="shared" si="35"/>
        <v>872188</v>
      </c>
      <c r="AA100" s="70">
        <f t="shared" si="35"/>
        <v>962153</v>
      </c>
      <c r="AB100" s="70">
        <f t="shared" si="35"/>
        <v>965691</v>
      </c>
      <c r="AC100" s="70">
        <f t="shared" si="35"/>
        <v>1281340</v>
      </c>
      <c r="AD100" s="70">
        <f>AD14</f>
        <v>1319091</v>
      </c>
      <c r="AE100" s="70">
        <f>AE14</f>
        <v>1419333</v>
      </c>
      <c r="AF100" s="70">
        <f>AB100*(1+GR_eof_T1)</f>
        <v>1448536.5</v>
      </c>
      <c r="AG100" s="70">
        <f>AC100*(1+GR_eof_T1)</f>
        <v>1922010</v>
      </c>
      <c r="AH100" s="70">
        <f>AD100*(1+GR_eof_T1)</f>
        <v>1978636.5</v>
      </c>
      <c r="AI100" s="70">
        <f>AE100*(1+GR_eof_T1)</f>
        <v>2128999.5</v>
      </c>
      <c r="AJ100" s="70">
        <f>AF100*(1+GR_eof_T0)</f>
        <v>2172804.75</v>
      </c>
      <c r="AK100" s="70">
        <f>AG100*(1+GR_eof_T0)</f>
        <v>2883015</v>
      </c>
      <c r="AL100" s="70">
        <f>AH100*(1+GR_eof_T0)</f>
        <v>2967954.75</v>
      </c>
      <c r="AM100" s="70">
        <f>AI100*(1+GR_eof_T0)</f>
        <v>3193499.25</v>
      </c>
    </row>
    <row r="101" spans="1:41" s="65" customFormat="1" x14ac:dyDescent="0.25">
      <c r="G101" s="133" t="s">
        <v>634</v>
      </c>
      <c r="H101" s="134"/>
      <c r="I101" s="134"/>
      <c r="J101" s="134"/>
      <c r="K101" s="134"/>
      <c r="L101" s="135"/>
      <c r="M101" s="135"/>
      <c r="N101" s="135"/>
      <c r="O101" s="135"/>
      <c r="P101" s="135"/>
      <c r="Q101" s="135"/>
      <c r="R101" s="135"/>
      <c r="S101" s="135"/>
      <c r="T101" s="135">
        <f t="shared" ref="T101:AC101" si="36">T100/P100-1</f>
        <v>0.10797556828330768</v>
      </c>
      <c r="U101" s="135">
        <f t="shared" si="36"/>
        <v>0.1599216710182767</v>
      </c>
      <c r="V101" s="135">
        <f t="shared" si="36"/>
        <v>0.37542593888288156</v>
      </c>
      <c r="W101" s="135">
        <f t="shared" si="36"/>
        <v>0.49199969562179624</v>
      </c>
      <c r="X101" s="135">
        <f>X100/T100-1</f>
        <v>0.4466014132426066</v>
      </c>
      <c r="Y101" s="135">
        <f>Y100/U100-1</f>
        <v>0.4491265200264245</v>
      </c>
      <c r="Z101" s="135">
        <f>Z100/V100-1</f>
        <v>0.44051873922321239</v>
      </c>
      <c r="AA101" s="135">
        <f t="shared" si="36"/>
        <v>0.48701388019541381</v>
      </c>
      <c r="AB101" s="135">
        <f t="shared" si="36"/>
        <v>0.39766229142333631</v>
      </c>
      <c r="AC101" s="135">
        <f t="shared" si="36"/>
        <v>0.80285820012466114</v>
      </c>
      <c r="AD101" s="135">
        <f t="shared" ref="AD101:AM101" si="37">AD100/Z100-1</f>
        <v>0.51239297032291198</v>
      </c>
      <c r="AE101" s="135">
        <f t="shared" si="37"/>
        <v>0.47516351349525499</v>
      </c>
      <c r="AF101" s="135">
        <f t="shared" si="37"/>
        <v>0.5</v>
      </c>
      <c r="AG101" s="135">
        <f t="shared" si="37"/>
        <v>0.5</v>
      </c>
      <c r="AH101" s="135">
        <f t="shared" si="37"/>
        <v>0.5</v>
      </c>
      <c r="AI101" s="135">
        <f t="shared" si="37"/>
        <v>0.5</v>
      </c>
      <c r="AJ101" s="135">
        <f t="shared" si="37"/>
        <v>0.5</v>
      </c>
      <c r="AK101" s="135">
        <f t="shared" si="37"/>
        <v>0.5</v>
      </c>
      <c r="AL101" s="135">
        <f t="shared" si="37"/>
        <v>0.5</v>
      </c>
      <c r="AM101" s="135">
        <f t="shared" si="37"/>
        <v>0.5</v>
      </c>
    </row>
    <row r="102" spans="1:41" s="65" customFormat="1" x14ac:dyDescent="0.25"/>
    <row r="103" spans="1:41" s="65" customFormat="1" x14ac:dyDescent="0.25">
      <c r="G103" s="65" t="s">
        <v>607</v>
      </c>
      <c r="H103" s="66">
        <f>H106-H104</f>
        <v>47944</v>
      </c>
      <c r="I103" s="66">
        <f t="shared" ref="I103:V103" si="38">I106-I104</f>
        <v>83529</v>
      </c>
      <c r="J103" s="66">
        <f t="shared" si="38"/>
        <v>253637</v>
      </c>
      <c r="K103" s="66">
        <f t="shared" si="38"/>
        <v>212524</v>
      </c>
      <c r="L103" s="66">
        <f t="shared" si="38"/>
        <v>234492</v>
      </c>
      <c r="M103" s="66">
        <f t="shared" si="38"/>
        <v>224761</v>
      </c>
      <c r="N103" s="66">
        <f t="shared" si="38"/>
        <v>249111</v>
      </c>
      <c r="O103" s="66">
        <f t="shared" si="38"/>
        <v>205210</v>
      </c>
      <c r="P103" s="66">
        <f t="shared" si="38"/>
        <v>384241</v>
      </c>
      <c r="Q103" s="66">
        <f t="shared" si="38"/>
        <v>347101</v>
      </c>
      <c r="R103" s="66">
        <f t="shared" si="38"/>
        <v>321762</v>
      </c>
      <c r="S103" s="66">
        <f t="shared" si="38"/>
        <v>318875</v>
      </c>
      <c r="T103" s="66">
        <f t="shared" si="38"/>
        <v>290892</v>
      </c>
      <c r="U103" s="66">
        <f t="shared" si="38"/>
        <v>282897</v>
      </c>
      <c r="V103" s="66">
        <f t="shared" si="38"/>
        <v>307650</v>
      </c>
      <c r="W103" s="66">
        <f t="shared" ref="W103:AM103" si="39">W106-W104</f>
        <v>208357</v>
      </c>
      <c r="X103" s="66">
        <f t="shared" si="39"/>
        <v>178452</v>
      </c>
      <c r="Y103" s="66">
        <f t="shared" si="39"/>
        <v>91497</v>
      </c>
      <c r="Z103" s="66">
        <f t="shared" si="39"/>
        <v>47369</v>
      </c>
      <c r="AA103" s="66">
        <f t="shared" si="39"/>
        <v>53691</v>
      </c>
      <c r="AB103" s="66">
        <f t="shared" si="39"/>
        <v>143046</v>
      </c>
      <c r="AC103" s="66">
        <f t="shared" si="39"/>
        <v>136047</v>
      </c>
      <c r="AD103" s="66">
        <f t="shared" si="39"/>
        <v>38773</v>
      </c>
      <c r="AE103" s="66">
        <f t="shared" si="39"/>
        <v>9309</v>
      </c>
      <c r="AF103" s="66">
        <f t="shared" si="39"/>
        <v>68378.640000000014</v>
      </c>
      <c r="AG103" s="66">
        <f t="shared" si="39"/>
        <v>73072.229999999981</v>
      </c>
      <c r="AH103" s="66">
        <f t="shared" si="39"/>
        <v>75585.262499999953</v>
      </c>
      <c r="AI103" s="66">
        <f t="shared" si="39"/>
        <v>75220.034999999916</v>
      </c>
      <c r="AJ103" s="66">
        <f t="shared" si="39"/>
        <v>51056.051200000104</v>
      </c>
      <c r="AK103" s="66">
        <f t="shared" si="39"/>
        <v>54560.598400000017</v>
      </c>
      <c r="AL103" s="66">
        <f t="shared" si="39"/>
        <v>56436.996000000043</v>
      </c>
      <c r="AM103" s="66">
        <f t="shared" si="39"/>
        <v>56164.29280000017</v>
      </c>
    </row>
    <row r="104" spans="1:41" s="65" customFormat="1" x14ac:dyDescent="0.25">
      <c r="G104" s="65" t="s">
        <v>605</v>
      </c>
      <c r="H104" s="66">
        <f t="shared" ref="H104:AE104" si="40">SUM(H10:H11)</f>
        <v>88727</v>
      </c>
      <c r="I104" s="66">
        <f t="shared" si="40"/>
        <v>81346</v>
      </c>
      <c r="J104" s="66">
        <f t="shared" si="40"/>
        <v>316051</v>
      </c>
      <c r="K104" s="66">
        <f t="shared" si="40"/>
        <v>428481</v>
      </c>
      <c r="L104" s="66">
        <f t="shared" si="40"/>
        <v>419136</v>
      </c>
      <c r="M104" s="66">
        <f t="shared" si="40"/>
        <v>539292</v>
      </c>
      <c r="N104" s="66">
        <f t="shared" si="40"/>
        <v>466743</v>
      </c>
      <c r="O104" s="66">
        <f t="shared" si="40"/>
        <v>436099</v>
      </c>
      <c r="P104" s="66">
        <f t="shared" si="40"/>
        <v>271827</v>
      </c>
      <c r="Q104" s="66">
        <f t="shared" si="40"/>
        <v>434690</v>
      </c>
      <c r="R104" s="66">
        <f t="shared" si="40"/>
        <v>474288</v>
      </c>
      <c r="S104" s="66">
        <f t="shared" si="40"/>
        <v>538530</v>
      </c>
      <c r="T104" s="66">
        <f t="shared" si="40"/>
        <v>503706</v>
      </c>
      <c r="U104" s="66">
        <f t="shared" si="40"/>
        <v>555522</v>
      </c>
      <c r="V104" s="66">
        <f t="shared" si="40"/>
        <v>556925</v>
      </c>
      <c r="W104" s="66">
        <f t="shared" si="40"/>
        <v>607911</v>
      </c>
      <c r="X104" s="66">
        <f t="shared" si="40"/>
        <v>655129</v>
      </c>
      <c r="Y104" s="66">
        <f t="shared" si="40"/>
        <v>708890</v>
      </c>
      <c r="Z104" s="66">
        <f t="shared" si="40"/>
        <v>760435</v>
      </c>
      <c r="AA104" s="66">
        <f t="shared" si="40"/>
        <v>794889</v>
      </c>
      <c r="AB104" s="66">
        <f t="shared" si="40"/>
        <v>685786</v>
      </c>
      <c r="AC104" s="66">
        <f t="shared" si="40"/>
        <v>749677</v>
      </c>
      <c r="AD104" s="66">
        <f t="shared" si="40"/>
        <v>877412</v>
      </c>
      <c r="AE104" s="66">
        <f t="shared" si="40"/>
        <v>902449</v>
      </c>
      <c r="AF104" s="66">
        <f t="shared" ref="AF104:AM104" si="41">AF106*AF105</f>
        <v>843336.56</v>
      </c>
      <c r="AG104" s="66">
        <f t="shared" si="41"/>
        <v>901224.17</v>
      </c>
      <c r="AH104" s="66">
        <f t="shared" si="41"/>
        <v>932218.23750000016</v>
      </c>
      <c r="AI104" s="66">
        <f t="shared" si="41"/>
        <v>927713.76500000013</v>
      </c>
      <c r="AJ104" s="66">
        <f t="shared" si="41"/>
        <v>970064.97280000011</v>
      </c>
      <c r="AK104" s="66">
        <f t="shared" si="41"/>
        <v>1036651.3696000001</v>
      </c>
      <c r="AL104" s="66">
        <f t="shared" si="41"/>
        <v>1072302.9240000001</v>
      </c>
      <c r="AM104" s="66">
        <f t="shared" si="41"/>
        <v>1067121.5632</v>
      </c>
    </row>
    <row r="105" spans="1:41" s="65" customFormat="1" x14ac:dyDescent="0.25">
      <c r="G105" s="67" t="s">
        <v>606</v>
      </c>
      <c r="H105" s="68">
        <f>H104/H106</f>
        <v>0.64920136678593121</v>
      </c>
      <c r="I105" s="68">
        <f t="shared" ref="I105:V105" si="42">I104/I106</f>
        <v>0.49337983320697498</v>
      </c>
      <c r="J105" s="68">
        <f t="shared" si="42"/>
        <v>0.55477910716041057</v>
      </c>
      <c r="K105" s="68">
        <f t="shared" si="42"/>
        <v>0.6684518841506697</v>
      </c>
      <c r="L105" s="68">
        <f t="shared" si="42"/>
        <v>0.64124547907984353</v>
      </c>
      <c r="M105" s="68">
        <f t="shared" si="42"/>
        <v>0.70583061646247058</v>
      </c>
      <c r="N105" s="68">
        <f t="shared" si="42"/>
        <v>0.6520086498084805</v>
      </c>
      <c r="O105" s="68">
        <f t="shared" si="42"/>
        <v>0.68001384667921394</v>
      </c>
      <c r="P105" s="68">
        <f t="shared" si="42"/>
        <v>0.41432747824920585</v>
      </c>
      <c r="Q105" s="68">
        <f t="shared" si="42"/>
        <v>0.55601816853865038</v>
      </c>
      <c r="R105" s="68">
        <f t="shared" si="42"/>
        <v>0.5958017712455248</v>
      </c>
      <c r="S105" s="68">
        <f t="shared" si="42"/>
        <v>0.62809290825222619</v>
      </c>
      <c r="T105" s="68">
        <f t="shared" si="42"/>
        <v>0.63391299751572494</v>
      </c>
      <c r="U105" s="68">
        <f t="shared" si="42"/>
        <v>0.66258278975070939</v>
      </c>
      <c r="V105" s="68">
        <f t="shared" si="42"/>
        <v>0.64416042564265674</v>
      </c>
      <c r="W105" s="68">
        <f t="shared" ref="W105:AE105" si="43">W104/W106</f>
        <v>0.7447443731715564</v>
      </c>
      <c r="X105" s="68">
        <f t="shared" si="43"/>
        <v>0.78592122421216415</v>
      </c>
      <c r="Y105" s="68">
        <f t="shared" si="43"/>
        <v>0.88568405034064768</v>
      </c>
      <c r="Z105" s="68">
        <f t="shared" si="43"/>
        <v>0.94136077563369336</v>
      </c>
      <c r="AA105" s="68">
        <f t="shared" si="43"/>
        <v>0.93672841688467789</v>
      </c>
      <c r="AB105" s="68">
        <f t="shared" si="43"/>
        <v>0.8274125516389329</v>
      </c>
      <c r="AC105" s="68">
        <f t="shared" si="43"/>
        <v>0.84640023302970224</v>
      </c>
      <c r="AD105" s="68">
        <f t="shared" si="43"/>
        <v>0.95767994455268313</v>
      </c>
      <c r="AE105" s="68">
        <f t="shared" si="43"/>
        <v>0.9897900539397515</v>
      </c>
      <c r="AF105" s="68">
        <f>BR_bgs_T1</f>
        <v>0.92500000000000004</v>
      </c>
      <c r="AG105" s="68">
        <f>BR_bgs_T1</f>
        <v>0.92500000000000004</v>
      </c>
      <c r="AH105" s="68">
        <f>BR_bgs_T1</f>
        <v>0.92500000000000004</v>
      </c>
      <c r="AI105" s="68">
        <f>BR_bgs_T1</f>
        <v>0.92500000000000004</v>
      </c>
      <c r="AJ105" s="68">
        <f>BR_bgs_T0</f>
        <v>0.95</v>
      </c>
      <c r="AK105" s="68">
        <f>BR_bgs_T0</f>
        <v>0.95</v>
      </c>
      <c r="AL105" s="68">
        <f>BR_bgs_T0</f>
        <v>0.95</v>
      </c>
      <c r="AM105" s="68">
        <f>BR_bgs_T0</f>
        <v>0.95</v>
      </c>
    </row>
    <row r="106" spans="1:41" s="65" customFormat="1" ht="15.75" thickBot="1" x14ac:dyDescent="0.3">
      <c r="G106" s="69" t="s">
        <v>10</v>
      </c>
      <c r="H106" s="70">
        <f t="shared" ref="H106:AE106" si="44">SUM(H10,H11,H20,H21)</f>
        <v>136671</v>
      </c>
      <c r="I106" s="70">
        <f t="shared" si="44"/>
        <v>164875</v>
      </c>
      <c r="J106" s="70">
        <f t="shared" si="44"/>
        <v>569688</v>
      </c>
      <c r="K106" s="70">
        <f t="shared" si="44"/>
        <v>641005</v>
      </c>
      <c r="L106" s="70">
        <f t="shared" si="44"/>
        <v>653628</v>
      </c>
      <c r="M106" s="70">
        <f t="shared" si="44"/>
        <v>764053</v>
      </c>
      <c r="N106" s="70">
        <f t="shared" si="44"/>
        <v>715854</v>
      </c>
      <c r="O106" s="70">
        <f t="shared" si="44"/>
        <v>641309</v>
      </c>
      <c r="P106" s="70">
        <f t="shared" si="44"/>
        <v>656068</v>
      </c>
      <c r="Q106" s="70">
        <f t="shared" si="44"/>
        <v>781791</v>
      </c>
      <c r="R106" s="70">
        <f t="shared" si="44"/>
        <v>796050</v>
      </c>
      <c r="S106" s="70">
        <f t="shared" si="44"/>
        <v>857405</v>
      </c>
      <c r="T106" s="70">
        <f t="shared" si="44"/>
        <v>794598</v>
      </c>
      <c r="U106" s="70">
        <f t="shared" si="44"/>
        <v>838419</v>
      </c>
      <c r="V106" s="70">
        <f t="shared" si="44"/>
        <v>864575</v>
      </c>
      <c r="W106" s="70">
        <f t="shared" si="44"/>
        <v>816268</v>
      </c>
      <c r="X106" s="70">
        <f t="shared" si="44"/>
        <v>833581</v>
      </c>
      <c r="Y106" s="70">
        <f t="shared" si="44"/>
        <v>800387</v>
      </c>
      <c r="Z106" s="70">
        <f t="shared" si="44"/>
        <v>807804</v>
      </c>
      <c r="AA106" s="70">
        <f t="shared" si="44"/>
        <v>848580</v>
      </c>
      <c r="AB106" s="70">
        <f t="shared" si="44"/>
        <v>828832</v>
      </c>
      <c r="AC106" s="70">
        <f t="shared" si="44"/>
        <v>885724</v>
      </c>
      <c r="AD106" s="70">
        <f t="shared" si="44"/>
        <v>916185</v>
      </c>
      <c r="AE106" s="70">
        <f t="shared" si="44"/>
        <v>911758</v>
      </c>
      <c r="AF106" s="132">
        <f>AB106*(1+GR_ng_T1)</f>
        <v>911715.20000000007</v>
      </c>
      <c r="AG106" s="132">
        <f>AC106*(1+GR_ng_T1)</f>
        <v>974296.4</v>
      </c>
      <c r="AH106" s="132">
        <f>AD106*(1+GR_ng_T1)</f>
        <v>1007803.5000000001</v>
      </c>
      <c r="AI106" s="132">
        <f>AE106*(1+GR_ng_T1)</f>
        <v>1002933.8</v>
      </c>
      <c r="AJ106" s="132">
        <f>AF106*(1+GR_ng_T0)</f>
        <v>1021121.0240000002</v>
      </c>
      <c r="AK106" s="132">
        <f>AG106*(1+GR_ng_T0)</f>
        <v>1091211.9680000001</v>
      </c>
      <c r="AL106" s="132">
        <f>AH106*(1+GR_ng_T0)</f>
        <v>1128739.9200000002</v>
      </c>
      <c r="AM106" s="132">
        <f>AI106*(1+GR_ng_T0)</f>
        <v>1123285.8560000001</v>
      </c>
    </row>
    <row r="107" spans="1:41" s="65" customFormat="1" x14ac:dyDescent="0.25">
      <c r="G107" s="133" t="s">
        <v>634</v>
      </c>
      <c r="H107" s="134"/>
      <c r="I107" s="134"/>
      <c r="J107" s="134"/>
      <c r="K107" s="134"/>
      <c r="L107" s="135">
        <f t="shared" ref="L107:AA107" si="45">L106/H106-1</f>
        <v>3.7824922624404591</v>
      </c>
      <c r="M107" s="135">
        <f t="shared" si="45"/>
        <v>3.6341349507202425</v>
      </c>
      <c r="N107" s="135">
        <f t="shared" si="45"/>
        <v>0.25657201836794874</v>
      </c>
      <c r="O107" s="135">
        <f t="shared" si="45"/>
        <v>4.7425527101974119E-4</v>
      </c>
      <c r="P107" s="135">
        <f t="shared" si="45"/>
        <v>3.7330102137607124E-3</v>
      </c>
      <c r="Q107" s="135">
        <f t="shared" si="45"/>
        <v>2.3215666975981986E-2</v>
      </c>
      <c r="R107" s="135">
        <f t="shared" si="45"/>
        <v>0.11202843037826149</v>
      </c>
      <c r="S107" s="135">
        <f t="shared" si="45"/>
        <v>0.33696080984361676</v>
      </c>
      <c r="T107" s="135">
        <f t="shared" si="45"/>
        <v>0.21115189279160096</v>
      </c>
      <c r="U107" s="135">
        <f t="shared" si="45"/>
        <v>7.2433681124494997E-2</v>
      </c>
      <c r="V107" s="135">
        <f t="shared" si="45"/>
        <v>8.6081276301739784E-2</v>
      </c>
      <c r="W107" s="135">
        <f t="shared" si="45"/>
        <v>-4.7978493244149489E-2</v>
      </c>
      <c r="X107" s="135">
        <f>X106/T106-1</f>
        <v>4.9060027837976028E-2</v>
      </c>
      <c r="Y107" s="135">
        <f>Y106/U106-1</f>
        <v>-4.53615674263107E-2</v>
      </c>
      <c r="Z107" s="135">
        <f>Z106/V106-1</f>
        <v>-6.5663476274470112E-2</v>
      </c>
      <c r="AA107" s="135">
        <f t="shared" si="45"/>
        <v>3.9585038247242244E-2</v>
      </c>
      <c r="AB107" s="135">
        <f t="shared" ref="AB107:AM107" si="46">AB106/X106-1</f>
        <v>-5.6971068198531372E-3</v>
      </c>
      <c r="AC107" s="135">
        <f t="shared" si="46"/>
        <v>0.1066196727333153</v>
      </c>
      <c r="AD107" s="135">
        <f t="shared" si="46"/>
        <v>0.13416744655881874</v>
      </c>
      <c r="AE107" s="135">
        <f t="shared" si="46"/>
        <v>7.445143651747621E-2</v>
      </c>
      <c r="AF107" s="135">
        <f t="shared" si="46"/>
        <v>0.10000000000000009</v>
      </c>
      <c r="AG107" s="135">
        <f t="shared" si="46"/>
        <v>0.10000000000000009</v>
      </c>
      <c r="AH107" s="135">
        <f t="shared" si="46"/>
        <v>0.10000000000000009</v>
      </c>
      <c r="AI107" s="135">
        <f t="shared" si="46"/>
        <v>0.10000000000000009</v>
      </c>
      <c r="AJ107" s="135">
        <f t="shared" si="46"/>
        <v>0.12000000000000011</v>
      </c>
      <c r="AK107" s="135">
        <f t="shared" si="46"/>
        <v>0.12000000000000011</v>
      </c>
      <c r="AL107" s="135">
        <f t="shared" si="46"/>
        <v>0.12000000000000011</v>
      </c>
      <c r="AM107" s="135">
        <f t="shared" si="46"/>
        <v>0.12000000000000011</v>
      </c>
    </row>
    <row r="108" spans="1:41" s="65" customFormat="1" x14ac:dyDescent="0.25"/>
    <row r="109" spans="1:41" s="65" customFormat="1" ht="15.75" thickBot="1" x14ac:dyDescent="0.3">
      <c r="G109" s="69" t="s">
        <v>612</v>
      </c>
      <c r="H109" s="70">
        <f t="shared" ref="H109:AE109" si="47">SUM(H22:H23)</f>
        <v>18821</v>
      </c>
      <c r="I109" s="70">
        <f t="shared" si="47"/>
        <v>18876</v>
      </c>
      <c r="J109" s="70">
        <f t="shared" si="47"/>
        <v>7995</v>
      </c>
      <c r="K109" s="70">
        <f t="shared" si="47"/>
        <v>19358</v>
      </c>
      <c r="L109" s="70">
        <f t="shared" si="47"/>
        <v>20826</v>
      </c>
      <c r="M109" s="70">
        <f t="shared" si="47"/>
        <v>43505</v>
      </c>
      <c r="N109" s="70">
        <f t="shared" si="47"/>
        <v>24333</v>
      </c>
      <c r="O109" s="70">
        <f t="shared" si="47"/>
        <v>39627</v>
      </c>
      <c r="P109" s="70">
        <f t="shared" si="47"/>
        <v>138064</v>
      </c>
      <c r="Q109" s="70">
        <f t="shared" si="47"/>
        <v>152677</v>
      </c>
      <c r="R109" s="70">
        <f t="shared" si="47"/>
        <v>162962</v>
      </c>
      <c r="S109" s="70">
        <f t="shared" si="47"/>
        <v>286715</v>
      </c>
      <c r="T109" s="70">
        <f t="shared" si="47"/>
        <v>495110</v>
      </c>
      <c r="U109" s="70">
        <f t="shared" si="47"/>
        <v>365157</v>
      </c>
      <c r="V109" s="70">
        <f t="shared" si="47"/>
        <v>486957</v>
      </c>
      <c r="W109" s="70">
        <f t="shared" si="47"/>
        <v>708353</v>
      </c>
      <c r="X109" s="70">
        <f t="shared" si="47"/>
        <v>675568</v>
      </c>
      <c r="Y109" s="70">
        <f t="shared" si="47"/>
        <v>236707</v>
      </c>
      <c r="Z109" s="70">
        <f t="shared" si="47"/>
        <v>229332</v>
      </c>
      <c r="AA109" s="70">
        <f t="shared" si="47"/>
        <v>333561</v>
      </c>
      <c r="AB109" s="70">
        <f t="shared" si="47"/>
        <v>419595</v>
      </c>
      <c r="AC109" s="70">
        <f t="shared" si="47"/>
        <v>691611</v>
      </c>
      <c r="AD109" s="70">
        <f t="shared" si="47"/>
        <v>534231</v>
      </c>
      <c r="AE109" s="70">
        <f t="shared" si="47"/>
        <v>798824</v>
      </c>
      <c r="AF109" s="132">
        <f>AVERAGE(AB109:AE109)*(1+GR_lp_T1)</f>
        <v>763831.5625</v>
      </c>
      <c r="AG109" s="132">
        <f>AVERAGE(AC109:AF109)*(1+GR_lp_T1)</f>
        <v>871405.48828125</v>
      </c>
      <c r="AH109" s="132">
        <f>AVERAGE(AD109:AG109)*(1+GR_lp_T1)</f>
        <v>927591.26586914063</v>
      </c>
      <c r="AI109" s="132">
        <f>AVERAGE(AE109:AH109)*(1+GR_lp_T1)</f>
        <v>1050516.3489532471</v>
      </c>
      <c r="AJ109" s="132">
        <f>AVERAGE(AF109:AI109)*(1+GR_lp_T0)</f>
        <v>1129170.2080011368</v>
      </c>
      <c r="AK109" s="132">
        <f>AVERAGE(AG109:AJ109)*(1+GR_lp_T0)</f>
        <v>1243338.534720242</v>
      </c>
      <c r="AL109" s="132">
        <f>AVERAGE(AH109:AK109)*(1+GR_lp_T0)</f>
        <v>1359567.611732427</v>
      </c>
      <c r="AM109" s="132">
        <f>AVERAGE(AI109:AL109)*(1+GR_lp_T0)</f>
        <v>1494560.219814704</v>
      </c>
    </row>
    <row r="110" spans="1:41" s="65" customFormat="1" x14ac:dyDescent="0.25">
      <c r="G110" s="133" t="s">
        <v>634</v>
      </c>
      <c r="H110" s="134"/>
      <c r="I110" s="134"/>
      <c r="J110" s="134"/>
      <c r="K110" s="134"/>
      <c r="L110" s="135">
        <f t="shared" ref="L110:AA110" si="48">L109/H109-1</f>
        <v>0.10652993996068227</v>
      </c>
      <c r="M110" s="135">
        <f t="shared" si="48"/>
        <v>1.3047785547785549</v>
      </c>
      <c r="N110" s="135">
        <f t="shared" si="48"/>
        <v>2.0435272045028143</v>
      </c>
      <c r="O110" s="135">
        <f t="shared" si="48"/>
        <v>1.0470606467610288</v>
      </c>
      <c r="P110" s="135">
        <f t="shared" si="48"/>
        <v>5.629405550753865</v>
      </c>
      <c r="Q110" s="135">
        <f t="shared" si="48"/>
        <v>2.5094127111826228</v>
      </c>
      <c r="R110" s="135">
        <f t="shared" si="48"/>
        <v>5.6971602350717134</v>
      </c>
      <c r="S110" s="135">
        <f t="shared" si="48"/>
        <v>6.2353445882857645</v>
      </c>
      <c r="T110" s="135">
        <f t="shared" si="48"/>
        <v>2.5860905087495656</v>
      </c>
      <c r="U110" s="135">
        <f t="shared" si="48"/>
        <v>1.3916961952356934</v>
      </c>
      <c r="V110" s="135">
        <f t="shared" si="48"/>
        <v>1.9881628845988635</v>
      </c>
      <c r="W110" s="135">
        <f t="shared" si="48"/>
        <v>1.4705822855448791</v>
      </c>
      <c r="X110" s="135">
        <f>X109/T109-1</f>
        <v>0.36448062046817875</v>
      </c>
      <c r="Y110" s="135">
        <f>Y109/U109-1</f>
        <v>-0.35176650043679847</v>
      </c>
      <c r="Z110" s="135">
        <f>Z109/V109-1</f>
        <v>-0.52905081968223067</v>
      </c>
      <c r="AA110" s="135">
        <f t="shared" si="48"/>
        <v>-0.52910342724602</v>
      </c>
      <c r="AB110" s="135">
        <f t="shared" ref="AB110:AM110" si="49">AB109/X109-1</f>
        <v>-0.37890042157118153</v>
      </c>
      <c r="AC110" s="135">
        <f t="shared" si="49"/>
        <v>1.9218020590857052</v>
      </c>
      <c r="AD110" s="135">
        <f t="shared" si="49"/>
        <v>1.3295091831929255</v>
      </c>
      <c r="AE110" s="135">
        <f t="shared" si="49"/>
        <v>1.3948363267888033</v>
      </c>
      <c r="AF110" s="135">
        <f t="shared" si="49"/>
        <v>0.82040196499005003</v>
      </c>
      <c r="AG110" s="135">
        <f t="shared" si="49"/>
        <v>0.25996476094401322</v>
      </c>
      <c r="AH110" s="135">
        <f t="shared" si="49"/>
        <v>0.73631119472501716</v>
      </c>
      <c r="AI110" s="135">
        <f t="shared" si="49"/>
        <v>0.31507860173611091</v>
      </c>
      <c r="AJ110" s="135">
        <f t="shared" si="49"/>
        <v>0.47829739361043599</v>
      </c>
      <c r="AK110" s="135">
        <f t="shared" si="49"/>
        <v>0.42681971991315826</v>
      </c>
      <c r="AL110" s="135">
        <f t="shared" si="49"/>
        <v>0.46569686645176667</v>
      </c>
      <c r="AM110" s="135">
        <f t="shared" si="49"/>
        <v>0.42269106168972059</v>
      </c>
    </row>
    <row r="111" spans="1:41" s="123" customFormat="1" x14ac:dyDescent="0.25">
      <c r="A111" s="168"/>
      <c r="B111" s="168"/>
      <c r="C111" s="168"/>
      <c r="D111" s="168"/>
    </row>
    <row r="112" spans="1:41" s="123" customFormat="1" x14ac:dyDescent="0.25">
      <c r="A112" s="168"/>
      <c r="B112" s="168"/>
      <c r="C112" s="168"/>
      <c r="D112" s="168"/>
    </row>
    <row r="113" spans="5:39" ht="21" x14ac:dyDescent="0.35">
      <c r="E113" s="91" t="s">
        <v>702</v>
      </c>
    </row>
    <row r="114" spans="5:39" x14ac:dyDescent="0.25">
      <c r="F114" s="63" t="s">
        <v>23</v>
      </c>
      <c r="G114" s="2" t="s">
        <v>4</v>
      </c>
      <c r="H114" s="3">
        <f>SUM(H131:H132)</f>
        <v>-104666.70000000001</v>
      </c>
      <c r="I114" s="3">
        <f t="shared" ref="I114:W114" si="50">SUM(I131:I132)</f>
        <v>-91075.400000000009</v>
      </c>
      <c r="J114" s="3">
        <f t="shared" si="50"/>
        <v>-105242.4</v>
      </c>
      <c r="K114" s="3">
        <f t="shared" si="50"/>
        <v>-89566.2</v>
      </c>
      <c r="L114" s="3">
        <f t="shared" si="50"/>
        <v>-81537.3</v>
      </c>
      <c r="M114" s="3">
        <f t="shared" si="50"/>
        <v>-108290.40000000001</v>
      </c>
      <c r="N114" s="3">
        <f t="shared" si="50"/>
        <v>-123422</v>
      </c>
      <c r="O114" s="3">
        <f t="shared" si="50"/>
        <v>-110304.8</v>
      </c>
      <c r="P114" s="3">
        <f t="shared" si="50"/>
        <v>-124566.8</v>
      </c>
      <c r="Q114" s="3">
        <f t="shared" si="50"/>
        <v>-153088.5</v>
      </c>
      <c r="R114" s="3">
        <f t="shared" si="50"/>
        <v>-150391.80000000002</v>
      </c>
      <c r="S114" s="3">
        <f t="shared" si="50"/>
        <v>-140966.5</v>
      </c>
      <c r="T114" s="3">
        <f t="shared" si="50"/>
        <v>-157541.1</v>
      </c>
      <c r="U114" s="3">
        <f t="shared" si="50"/>
        <v>-167024.70000000001</v>
      </c>
      <c r="V114" s="3">
        <f t="shared" si="50"/>
        <v>-168930.4</v>
      </c>
      <c r="W114" s="3">
        <f t="shared" si="50"/>
        <v>-171681.3</v>
      </c>
      <c r="X114" s="3">
        <f t="shared" ref="X114:AE114" si="51">SUM(X131:X132)</f>
        <v>-191369.4</v>
      </c>
      <c r="Y114" s="3">
        <f t="shared" si="51"/>
        <v>-149051.5</v>
      </c>
      <c r="Z114" s="3">
        <f t="shared" si="51"/>
        <v>-221342.2</v>
      </c>
      <c r="AA114" s="3">
        <f t="shared" si="51"/>
        <v>-180616</v>
      </c>
      <c r="AB114" s="3">
        <f t="shared" si="51"/>
        <v>-230065.5</v>
      </c>
      <c r="AC114" s="3">
        <f t="shared" si="51"/>
        <v>-227991.90000000002</v>
      </c>
      <c r="AD114" s="3">
        <f t="shared" si="51"/>
        <v>-268735.5</v>
      </c>
      <c r="AE114" s="3">
        <f t="shared" si="51"/>
        <v>-227606.9</v>
      </c>
      <c r="AF114" s="3">
        <f t="shared" ref="AF114" si="52">SUM(AF131:AF132)</f>
        <v>-279326.59999999998</v>
      </c>
      <c r="AG114" s="3">
        <f>AG76*ED_gas_T1*(CIT_gas_T1-CIA_gas_T1)/1000000</f>
        <v>-261764.52808571359</v>
      </c>
      <c r="AH114" s="3">
        <f>AH76*ED_gas_T1*(CIT_gas_T1-CIA_gas_T1)/1000000</f>
        <v>-307344.3905240579</v>
      </c>
      <c r="AI114" s="3">
        <f>AI76*ED_gas_T1*(CIT_gas_T1-CIA_gas_T1)/1000000</f>
        <v>-267875.81001436611</v>
      </c>
      <c r="AJ114" s="3">
        <f>AJ76*ED_gas_T0*(CIT_gas_T0-CIA_gas_T0)/1000000</f>
        <v>-325890.21810142574</v>
      </c>
      <c r="AK114" s="3">
        <f>AK76*ED_gas_T0*(CIT_gas_T0-CIA_gas_T0)/1000000</f>
        <v>-314016.79199529439</v>
      </c>
      <c r="AL114" s="3">
        <f>AL76*ED_gas_T0*(CIT_gas_T0-CIA_gas_T0)/1000000</f>
        <v>-370666.9454076605</v>
      </c>
      <c r="AM114" s="3">
        <f>AM76*ED_gas_T0*(CIT_gas_T0-CIA_gas_T0)/1000000</f>
        <v>-323806.30522447114</v>
      </c>
    </row>
    <row r="115" spans="5:39" ht="15.75" thickBot="1" x14ac:dyDescent="0.3">
      <c r="F115" s="55"/>
      <c r="G115" s="56" t="s">
        <v>3</v>
      </c>
      <c r="H115" s="71">
        <f t="shared" ref="H115:W115" si="53">SUM(H135:H136)</f>
        <v>-56144.7</v>
      </c>
      <c r="I115" s="71">
        <f t="shared" si="53"/>
        <v>-46139.6</v>
      </c>
      <c r="J115" s="71">
        <f t="shared" si="53"/>
        <v>-54088.950000000004</v>
      </c>
      <c r="K115" s="71">
        <f t="shared" si="53"/>
        <v>-47907.55</v>
      </c>
      <c r="L115" s="71">
        <f t="shared" si="53"/>
        <v>-45305.8</v>
      </c>
      <c r="M115" s="71">
        <f t="shared" si="53"/>
        <v>-60071.8</v>
      </c>
      <c r="N115" s="71">
        <f t="shared" si="53"/>
        <v>-62759.850000000006</v>
      </c>
      <c r="O115" s="71">
        <f t="shared" si="53"/>
        <v>-52680.35</v>
      </c>
      <c r="P115" s="71">
        <f t="shared" si="53"/>
        <v>-66214.650000000009</v>
      </c>
      <c r="Q115" s="71">
        <f t="shared" si="53"/>
        <v>-75088.049999999988</v>
      </c>
      <c r="R115" s="71">
        <f t="shared" si="53"/>
        <v>-84730.95</v>
      </c>
      <c r="S115" s="71">
        <f t="shared" si="53"/>
        <v>-69835.900000000009</v>
      </c>
      <c r="T115" s="71">
        <f t="shared" si="53"/>
        <v>-81664.499999999985</v>
      </c>
      <c r="U115" s="71">
        <f t="shared" si="53"/>
        <v>-79437.100000000006</v>
      </c>
      <c r="V115" s="71">
        <f t="shared" si="53"/>
        <v>-89560.85</v>
      </c>
      <c r="W115" s="71">
        <f t="shared" si="53"/>
        <v>-86180.3</v>
      </c>
      <c r="X115" s="71">
        <f t="shared" ref="X115:AE115" si="54">SUM(X135:X136)</f>
        <v>-87815.3</v>
      </c>
      <c r="Y115" s="71">
        <f t="shared" si="54"/>
        <v>-110603.45</v>
      </c>
      <c r="Z115" s="71">
        <f t="shared" si="54"/>
        <v>-105517.4</v>
      </c>
      <c r="AA115" s="71">
        <f t="shared" si="54"/>
        <v>-107588.55</v>
      </c>
      <c r="AB115" s="71">
        <f t="shared" si="54"/>
        <v>-136157.04999999999</v>
      </c>
      <c r="AC115" s="71">
        <f t="shared" si="54"/>
        <v>-136936.04999999999</v>
      </c>
      <c r="AD115" s="71">
        <f t="shared" si="54"/>
        <v>-149415.29999999999</v>
      </c>
      <c r="AE115" s="71">
        <f t="shared" si="54"/>
        <v>-125010.84999999999</v>
      </c>
      <c r="AF115" s="71">
        <f t="shared" ref="AF115" si="55">SUM(AF135:AF136)</f>
        <v>-184817.6</v>
      </c>
      <c r="AG115" s="71">
        <f>AG82*ED_die_T1*(CIT_die_T1-CIA_die_T1)/1000000</f>
        <v>-155799.0924195956</v>
      </c>
      <c r="AH115" s="71">
        <f>AH82*ED_die_T1*(CIT_die_T1-CIA_die_T1)/1000000</f>
        <v>-170137.94598921674</v>
      </c>
      <c r="AI115" s="71">
        <f>AI82*ED_die_T1*(CIT_die_T1-CIA_die_T1)/1000000</f>
        <v>-149438.80819327189</v>
      </c>
      <c r="AJ115" s="71">
        <f>AJ82*ED_die_T0*(CIT_die_T0-CIA_die_T0)/1000000</f>
        <v>-189033.84528133346</v>
      </c>
      <c r="AK115" s="71">
        <f>AK82*ED_die_T0*(CIT_die_T0-CIA_die_T0)/1000000</f>
        <v>-181561.07101403043</v>
      </c>
      <c r="AL115" s="71">
        <f>AL82*ED_die_T0*(CIT_die_T0-CIA_die_T0)/1000000</f>
        <v>-199084.76883274023</v>
      </c>
      <c r="AM115" s="71">
        <f>AM82*ED_die_T0*(CIT_die_T0-CIA_die_T0)/1000000</f>
        <v>-175233.1934957194</v>
      </c>
    </row>
    <row r="116" spans="5:39" ht="15.75" thickBot="1" x14ac:dyDescent="0.3">
      <c r="F116" s="59" t="s">
        <v>602</v>
      </c>
      <c r="G116" s="60"/>
      <c r="H116" s="18">
        <f>SUM(H114:H115)</f>
        <v>-160811.40000000002</v>
      </c>
      <c r="I116" s="18">
        <f t="shared" ref="I116:V116" si="56">SUM(I114:I115)</f>
        <v>-137215</v>
      </c>
      <c r="J116" s="18">
        <f t="shared" si="56"/>
        <v>-159331.35</v>
      </c>
      <c r="K116" s="18">
        <f t="shared" si="56"/>
        <v>-137473.75</v>
      </c>
      <c r="L116" s="18">
        <f t="shared" si="56"/>
        <v>-126843.1</v>
      </c>
      <c r="M116" s="18">
        <f t="shared" si="56"/>
        <v>-168362.2</v>
      </c>
      <c r="N116" s="18">
        <f t="shared" si="56"/>
        <v>-186181.85</v>
      </c>
      <c r="O116" s="18">
        <f t="shared" si="56"/>
        <v>-162985.15</v>
      </c>
      <c r="P116" s="18">
        <f t="shared" si="56"/>
        <v>-190781.45</v>
      </c>
      <c r="Q116" s="18">
        <f t="shared" si="56"/>
        <v>-228176.55</v>
      </c>
      <c r="R116" s="18">
        <f t="shared" si="56"/>
        <v>-235122.75</v>
      </c>
      <c r="S116" s="18">
        <f t="shared" si="56"/>
        <v>-210802.40000000002</v>
      </c>
      <c r="T116" s="18">
        <f t="shared" si="56"/>
        <v>-239205.59999999998</v>
      </c>
      <c r="U116" s="18">
        <f t="shared" si="56"/>
        <v>-246461.80000000002</v>
      </c>
      <c r="V116" s="18">
        <f t="shared" si="56"/>
        <v>-258491.25</v>
      </c>
      <c r="W116" s="18">
        <f t="shared" ref="W116:AI116" si="57">SUM(W114:W115)</f>
        <v>-257861.59999999998</v>
      </c>
      <c r="X116" s="18">
        <f t="shared" si="57"/>
        <v>-279184.7</v>
      </c>
      <c r="Y116" s="18">
        <f t="shared" si="57"/>
        <v>-259654.95</v>
      </c>
      <c r="Z116" s="18">
        <f t="shared" si="57"/>
        <v>-326859.59999999998</v>
      </c>
      <c r="AA116" s="18">
        <f t="shared" si="57"/>
        <v>-288204.55</v>
      </c>
      <c r="AB116" s="18">
        <f>SUM(AB114:AB115)</f>
        <v>-366222.55</v>
      </c>
      <c r="AC116" s="18">
        <f>SUM(AC114:AC115)</f>
        <v>-364927.95</v>
      </c>
      <c r="AD116" s="18">
        <f>SUM(AD114:AD115)</f>
        <v>-418150.8</v>
      </c>
      <c r="AE116" s="18">
        <f>SUM(AE114:AE115)</f>
        <v>-352617.75</v>
      </c>
      <c r="AF116" s="18">
        <f>SUM(AF114:AF115)</f>
        <v>-464144.19999999995</v>
      </c>
      <c r="AG116" s="18">
        <f t="shared" si="57"/>
        <v>-417563.6205053092</v>
      </c>
      <c r="AH116" s="18">
        <f t="shared" si="57"/>
        <v>-477482.33651327464</v>
      </c>
      <c r="AI116" s="18">
        <f t="shared" si="57"/>
        <v>-417314.61820763804</v>
      </c>
      <c r="AJ116" s="18">
        <f>SUM(AJ114:AJ115)</f>
        <v>-514924.06338275922</v>
      </c>
      <c r="AK116" s="18">
        <f>SUM(AK114:AK115)</f>
        <v>-495577.86300932482</v>
      </c>
      <c r="AL116" s="18">
        <f>SUM(AL114:AL115)</f>
        <v>-569751.7142404007</v>
      </c>
      <c r="AM116" s="18">
        <f>SUM(AM114:AM115)</f>
        <v>-499039.49872019055</v>
      </c>
    </row>
    <row r="117" spans="5:39" x14ac:dyDescent="0.25">
      <c r="F117" s="57"/>
      <c r="G117" s="57"/>
      <c r="H117" s="72"/>
      <c r="I117" s="72"/>
      <c r="J117" s="72"/>
      <c r="K117" s="72"/>
      <c r="L117" s="72"/>
      <c r="M117" s="72"/>
      <c r="N117" s="72"/>
      <c r="O117" s="72"/>
      <c r="P117" s="72"/>
      <c r="Q117" s="72"/>
      <c r="R117" s="72"/>
      <c r="S117" s="72"/>
      <c r="T117" s="72"/>
      <c r="U117" s="72"/>
      <c r="V117" s="72"/>
      <c r="W117" s="72"/>
      <c r="X117" s="72"/>
      <c r="Y117" s="72"/>
      <c r="Z117" s="72"/>
      <c r="AA117" s="72"/>
      <c r="AB117" s="123"/>
      <c r="AC117" s="123"/>
      <c r="AD117" s="123"/>
      <c r="AE117" s="168"/>
      <c r="AF117" s="123"/>
      <c r="AG117" s="123"/>
      <c r="AH117" s="123"/>
      <c r="AI117" s="123"/>
      <c r="AJ117" s="123"/>
      <c r="AK117" s="123"/>
      <c r="AL117" s="123"/>
      <c r="AM117" s="123"/>
    </row>
    <row r="118" spans="5:39" x14ac:dyDescent="0.25">
      <c r="F118" s="63" t="s">
        <v>24</v>
      </c>
      <c r="G118" s="2" t="s">
        <v>5</v>
      </c>
      <c r="H118" s="3">
        <f t="shared" ref="H118:W118" si="58">SUM(H133:H134)</f>
        <v>138645.70000000001</v>
      </c>
      <c r="I118" s="3">
        <f t="shared" si="58"/>
        <v>118783.40000000001</v>
      </c>
      <c r="J118" s="3">
        <f t="shared" si="58"/>
        <v>134538.4</v>
      </c>
      <c r="K118" s="3">
        <f t="shared" si="58"/>
        <v>107971.2</v>
      </c>
      <c r="L118" s="3">
        <f t="shared" si="58"/>
        <v>110453.3</v>
      </c>
      <c r="M118" s="3">
        <f t="shared" si="58"/>
        <v>116910.40000000001</v>
      </c>
      <c r="N118" s="3">
        <f t="shared" si="58"/>
        <v>131067</v>
      </c>
      <c r="O118" s="3">
        <f t="shared" si="58"/>
        <v>121246.8</v>
      </c>
      <c r="P118" s="3">
        <f t="shared" si="58"/>
        <v>116865.8</v>
      </c>
      <c r="Q118" s="3">
        <f t="shared" si="58"/>
        <v>113534.5</v>
      </c>
      <c r="R118" s="3">
        <f t="shared" si="58"/>
        <v>134719.80000000002</v>
      </c>
      <c r="S118" s="3">
        <f t="shared" si="58"/>
        <v>130007.5</v>
      </c>
      <c r="T118" s="3">
        <f t="shared" si="58"/>
        <v>108480.1</v>
      </c>
      <c r="U118" s="3">
        <f t="shared" si="58"/>
        <v>127109.7</v>
      </c>
      <c r="V118" s="3">
        <f t="shared" si="58"/>
        <v>146323.4</v>
      </c>
      <c r="W118" s="3">
        <f t="shared" si="58"/>
        <v>138932.29999999999</v>
      </c>
      <c r="X118" s="3">
        <f t="shared" ref="X118:AE118" si="59">SUM(X133:X134)</f>
        <v>122550.39999999999</v>
      </c>
      <c r="Y118" s="3">
        <f t="shared" si="59"/>
        <v>108268.5</v>
      </c>
      <c r="Z118" s="3">
        <f t="shared" si="59"/>
        <v>133983.20000000001</v>
      </c>
      <c r="AA118" s="3">
        <f t="shared" si="59"/>
        <v>123386</v>
      </c>
      <c r="AB118" s="3">
        <f t="shared" si="59"/>
        <v>108492.5</v>
      </c>
      <c r="AC118" s="3">
        <f t="shared" si="59"/>
        <v>150528.90000000002</v>
      </c>
      <c r="AD118" s="3">
        <f t="shared" si="59"/>
        <v>143834.5</v>
      </c>
      <c r="AE118" s="3">
        <f t="shared" si="59"/>
        <v>130238.9</v>
      </c>
      <c r="AF118" s="3">
        <f t="shared" ref="AF118" si="60">SUM(AF133:AF134)</f>
        <v>115262.6</v>
      </c>
      <c r="AG118" s="3">
        <f>AG77*ED_eth_T1*(CIT_gas_T1-CIA_eth_T1)/1000000</f>
        <v>116485.80597949008</v>
      </c>
      <c r="AH118" s="3">
        <f>AH77*ED_eth_T1*(CIT_gas_T1-CIA_eth_T1)/1000000</f>
        <v>136768.94766943782</v>
      </c>
      <c r="AI118" s="3">
        <f>AI77*ED_eth_T1*(CIT_gas_T1-CIA_eth_T1)/1000000</f>
        <v>119205.34023507831</v>
      </c>
      <c r="AJ118" s="3">
        <f>AJ77*ED_eth_T0*(CIT_gas_T0-CIA_Eth_T0)/1000000</f>
        <v>121366.33089591404</v>
      </c>
      <c r="AK118" s="3">
        <f>AK77*ED_eth_T0*(CIT_gas_T0-CIA_Eth_T0)/1000000</f>
        <v>116944.49163341604</v>
      </c>
      <c r="AL118" s="3">
        <f>AL77*ED_eth_T0*(CIT_gas_T0-CIA_Eth_T0)/1000000</f>
        <v>138041.84553499808</v>
      </c>
      <c r="AM118" s="3">
        <f>AM77*ED_eth_T0*(CIT_gas_T0-CIA_Eth_T0)/1000000</f>
        <v>120590.25095937539</v>
      </c>
    </row>
    <row r="119" spans="5:39" x14ac:dyDescent="0.25">
      <c r="F119" s="63"/>
      <c r="G119" s="2" t="s">
        <v>7</v>
      </c>
      <c r="H119" s="3">
        <f t="shared" ref="H119:W119" si="61">SUM(H137:H138)</f>
        <v>58364.7</v>
      </c>
      <c r="I119" s="3">
        <f t="shared" si="61"/>
        <v>63917.599999999999</v>
      </c>
      <c r="J119" s="3">
        <f t="shared" si="61"/>
        <v>75239.95</v>
      </c>
      <c r="K119" s="3">
        <f t="shared" si="61"/>
        <v>68933.55</v>
      </c>
      <c r="L119" s="3">
        <f t="shared" si="61"/>
        <v>56946.8</v>
      </c>
      <c r="M119" s="3">
        <f t="shared" si="61"/>
        <v>82476.800000000003</v>
      </c>
      <c r="N119" s="3">
        <f t="shared" si="61"/>
        <v>90074.85</v>
      </c>
      <c r="O119" s="3">
        <f t="shared" si="61"/>
        <v>87098.014302230004</v>
      </c>
      <c r="P119" s="3">
        <f t="shared" si="61"/>
        <v>72723.646281665031</v>
      </c>
      <c r="Q119" s="3">
        <f t="shared" si="61"/>
        <v>87693.219200915511</v>
      </c>
      <c r="R119" s="3">
        <f t="shared" si="61"/>
        <v>100409.03239736639</v>
      </c>
      <c r="S119" s="3">
        <f t="shared" si="61"/>
        <v>90605.683479329469</v>
      </c>
      <c r="T119" s="3">
        <f t="shared" si="61"/>
        <v>81721.490345357786</v>
      </c>
      <c r="U119" s="3">
        <f t="shared" si="61"/>
        <v>120443.8281439712</v>
      </c>
      <c r="V119" s="3">
        <f t="shared" si="61"/>
        <v>123711.940061976</v>
      </c>
      <c r="W119" s="3">
        <f t="shared" si="61"/>
        <v>115171.98353013491</v>
      </c>
      <c r="X119" s="3">
        <f t="shared" ref="X119:AE119" si="62">SUM(X137:X138)</f>
        <v>116443.4122098935</v>
      </c>
      <c r="Y119" s="3">
        <f t="shared" si="62"/>
        <v>108456.87277887369</v>
      </c>
      <c r="Z119" s="3">
        <f t="shared" si="62"/>
        <v>124826.43780035635</v>
      </c>
      <c r="AA119" s="3">
        <f t="shared" si="62"/>
        <v>122814.49562892334</v>
      </c>
      <c r="AB119" s="3">
        <f t="shared" si="62"/>
        <v>100737.09304071953</v>
      </c>
      <c r="AC119" s="3">
        <f t="shared" si="62"/>
        <v>141225.75611236549</v>
      </c>
      <c r="AD119" s="3">
        <f t="shared" si="62"/>
        <v>132899.4167849464</v>
      </c>
      <c r="AE119" s="3">
        <f t="shared" si="62"/>
        <v>132060.06227509849</v>
      </c>
      <c r="AF119" s="3">
        <f t="shared" ref="AF119" si="63">SUM(AF137:AF138)</f>
        <v>116845.74225544379</v>
      </c>
      <c r="AG119" s="3">
        <f>AG83*ED_bio_T1*(CIT_die_T1-CIA_Bio_T1)/1000000</f>
        <v>128935.55797229709</v>
      </c>
      <c r="AH119" s="3">
        <f>AH83*ED_bio_T1*(CIT_die_T1-CIA_Bio_T1)/1000000</f>
        <v>140802.04613323606</v>
      </c>
      <c r="AI119" s="3">
        <f>AI83*ED_bio_T1*(CIT_die_T1-CIA_Bio_T1)/1000000</f>
        <v>123671.9406889893</v>
      </c>
      <c r="AJ119" s="3">
        <f>AJ83*ED_Bio_T0*(CIT_die_T0-CIA_bio_T0)/1000000</f>
        <v>144445.78841776575</v>
      </c>
      <c r="AK119" s="3">
        <f>AK83*ED_Bio_T0*(CIT_die_T0-CIA_bio_T0)/1000000</f>
        <v>138735.64286630574</v>
      </c>
      <c r="AL119" s="3">
        <f>AL83*ED_Bio_T0*(CIT_die_T0-CIA_bio_T0)/1000000</f>
        <v>152125.96640149638</v>
      </c>
      <c r="AM119" s="3">
        <f>AM83*ED_Bio_T0*(CIT_die_T0-CIA_bio_T0)/1000000</f>
        <v>133900.34336857212</v>
      </c>
    </row>
    <row r="120" spans="5:39" x14ac:dyDescent="0.25">
      <c r="F120" s="63"/>
      <c r="G120" s="2" t="s">
        <v>6</v>
      </c>
      <c r="H120" s="3">
        <f t="shared" ref="H120:W120" si="64">SUM(H139:H140)</f>
        <v>0</v>
      </c>
      <c r="I120" s="3">
        <f t="shared" si="64"/>
        <v>0</v>
      </c>
      <c r="J120" s="3">
        <f t="shared" si="64"/>
        <v>0</v>
      </c>
      <c r="K120" s="3">
        <f t="shared" si="64"/>
        <v>0</v>
      </c>
      <c r="L120" s="3">
        <f t="shared" si="64"/>
        <v>0</v>
      </c>
      <c r="M120" s="3">
        <f t="shared" si="64"/>
        <v>0</v>
      </c>
      <c r="N120" s="3">
        <f t="shared" si="64"/>
        <v>0</v>
      </c>
      <c r="O120" s="3">
        <f t="shared" si="64"/>
        <v>2863.335697769985</v>
      </c>
      <c r="P120" s="3">
        <f t="shared" si="64"/>
        <v>1949.0037183349648</v>
      </c>
      <c r="Q120" s="3">
        <f t="shared" si="64"/>
        <v>1637.830799084486</v>
      </c>
      <c r="R120" s="3">
        <f t="shared" si="64"/>
        <v>1800.9176026336174</v>
      </c>
      <c r="S120" s="3">
        <f t="shared" si="64"/>
        <v>4037.2165206705317</v>
      </c>
      <c r="T120" s="3">
        <f t="shared" si="64"/>
        <v>907.0096546422235</v>
      </c>
      <c r="U120" s="3">
        <f t="shared" si="64"/>
        <v>3104.2718560287944</v>
      </c>
      <c r="V120" s="3">
        <f t="shared" si="64"/>
        <v>98816.909938023993</v>
      </c>
      <c r="W120" s="3">
        <f t="shared" si="64"/>
        <v>38391.316469865094</v>
      </c>
      <c r="X120" s="3">
        <f t="shared" ref="X120:AE120" si="65">SUM(X139:X140)</f>
        <v>64217.887790106492</v>
      </c>
      <c r="Y120" s="3">
        <f t="shared" si="65"/>
        <v>53572.57722112631</v>
      </c>
      <c r="Z120" s="3">
        <f t="shared" si="65"/>
        <v>854.96219964365173</v>
      </c>
      <c r="AA120" s="3">
        <f t="shared" si="65"/>
        <v>29038.054371076658</v>
      </c>
      <c r="AB120" s="3">
        <f t="shared" si="65"/>
        <v>28259.95695928048</v>
      </c>
      <c r="AC120" s="3">
        <f t="shared" si="65"/>
        <v>12006.2938876345</v>
      </c>
      <c r="AD120" s="3">
        <f t="shared" si="65"/>
        <v>19880.883215053596</v>
      </c>
      <c r="AE120" s="3">
        <f t="shared" si="65"/>
        <v>14331.787724901529</v>
      </c>
      <c r="AF120" s="3">
        <f t="shared" ref="AF120" si="66">SUM(AF139:AF140)</f>
        <v>90059.857744556197</v>
      </c>
      <c r="AG120" s="3">
        <f>AG85*ED_ren_T1*(CIT_die_T1-CIA_ren_T1)/1000000</f>
        <v>28477.168330040626</v>
      </c>
      <c r="AH120" s="3">
        <f>AH85*ED_ren_T1*(CIT_die_T1-CIA_ren_T1)/1000000</f>
        <v>31098.043332715213</v>
      </c>
      <c r="AI120" s="3">
        <f>AI85*ED_ren_T1*(CIT_die_T1-CIA_ren_T1)/1000000</f>
        <v>27314.626997308558</v>
      </c>
      <c r="AJ120" s="3">
        <f>AJ85*ED_ren_T0*(CIT_die_T0-CIA_ren_T0)/1000000</f>
        <v>51672.769956933967</v>
      </c>
      <c r="AK120" s="3">
        <f>AK85*ED_ren_T0*(CIT_die_T0-CIA_ren_T0)/1000000</f>
        <v>49630.07254960054</v>
      </c>
      <c r="AL120" s="3">
        <f>AL85*ED_ren_T0*(CIT_die_T0-CIA_ren_T0)/1000000</f>
        <v>54420.209494830611</v>
      </c>
      <c r="AM120" s="3">
        <f>AM85*ED_ren_T0*(CIT_die_T0-CIA_ren_T0)/1000000</f>
        <v>47900.334899537374</v>
      </c>
    </row>
    <row r="121" spans="5:39" x14ac:dyDescent="0.25">
      <c r="F121" s="63"/>
      <c r="G121" s="2" t="s">
        <v>25</v>
      </c>
      <c r="H121" s="3">
        <f>SUM(H141:H142)</f>
        <v>8894</v>
      </c>
      <c r="I121" s="3">
        <f t="shared" ref="I121:AA121" si="67">SUM(I141:I142)</f>
        <v>9074</v>
      </c>
      <c r="J121" s="3">
        <f t="shared" si="67"/>
        <v>9257</v>
      </c>
      <c r="K121" s="3">
        <f t="shared" si="67"/>
        <v>9214</v>
      </c>
      <c r="L121" s="3">
        <f t="shared" si="67"/>
        <v>10950</v>
      </c>
      <c r="M121" s="3">
        <f t="shared" si="67"/>
        <v>11123</v>
      </c>
      <c r="N121" s="3">
        <f t="shared" si="67"/>
        <v>11396</v>
      </c>
      <c r="O121" s="3">
        <f t="shared" si="67"/>
        <v>11247</v>
      </c>
      <c r="P121" s="3">
        <f t="shared" si="67"/>
        <v>14761</v>
      </c>
      <c r="Q121" s="3">
        <f t="shared" si="67"/>
        <v>14983</v>
      </c>
      <c r="R121" s="3">
        <f t="shared" si="67"/>
        <v>15191</v>
      </c>
      <c r="S121" s="3">
        <f t="shared" si="67"/>
        <v>15437</v>
      </c>
      <c r="T121" s="3">
        <f t="shared" si="67"/>
        <v>19504</v>
      </c>
      <c r="U121" s="3">
        <f t="shared" si="67"/>
        <v>19817</v>
      </c>
      <c r="V121" s="3">
        <f t="shared" si="67"/>
        <v>20283</v>
      </c>
      <c r="W121" s="3">
        <f t="shared" si="67"/>
        <v>20258</v>
      </c>
      <c r="X121" s="3">
        <f t="shared" si="67"/>
        <v>26401</v>
      </c>
      <c r="Y121" s="3">
        <f t="shared" si="67"/>
        <v>25904</v>
      </c>
      <c r="Z121" s="3">
        <f t="shared" si="67"/>
        <v>26824</v>
      </c>
      <c r="AA121" s="3">
        <f t="shared" si="67"/>
        <v>26690</v>
      </c>
      <c r="AB121" s="3">
        <f>SUM(AB141:AB142)</f>
        <v>34896.5</v>
      </c>
      <c r="AC121" s="3">
        <f>SUM(AC141:AC142)</f>
        <v>35682.5</v>
      </c>
      <c r="AD121" s="3">
        <f>SUM(AD141:AD142)</f>
        <v>44713</v>
      </c>
      <c r="AE121" s="3">
        <f>SUM(AE141:AE142)</f>
        <v>44982</v>
      </c>
      <c r="AF121" s="3">
        <f>'Electric Vehicles'!H40*(3102.5/4)*EEReon_T1*ED_eon_T1*(CIT_gas_T1-(CIA_eon_T1/EEReon_T1))/1000000+AF36</f>
        <v>49317.777481910001</v>
      </c>
      <c r="AG121" s="3">
        <f>'Electric Vehicles'!H41*(3102.5/4)*EEReon_T1*ED_eon_T1*(CIT_gas_T1-(CIA_eon_T1/EEReon_T1))/1000000+AG36</f>
        <v>54355.299192471612</v>
      </c>
      <c r="AH121" s="3">
        <f>'Electric Vehicles'!H42*(3102.5/4)*EEReon_T1*ED_eon_T1*(CIT_gas_T1-(CIA_eon_T1/EEReon_T1))/1000000+AH36</f>
        <v>59061.780190653204</v>
      </c>
      <c r="AI121" s="3">
        <f>'Electric Vehicles'!H43*(3102.5/4)*EEReon_T1*ED_eon_T1*(CIT_gas_T1-(CIA_eon_T1/EEReon_T1))/1000000+AI36</f>
        <v>63443.074509120168</v>
      </c>
      <c r="AJ121" s="3">
        <f>'Electric Vehicles'!H44*(3102.5/4)*EEReon_T0*ED_eon_T0*(CIT_gas_T0-(CIA_eon_T0/EEReon_T0))/1000000+AJ36</f>
        <v>66967.999394902639</v>
      </c>
      <c r="AK121" s="3">
        <f>'Electric Vehicles'!H45*(3102.5/4)*EEReon_T0*ED_eon_T0*(CIT_gas_T0-(CIA_eon_T0/EEReon_T0))/1000000+AK36</f>
        <v>71868.821494752454</v>
      </c>
      <c r="AL121" s="3">
        <f>'Electric Vehicles'!H46*(3102.5/4)*EEReon_T0*ED_eon_T0*(CIT_gas_T0-(CIA_eon_T0/EEReon_T0))/1000000+AL36</f>
        <v>76292.464429885367</v>
      </c>
      <c r="AM121" s="3">
        <f>'Electric Vehicles'!H47*(3102.5/4)*EEReon_T0*ED_eon_T0*(CIT_gas_T0-(CIA_eon_T0/EEReon_T0))/1000000+AM36</f>
        <v>81107.129632908182</v>
      </c>
    </row>
    <row r="122" spans="5:39" x14ac:dyDescent="0.25">
      <c r="F122" s="63"/>
      <c r="G122" s="5" t="s">
        <v>26</v>
      </c>
      <c r="H122" s="11">
        <f t="shared" ref="H122:W122" si="68">SUM(H143:H144)</f>
        <v>0</v>
      </c>
      <c r="I122" s="79">
        <f t="shared" si="68"/>
        <v>0</v>
      </c>
      <c r="J122" s="79">
        <f t="shared" si="68"/>
        <v>0</v>
      </c>
      <c r="K122" s="79">
        <f t="shared" si="68"/>
        <v>0</v>
      </c>
      <c r="L122" s="79">
        <f t="shared" si="68"/>
        <v>0</v>
      </c>
      <c r="M122" s="79">
        <f t="shared" si="68"/>
        <v>0</v>
      </c>
      <c r="N122" s="79">
        <f t="shared" si="68"/>
        <v>0</v>
      </c>
      <c r="O122" s="79">
        <f t="shared" si="68"/>
        <v>0</v>
      </c>
      <c r="P122" s="79">
        <f t="shared" si="68"/>
        <v>4288</v>
      </c>
      <c r="Q122" s="79">
        <f t="shared" si="68"/>
        <v>4206</v>
      </c>
      <c r="R122" s="79">
        <f t="shared" si="68"/>
        <v>4382</v>
      </c>
      <c r="S122" s="79">
        <f t="shared" si="68"/>
        <v>4313</v>
      </c>
      <c r="T122" s="79">
        <f t="shared" si="68"/>
        <v>4662</v>
      </c>
      <c r="U122" s="79">
        <f t="shared" si="68"/>
        <v>4756</v>
      </c>
      <c r="V122" s="79">
        <f t="shared" si="68"/>
        <v>5787</v>
      </c>
      <c r="W122" s="79">
        <f t="shared" si="68"/>
        <v>6098</v>
      </c>
      <c r="X122" s="125">
        <f t="shared" ref="X122:AE122" si="69">SUM(X143:X144)</f>
        <v>6390</v>
      </c>
      <c r="Y122" s="125">
        <f t="shared" si="69"/>
        <v>6453</v>
      </c>
      <c r="Z122" s="125">
        <f t="shared" si="69"/>
        <v>7824</v>
      </c>
      <c r="AA122" s="153">
        <f t="shared" si="69"/>
        <v>8573</v>
      </c>
      <c r="AB122" s="169">
        <f t="shared" si="69"/>
        <v>18263</v>
      </c>
      <c r="AC122" s="169">
        <f t="shared" si="69"/>
        <v>28302</v>
      </c>
      <c r="AD122" s="169">
        <f t="shared" si="69"/>
        <v>32541</v>
      </c>
      <c r="AE122" s="169">
        <f t="shared" si="69"/>
        <v>36201</v>
      </c>
      <c r="AF122" s="169">
        <f t="shared" ref="AF122" si="70">SUM(AF143:AF144)</f>
        <v>38120</v>
      </c>
      <c r="AG122" s="3">
        <f t="shared" ref="AG122:AM122" si="71">(SUM($AB122:$AE122)/SUM($AB100:$AE100))*AG100</f>
        <v>44453.556810762508</v>
      </c>
      <c r="AH122" s="3">
        <f t="shared" si="71"/>
        <v>45763.253084322292</v>
      </c>
      <c r="AI122" s="3">
        <f t="shared" si="71"/>
        <v>49240.950995746622</v>
      </c>
      <c r="AJ122" s="3">
        <f t="shared" si="71"/>
        <v>50254.108663752857</v>
      </c>
      <c r="AK122" s="3">
        <f t="shared" si="71"/>
        <v>66680.335216143765</v>
      </c>
      <c r="AL122" s="3">
        <f t="shared" si="71"/>
        <v>68644.879626483438</v>
      </c>
      <c r="AM122" s="3">
        <f t="shared" si="71"/>
        <v>73861.426493619932</v>
      </c>
    </row>
    <row r="123" spans="5:39" x14ac:dyDescent="0.25">
      <c r="F123" s="63"/>
      <c r="G123" s="2" t="s">
        <v>10</v>
      </c>
      <c r="H123" s="3">
        <f t="shared" ref="H123:W123" si="72">SUM(H145:H148)</f>
        <v>535</v>
      </c>
      <c r="I123" s="3">
        <f t="shared" si="72"/>
        <v>427</v>
      </c>
      <c r="J123" s="3">
        <f t="shared" si="72"/>
        <v>2380</v>
      </c>
      <c r="K123" s="3">
        <f t="shared" si="72"/>
        <v>3135</v>
      </c>
      <c r="L123" s="3">
        <f t="shared" si="72"/>
        <v>2364</v>
      </c>
      <c r="M123" s="3">
        <f t="shared" si="72"/>
        <v>3016</v>
      </c>
      <c r="N123" s="3">
        <f t="shared" si="72"/>
        <v>2961</v>
      </c>
      <c r="O123" s="3">
        <f t="shared" si="72"/>
        <v>2879</v>
      </c>
      <c r="P123" s="3">
        <f t="shared" si="72"/>
        <v>1675</v>
      </c>
      <c r="Q123" s="3">
        <f t="shared" si="72"/>
        <v>2284</v>
      </c>
      <c r="R123" s="3">
        <f t="shared" si="72"/>
        <v>2407</v>
      </c>
      <c r="S123" s="3">
        <f t="shared" si="72"/>
        <v>2545</v>
      </c>
      <c r="T123" s="3">
        <f t="shared" si="72"/>
        <v>2298</v>
      </c>
      <c r="U123" s="3">
        <f t="shared" si="72"/>
        <v>2496</v>
      </c>
      <c r="V123" s="3">
        <f t="shared" si="72"/>
        <v>2524</v>
      </c>
      <c r="W123" s="3">
        <f t="shared" si="72"/>
        <v>2976</v>
      </c>
      <c r="X123" s="3">
        <f t="shared" ref="X123:AE123" si="73">SUM(X145:X148)</f>
        <v>2738</v>
      </c>
      <c r="Y123" s="3">
        <f t="shared" si="73"/>
        <v>2787</v>
      </c>
      <c r="Z123" s="3">
        <f t="shared" si="73"/>
        <v>3556</v>
      </c>
      <c r="AA123" s="3">
        <f t="shared" si="73"/>
        <v>3737</v>
      </c>
      <c r="AB123" s="3">
        <f t="shared" si="73"/>
        <v>3528</v>
      </c>
      <c r="AC123" s="3">
        <f t="shared" si="73"/>
        <v>4518</v>
      </c>
      <c r="AD123" s="3">
        <f t="shared" si="73"/>
        <v>9496</v>
      </c>
      <c r="AE123" s="3">
        <f t="shared" si="73"/>
        <v>11352</v>
      </c>
      <c r="AF123" s="3">
        <f t="shared" ref="AF123" si="74">SUM(AF145:AF148)</f>
        <v>11493</v>
      </c>
      <c r="AG123" s="3">
        <f>SUM(AG103*EERng_T1*ED_die_T1*(CIT_die_T1-(CIA_fcg_T1/EERng_T1))/1000000,AG104*EERng_T1*ED_die_T1*(CIT_die_T1-(CIA_bgs_T1/EERng_T1))/1000000)</f>
        <v>8821.8696784716976</v>
      </c>
      <c r="AH123" s="3">
        <f>SUM(AH103*EERng_T1*ED_die_T1*(CIT_die_T1-(CIA_fcg_T1/EERng_T1))/1000000,AH104*EERng_T1*ED_die_T1*(CIT_die_T1-(CIA_bgs_T1/EERng_T1))/1000000)</f>
        <v>9125.2632551117422</v>
      </c>
      <c r="AI123" s="3">
        <f>SUM(AI103*EERng_T1*ED_die_T1*(CIT_die_T1-(CIA_fcg_T1/EERng_T1))/1000000,AI104*EERng_T1*ED_die_T1*(CIT_die_T1-(CIA_bgs_T1/EERng_T1))/1000000)</f>
        <v>9081.1700420266334</v>
      </c>
      <c r="AJ123" s="3">
        <f>SUM(AJ103*EERng_T0*ED_die_T0*(CIT_die_T0-(CIA_fcg_T0/EERng_T0))/1000000,AJ104*EERng_T0*ED_die_T0*(CIT_die_T0-(CIA_bgs_T0/EERng_T0))/1000000)</f>
        <v>10860.529580916449</v>
      </c>
      <c r="AK123" s="3">
        <f>SUM(AK103*EERng_T0*ED_die_T0*(CIT_die_T0-(CIA_fcg_T0/EERng_T0))/1000000,AK104*EERng_T0*ED_die_T0*(CIT_die_T0-(CIA_bgs_T0/EERng_T0))/1000000)</f>
        <v>11606.009061580202</v>
      </c>
      <c r="AL123" s="3">
        <f>SUM(AL103*EERng_T0*ED_die_T0*(CIT_die_T0-(CIA_fcg_T0/EERng_T0))/1000000,AL104*EERng_T0*ED_die_T0*(CIT_die_T0-(CIA_bgs_T0/EERng_T0))/1000000)</f>
        <v>12005.1521829417</v>
      </c>
      <c r="AM123" s="3">
        <f>SUM(AM103*EERng_T0*ED_die_T0*(CIT_die_T0-(CIA_fcg_T0/EERng_T0))/1000000,AM104*EERng_T0*ED_die_T0*(CIT_die_T0-(CIA_bgs_T0/EERng_T0))/1000000)</f>
        <v>11947.143365165943</v>
      </c>
    </row>
    <row r="124" spans="5:39" ht="15.75" thickBot="1" x14ac:dyDescent="0.3">
      <c r="F124" s="55"/>
      <c r="G124" s="56" t="s">
        <v>11</v>
      </c>
      <c r="H124" s="71">
        <f t="shared" ref="H124:W124" si="75">SUM(H149:H150)</f>
        <v>28</v>
      </c>
      <c r="I124" s="71">
        <f t="shared" si="75"/>
        <v>28</v>
      </c>
      <c r="J124" s="71">
        <f t="shared" si="75"/>
        <v>13</v>
      </c>
      <c r="K124" s="71">
        <f t="shared" si="75"/>
        <v>31</v>
      </c>
      <c r="L124" s="71">
        <f t="shared" si="75"/>
        <v>32</v>
      </c>
      <c r="M124" s="71">
        <f t="shared" si="75"/>
        <v>68</v>
      </c>
      <c r="N124" s="71">
        <f t="shared" si="75"/>
        <v>38</v>
      </c>
      <c r="O124" s="71">
        <f t="shared" si="75"/>
        <v>61</v>
      </c>
      <c r="P124" s="71">
        <f t="shared" si="75"/>
        <v>199</v>
      </c>
      <c r="Q124" s="71">
        <f t="shared" si="75"/>
        <v>218</v>
      </c>
      <c r="R124" s="71">
        <f t="shared" si="75"/>
        <v>238</v>
      </c>
      <c r="S124" s="71">
        <f t="shared" si="75"/>
        <v>535</v>
      </c>
      <c r="T124" s="71">
        <f t="shared" si="75"/>
        <v>1219</v>
      </c>
      <c r="U124" s="71">
        <f t="shared" si="75"/>
        <v>1385</v>
      </c>
      <c r="V124" s="71">
        <f t="shared" si="75"/>
        <v>1643</v>
      </c>
      <c r="W124" s="71">
        <f t="shared" si="75"/>
        <v>1935</v>
      </c>
      <c r="X124" s="71">
        <f t="shared" ref="X124:AE124" si="76">SUM(X149:X150)</f>
        <v>1487</v>
      </c>
      <c r="Y124" s="71">
        <f t="shared" si="76"/>
        <v>961</v>
      </c>
      <c r="Z124" s="71">
        <f t="shared" si="76"/>
        <v>777</v>
      </c>
      <c r="AA124" s="71">
        <f t="shared" si="76"/>
        <v>1043</v>
      </c>
      <c r="AB124" s="71">
        <f t="shared" si="76"/>
        <v>1319</v>
      </c>
      <c r="AC124" s="71">
        <f t="shared" si="76"/>
        <v>1410</v>
      </c>
      <c r="AD124" s="71">
        <f t="shared" si="76"/>
        <v>1062</v>
      </c>
      <c r="AE124" s="71">
        <f t="shared" si="76"/>
        <v>1320</v>
      </c>
      <c r="AF124" s="71">
        <f t="shared" ref="AF124" si="77">SUM(AF149:AF150)</f>
        <v>1047</v>
      </c>
      <c r="AG124" s="3">
        <f>AG109*ED_lp_T0*(CIT_gas_T1-CIA_lp_T1)/1000000</f>
        <v>3526.398937246377</v>
      </c>
      <c r="AH124" s="3">
        <f>AH109*ED_lp_T0*(CIT_gas_T1-CIA_lp_T1)/1000000</f>
        <v>3753.7712329672768</v>
      </c>
      <c r="AI124" s="3">
        <f>AI109*ED_lp_T0*(CIT_gas_T1-CIA_lp_T1)/1000000</f>
        <v>4251.2237831040811</v>
      </c>
      <c r="AJ124" s="3">
        <f t="shared" ref="AJ124:AM124" si="78">AJ109*ED_lp_T0*(CIT_gas_T0-CIA_lp_T0)/1000000</f>
        <v>5736.442559121283</v>
      </c>
      <c r="AK124" s="3">
        <f t="shared" si="78"/>
        <v>6316.443734900161</v>
      </c>
      <c r="AL124" s="3">
        <f t="shared" si="78"/>
        <v>6906.9139928432496</v>
      </c>
      <c r="AM124" s="3">
        <f t="shared" si="78"/>
        <v>7592.7072742129021</v>
      </c>
    </row>
    <row r="125" spans="5:39" ht="15.75" thickBot="1" x14ac:dyDescent="0.3">
      <c r="F125" s="59" t="s">
        <v>603</v>
      </c>
      <c r="G125" s="60"/>
      <c r="H125" s="18">
        <f>SUM(H118:H124)</f>
        <v>206467.40000000002</v>
      </c>
      <c r="I125" s="18">
        <f t="shared" ref="I125:V125" si="79">SUM(I118:I124)</f>
        <v>192230</v>
      </c>
      <c r="J125" s="18">
        <f t="shared" si="79"/>
        <v>221428.34999999998</v>
      </c>
      <c r="K125" s="18">
        <f t="shared" si="79"/>
        <v>189284.75</v>
      </c>
      <c r="L125" s="18">
        <f t="shared" si="79"/>
        <v>180746.1</v>
      </c>
      <c r="M125" s="18">
        <f t="shared" si="79"/>
        <v>213594.2</v>
      </c>
      <c r="N125" s="18">
        <f t="shared" si="79"/>
        <v>235536.85</v>
      </c>
      <c r="O125" s="18">
        <f t="shared" si="79"/>
        <v>225395.15</v>
      </c>
      <c r="P125" s="18">
        <f t="shared" si="79"/>
        <v>212461.45</v>
      </c>
      <c r="Q125" s="18">
        <f t="shared" si="79"/>
        <v>224556.55</v>
      </c>
      <c r="R125" s="18">
        <f t="shared" si="79"/>
        <v>259147.75000000003</v>
      </c>
      <c r="S125" s="18">
        <f t="shared" si="79"/>
        <v>247480.4</v>
      </c>
      <c r="T125" s="18">
        <f t="shared" si="79"/>
        <v>218791.6</v>
      </c>
      <c r="U125" s="18">
        <f t="shared" si="79"/>
        <v>279111.8</v>
      </c>
      <c r="V125" s="18">
        <f t="shared" si="79"/>
        <v>399089.25</v>
      </c>
      <c r="W125" s="18">
        <f t="shared" ref="W125:AI125" si="80">SUM(W118:W124)</f>
        <v>323762.59999999998</v>
      </c>
      <c r="X125" s="18">
        <f t="shared" si="80"/>
        <v>340227.69999999995</v>
      </c>
      <c r="Y125" s="18">
        <f t="shared" si="80"/>
        <v>306402.95</v>
      </c>
      <c r="Z125" s="18">
        <f t="shared" si="80"/>
        <v>298645.60000000003</v>
      </c>
      <c r="AA125" s="18">
        <f t="shared" si="80"/>
        <v>315281.55</v>
      </c>
      <c r="AB125" s="18">
        <f>SUM(AB118:AB124)</f>
        <v>295496.05</v>
      </c>
      <c r="AC125" s="18">
        <f>SUM(AC118:AC124)</f>
        <v>373673.45000000007</v>
      </c>
      <c r="AD125" s="18">
        <f>SUM(AD118:AD124)</f>
        <v>384426.8</v>
      </c>
      <c r="AE125" s="18">
        <f>SUM(AE118:AE124)</f>
        <v>370485.75</v>
      </c>
      <c r="AF125" s="18">
        <f>SUM(AF118:AF124)</f>
        <v>422145.97748191003</v>
      </c>
      <c r="AG125" s="18">
        <f t="shared" si="80"/>
        <v>385055.65690077998</v>
      </c>
      <c r="AH125" s="18">
        <f t="shared" si="80"/>
        <v>426373.10489844368</v>
      </c>
      <c r="AI125" s="18">
        <f t="shared" si="80"/>
        <v>396208.32725137373</v>
      </c>
      <c r="AJ125" s="18">
        <f>SUM(AJ118:AJ124)</f>
        <v>451303.96946930699</v>
      </c>
      <c r="AK125" s="18">
        <f>SUM(AK118:AK124)</f>
        <v>461781.81655669882</v>
      </c>
      <c r="AL125" s="18">
        <f>SUM(AL118:AL124)</f>
        <v>508437.43166347878</v>
      </c>
      <c r="AM125" s="18">
        <f>SUM(AM118:AM124)</f>
        <v>476899.33599339187</v>
      </c>
    </row>
    <row r="126" spans="5:39" x14ac:dyDescent="0.25">
      <c r="X126" s="123"/>
      <c r="Y126" s="123"/>
      <c r="Z126" s="123"/>
      <c r="AA126" s="123"/>
      <c r="AB126" s="168"/>
      <c r="AC126" s="168"/>
      <c r="AD126" s="168"/>
      <c r="AE126" s="168"/>
      <c r="AF126" s="174"/>
      <c r="AG126" s="123"/>
      <c r="AH126" s="123"/>
      <c r="AI126" s="123"/>
      <c r="AJ126" s="123"/>
      <c r="AK126" s="123"/>
      <c r="AL126" s="123"/>
      <c r="AM126" s="123"/>
    </row>
    <row r="127" spans="5:39" ht="15.75" thickBot="1" x14ac:dyDescent="0.3">
      <c r="F127" s="87" t="s">
        <v>646</v>
      </c>
      <c r="G127" s="30"/>
      <c r="H127" s="88">
        <f>SUM(H116,H125)</f>
        <v>45656</v>
      </c>
      <c r="I127" s="88">
        <f t="shared" ref="I127:V127" si="81">SUM(I116,I125)</f>
        <v>55015</v>
      </c>
      <c r="J127" s="88">
        <f t="shared" si="81"/>
        <v>62096.999999999971</v>
      </c>
      <c r="K127" s="88">
        <f t="shared" si="81"/>
        <v>51811</v>
      </c>
      <c r="L127" s="88">
        <f t="shared" si="81"/>
        <v>53903</v>
      </c>
      <c r="M127" s="88">
        <f t="shared" si="81"/>
        <v>45232</v>
      </c>
      <c r="N127" s="88">
        <f t="shared" si="81"/>
        <v>49355</v>
      </c>
      <c r="O127" s="88">
        <f t="shared" si="81"/>
        <v>62410</v>
      </c>
      <c r="P127" s="88">
        <f t="shared" si="81"/>
        <v>21680</v>
      </c>
      <c r="Q127" s="88">
        <f t="shared" si="81"/>
        <v>-3620</v>
      </c>
      <c r="R127" s="88">
        <f t="shared" si="81"/>
        <v>24025.000000000029</v>
      </c>
      <c r="S127" s="88">
        <f t="shared" si="81"/>
        <v>36677.999999999971</v>
      </c>
      <c r="T127" s="88">
        <f t="shared" si="81"/>
        <v>-20413.999999999971</v>
      </c>
      <c r="U127" s="88">
        <f t="shared" si="81"/>
        <v>32649.999999999971</v>
      </c>
      <c r="V127" s="88">
        <f t="shared" si="81"/>
        <v>140598</v>
      </c>
      <c r="W127" s="88">
        <f t="shared" ref="W127:AI127" si="82">SUM(W116,W125)</f>
        <v>65901</v>
      </c>
      <c r="X127" s="88">
        <f t="shared" si="82"/>
        <v>61042.999999999942</v>
      </c>
      <c r="Y127" s="88">
        <f t="shared" si="82"/>
        <v>46748</v>
      </c>
      <c r="Z127" s="88">
        <f t="shared" si="82"/>
        <v>-28213.999999999942</v>
      </c>
      <c r="AA127" s="88">
        <f t="shared" si="82"/>
        <v>27077</v>
      </c>
      <c r="AB127" s="88">
        <f>SUM(AB116,AB125)</f>
        <v>-70726.5</v>
      </c>
      <c r="AC127" s="88">
        <f>SUM(AC116,AC125)</f>
        <v>8745.5000000000582</v>
      </c>
      <c r="AD127" s="88">
        <f>SUM(AD116,AD125)</f>
        <v>-33724</v>
      </c>
      <c r="AE127" s="88">
        <f>SUM(AE116,AE125)</f>
        <v>17868</v>
      </c>
      <c r="AF127" s="88">
        <f>SUM(AF116,AF125)</f>
        <v>-41998.222518089926</v>
      </c>
      <c r="AG127" s="88">
        <f t="shared" si="82"/>
        <v>-32507.963604529214</v>
      </c>
      <c r="AH127" s="88">
        <f t="shared" si="82"/>
        <v>-51109.231614830962</v>
      </c>
      <c r="AI127" s="88">
        <f t="shared" si="82"/>
        <v>-21106.290956264304</v>
      </c>
      <c r="AJ127" s="88">
        <f>SUM(AJ116,AJ125)</f>
        <v>-63620.093913452234</v>
      </c>
      <c r="AK127" s="88">
        <f>SUM(AK116,AK125)</f>
        <v>-33796.046452626004</v>
      </c>
      <c r="AL127" s="88">
        <f>SUM(AL116,AL125)</f>
        <v>-61314.28257692192</v>
      </c>
      <c r="AM127" s="88">
        <f>SUM(AM116,AM125)</f>
        <v>-22140.162726798677</v>
      </c>
    </row>
    <row r="129" spans="5:39" x14ac:dyDescent="0.25">
      <c r="H129" s="10"/>
      <c r="I129" s="10"/>
      <c r="J129" s="10"/>
      <c r="K129" s="10"/>
      <c r="L129" s="10"/>
      <c r="M129" s="10"/>
      <c r="N129" s="10"/>
      <c r="O129" s="10"/>
      <c r="P129" s="10"/>
      <c r="Q129" s="10"/>
      <c r="R129" s="10"/>
      <c r="S129" s="10"/>
      <c r="T129" s="10"/>
      <c r="U129" s="10"/>
      <c r="V129" s="10"/>
      <c r="AG129" s="174"/>
      <c r="AH129" s="174"/>
      <c r="AI129" s="174"/>
      <c r="AJ129" s="174"/>
      <c r="AK129" s="174"/>
      <c r="AL129" s="174"/>
      <c r="AM129" s="174"/>
    </row>
    <row r="130" spans="5:39" ht="21" x14ac:dyDescent="0.35">
      <c r="E130" s="91" t="s">
        <v>657</v>
      </c>
    </row>
    <row r="131" spans="5:39" x14ac:dyDescent="0.25">
      <c r="F131" s="65" t="s">
        <v>551</v>
      </c>
      <c r="G131" s="65" t="s">
        <v>23</v>
      </c>
      <c r="H131" s="66">
        <f t="shared" ref="H131:AE131" si="83">-(H50+0.9*H51)</f>
        <v>-104982.6</v>
      </c>
      <c r="I131" s="66">
        <f t="shared" si="83"/>
        <v>-92127.6</v>
      </c>
      <c r="J131" s="66">
        <f t="shared" si="83"/>
        <v>-105738.9</v>
      </c>
      <c r="K131" s="66">
        <f t="shared" si="83"/>
        <v>-89723.3</v>
      </c>
      <c r="L131" s="66">
        <f t="shared" si="83"/>
        <v>-81808.7</v>
      </c>
      <c r="M131" s="66">
        <f t="shared" si="83"/>
        <v>-109233.1</v>
      </c>
      <c r="N131" s="66">
        <f t="shared" si="83"/>
        <v>-124171</v>
      </c>
      <c r="O131" s="66">
        <f t="shared" si="83"/>
        <v>-110703.3</v>
      </c>
      <c r="P131" s="66">
        <f t="shared" si="83"/>
        <v>-124814.5</v>
      </c>
      <c r="Q131" s="66">
        <f t="shared" si="83"/>
        <v>-154369.1</v>
      </c>
      <c r="R131" s="66">
        <f t="shared" si="83"/>
        <v>-150871.1</v>
      </c>
      <c r="S131" s="66">
        <f t="shared" si="83"/>
        <v>-142941.4</v>
      </c>
      <c r="T131" s="66">
        <f t="shared" si="83"/>
        <v>-159105.1</v>
      </c>
      <c r="U131" s="66">
        <f t="shared" si="83"/>
        <v>-169123.7</v>
      </c>
      <c r="V131" s="66">
        <f t="shared" si="83"/>
        <v>-171339.4</v>
      </c>
      <c r="W131" s="66">
        <f t="shared" si="83"/>
        <v>-171683.3</v>
      </c>
      <c r="X131" s="66">
        <f t="shared" si="83"/>
        <v>-194892.4</v>
      </c>
      <c r="Y131" s="66">
        <f t="shared" si="83"/>
        <v>-154972.1</v>
      </c>
      <c r="Z131" s="66">
        <f t="shared" si="83"/>
        <v>-224399</v>
      </c>
      <c r="AA131" s="66">
        <f t="shared" si="83"/>
        <v>-182336.1</v>
      </c>
      <c r="AB131" s="66">
        <f t="shared" si="83"/>
        <v>-234613.2</v>
      </c>
      <c r="AC131" s="66">
        <f t="shared" si="83"/>
        <v>-240645.7</v>
      </c>
      <c r="AD131" s="66">
        <f t="shared" si="83"/>
        <v>-274988.7</v>
      </c>
      <c r="AE131" s="66">
        <f t="shared" si="83"/>
        <v>-234533.4</v>
      </c>
      <c r="AF131" s="66">
        <f t="shared" ref="AF131" si="84">-(AF50+0.9*AF51)</f>
        <v>-291704</v>
      </c>
    </row>
    <row r="132" spans="5:39" x14ac:dyDescent="0.25">
      <c r="F132" s="65"/>
      <c r="G132" s="65" t="s">
        <v>24</v>
      </c>
      <c r="H132" s="66">
        <f t="shared" ref="H132:AE132" si="85">H28+0.9*H29</f>
        <v>315.90000000000003</v>
      </c>
      <c r="I132" s="66">
        <f t="shared" si="85"/>
        <v>1052.2</v>
      </c>
      <c r="J132" s="66">
        <f t="shared" si="85"/>
        <v>496.5</v>
      </c>
      <c r="K132" s="66">
        <f t="shared" si="85"/>
        <v>157.1</v>
      </c>
      <c r="L132" s="66">
        <f t="shared" si="85"/>
        <v>271.39999999999998</v>
      </c>
      <c r="M132" s="66">
        <f t="shared" si="85"/>
        <v>942.7</v>
      </c>
      <c r="N132" s="66">
        <f t="shared" si="85"/>
        <v>749</v>
      </c>
      <c r="O132" s="66">
        <f t="shared" si="85"/>
        <v>398.5</v>
      </c>
      <c r="P132" s="66">
        <f t="shared" si="85"/>
        <v>247.7</v>
      </c>
      <c r="Q132" s="66">
        <f t="shared" si="85"/>
        <v>1280.5999999999999</v>
      </c>
      <c r="R132" s="66">
        <f t="shared" si="85"/>
        <v>479.3</v>
      </c>
      <c r="S132" s="66">
        <f t="shared" si="85"/>
        <v>1974.9</v>
      </c>
      <c r="T132" s="66">
        <f t="shared" si="85"/>
        <v>1564</v>
      </c>
      <c r="U132" s="66">
        <f t="shared" si="85"/>
        <v>2099</v>
      </c>
      <c r="V132" s="66">
        <f t="shared" si="85"/>
        <v>2409</v>
      </c>
      <c r="W132" s="66">
        <f t="shared" si="85"/>
        <v>2</v>
      </c>
      <c r="X132" s="66">
        <f t="shared" si="85"/>
        <v>3523</v>
      </c>
      <c r="Y132" s="66">
        <f t="shared" si="85"/>
        <v>5920.6</v>
      </c>
      <c r="Z132" s="66">
        <f t="shared" si="85"/>
        <v>3056.8</v>
      </c>
      <c r="AA132" s="66">
        <f t="shared" si="85"/>
        <v>1720.1000000000001</v>
      </c>
      <c r="AB132" s="66">
        <f t="shared" si="85"/>
        <v>4547.7</v>
      </c>
      <c r="AC132" s="66">
        <f t="shared" si="85"/>
        <v>12653.8</v>
      </c>
      <c r="AD132" s="66">
        <f t="shared" si="85"/>
        <v>6253.2</v>
      </c>
      <c r="AE132" s="66">
        <f t="shared" si="85"/>
        <v>6926.5</v>
      </c>
      <c r="AF132" s="66">
        <f t="shared" ref="AF132" si="86">AF28+0.9*AF29</f>
        <v>12377.4</v>
      </c>
    </row>
    <row r="133" spans="5:39" x14ac:dyDescent="0.25">
      <c r="F133" s="65" t="s">
        <v>5</v>
      </c>
      <c r="G133" s="65" t="s">
        <v>23</v>
      </c>
      <c r="H133" s="66">
        <f t="shared" ref="H133:AE133" si="87">-(SUM(H59:H62)+0.1*H51)</f>
        <v>-48.400000000000006</v>
      </c>
      <c r="I133" s="66">
        <f t="shared" si="87"/>
        <v>-3854.4</v>
      </c>
      <c r="J133" s="66">
        <f t="shared" si="87"/>
        <v>-6493.1</v>
      </c>
      <c r="K133" s="66">
        <f t="shared" si="87"/>
        <v>-3714.7</v>
      </c>
      <c r="L133" s="66">
        <f t="shared" si="87"/>
        <v>-10686.3</v>
      </c>
      <c r="M133" s="66">
        <f t="shared" si="87"/>
        <v>-13599.9</v>
      </c>
      <c r="N133" s="66">
        <f t="shared" si="87"/>
        <v>-15532</v>
      </c>
      <c r="O133" s="66">
        <f t="shared" si="87"/>
        <v>-21146.7</v>
      </c>
      <c r="P133" s="66">
        <f t="shared" si="87"/>
        <v>-4221.5</v>
      </c>
      <c r="Q133" s="66">
        <f t="shared" si="87"/>
        <v>-3235.9</v>
      </c>
      <c r="R133" s="66">
        <f t="shared" si="87"/>
        <v>-5638.9</v>
      </c>
      <c r="S133" s="66">
        <f t="shared" si="87"/>
        <v>-7642.6</v>
      </c>
      <c r="T133" s="66">
        <f t="shared" si="87"/>
        <v>-4684.8999999999996</v>
      </c>
      <c r="U133" s="66">
        <f t="shared" si="87"/>
        <v>-9406.2999999999993</v>
      </c>
      <c r="V133" s="66">
        <f t="shared" si="87"/>
        <v>-11834.6</v>
      </c>
      <c r="W133" s="66">
        <f t="shared" si="87"/>
        <v>-6996.7</v>
      </c>
      <c r="X133" s="66">
        <f t="shared" si="87"/>
        <v>-2016.6</v>
      </c>
      <c r="Y133" s="66">
        <f t="shared" si="87"/>
        <v>-503.90000000000003</v>
      </c>
      <c r="Z133" s="66">
        <f t="shared" si="87"/>
        <v>-12013</v>
      </c>
      <c r="AA133" s="66">
        <f t="shared" si="87"/>
        <v>-5240.8999999999996</v>
      </c>
      <c r="AB133" s="66">
        <f t="shared" si="87"/>
        <v>-2359.8000000000002</v>
      </c>
      <c r="AC133" s="66">
        <f t="shared" si="87"/>
        <v>-940.30000000000007</v>
      </c>
      <c r="AD133" s="66">
        <f t="shared" si="87"/>
        <v>-3927.3</v>
      </c>
      <c r="AE133" s="66">
        <f t="shared" si="87"/>
        <v>-3209.6</v>
      </c>
      <c r="AF133" s="66">
        <f t="shared" ref="AF133" si="88">-(SUM(AF59:AF62)+0.1*AF51)</f>
        <v>-7194</v>
      </c>
    </row>
    <row r="134" spans="5:39" x14ac:dyDescent="0.25">
      <c r="F134" s="65"/>
      <c r="G134" s="65" t="s">
        <v>24</v>
      </c>
      <c r="H134" s="66">
        <f t="shared" ref="H134:AE134" si="89">SUM(H38:H41)+0.1*H29</f>
        <v>138694.1</v>
      </c>
      <c r="I134" s="66">
        <f t="shared" si="89"/>
        <v>122637.8</v>
      </c>
      <c r="J134" s="66">
        <f t="shared" si="89"/>
        <v>141031.5</v>
      </c>
      <c r="K134" s="66">
        <f t="shared" si="89"/>
        <v>111685.9</v>
      </c>
      <c r="L134" s="66">
        <f t="shared" si="89"/>
        <v>121139.6</v>
      </c>
      <c r="M134" s="66">
        <f t="shared" si="89"/>
        <v>130510.3</v>
      </c>
      <c r="N134" s="66">
        <f t="shared" si="89"/>
        <v>146599</v>
      </c>
      <c r="O134" s="66">
        <f t="shared" si="89"/>
        <v>142393.5</v>
      </c>
      <c r="P134" s="66">
        <f t="shared" si="89"/>
        <v>121087.3</v>
      </c>
      <c r="Q134" s="66">
        <f t="shared" si="89"/>
        <v>116770.4</v>
      </c>
      <c r="R134" s="66">
        <f t="shared" si="89"/>
        <v>140358.70000000001</v>
      </c>
      <c r="S134" s="66">
        <f t="shared" si="89"/>
        <v>137650.1</v>
      </c>
      <c r="T134" s="66">
        <f t="shared" si="89"/>
        <v>113165</v>
      </c>
      <c r="U134" s="66">
        <f t="shared" si="89"/>
        <v>136516</v>
      </c>
      <c r="V134" s="66">
        <f t="shared" si="89"/>
        <v>158158</v>
      </c>
      <c r="W134" s="66">
        <f t="shared" si="89"/>
        <v>145929</v>
      </c>
      <c r="X134" s="66">
        <f t="shared" si="89"/>
        <v>124567</v>
      </c>
      <c r="Y134" s="66">
        <f t="shared" si="89"/>
        <v>108772.4</v>
      </c>
      <c r="Z134" s="66">
        <f t="shared" si="89"/>
        <v>145996.20000000001</v>
      </c>
      <c r="AA134" s="66">
        <f t="shared" si="89"/>
        <v>128626.9</v>
      </c>
      <c r="AB134" s="66">
        <f t="shared" si="89"/>
        <v>110852.3</v>
      </c>
      <c r="AC134" s="66">
        <f t="shared" si="89"/>
        <v>151469.20000000001</v>
      </c>
      <c r="AD134" s="66">
        <f t="shared" si="89"/>
        <v>147761.79999999999</v>
      </c>
      <c r="AE134" s="66">
        <f t="shared" si="89"/>
        <v>133448.5</v>
      </c>
      <c r="AF134" s="66">
        <f t="shared" ref="AF134" si="90">SUM(AF38:AF41)+0.1*AF29</f>
        <v>122456.6</v>
      </c>
    </row>
    <row r="135" spans="5:39" x14ac:dyDescent="0.25">
      <c r="F135" s="65" t="s">
        <v>614</v>
      </c>
      <c r="G135" s="65" t="s">
        <v>23</v>
      </c>
      <c r="H135" s="66">
        <f t="shared" ref="H135:AE135" si="91">-(SUM(H47,0.8*H48,0.95*H49))</f>
        <v>-56497.25</v>
      </c>
      <c r="I135" s="66">
        <f t="shared" si="91"/>
        <v>-47313.35</v>
      </c>
      <c r="J135" s="66">
        <f t="shared" si="91"/>
        <v>-54393.3</v>
      </c>
      <c r="K135" s="66">
        <f t="shared" si="91"/>
        <v>-48497.55</v>
      </c>
      <c r="L135" s="66">
        <f t="shared" si="91"/>
        <v>-45777.9</v>
      </c>
      <c r="M135" s="66">
        <f t="shared" si="91"/>
        <v>-61057.25</v>
      </c>
      <c r="N135" s="66">
        <f t="shared" si="91"/>
        <v>-63539.55</v>
      </c>
      <c r="O135" s="66">
        <f t="shared" si="91"/>
        <v>-53301.65</v>
      </c>
      <c r="P135" s="66">
        <f t="shared" si="91"/>
        <v>-67373.55</v>
      </c>
      <c r="Q135" s="66">
        <f t="shared" si="91"/>
        <v>-76992.149999999994</v>
      </c>
      <c r="R135" s="66">
        <f t="shared" si="91"/>
        <v>-86357.3</v>
      </c>
      <c r="S135" s="66">
        <f t="shared" si="91"/>
        <v>-71918.600000000006</v>
      </c>
      <c r="T135" s="66">
        <f t="shared" si="91"/>
        <v>-84005.599999999991</v>
      </c>
      <c r="U135" s="66">
        <f t="shared" si="91"/>
        <v>-81019.150000000009</v>
      </c>
      <c r="V135" s="66">
        <f t="shared" si="91"/>
        <v>-91002.25</v>
      </c>
      <c r="W135" s="66">
        <f t="shared" si="91"/>
        <v>-86482</v>
      </c>
      <c r="X135" s="66">
        <f t="shared" si="91"/>
        <v>-88825.45</v>
      </c>
      <c r="Y135" s="66">
        <f t="shared" si="91"/>
        <v>-111256.5</v>
      </c>
      <c r="Z135" s="66">
        <f t="shared" si="91"/>
        <v>-107781.95</v>
      </c>
      <c r="AA135" s="66">
        <f t="shared" si="91"/>
        <v>-110527</v>
      </c>
      <c r="AB135" s="66">
        <f t="shared" si="91"/>
        <v>-138237.94999999998</v>
      </c>
      <c r="AC135" s="66">
        <f t="shared" si="91"/>
        <v>-139110.15</v>
      </c>
      <c r="AD135" s="66">
        <f t="shared" si="91"/>
        <v>-151823.34999999998</v>
      </c>
      <c r="AE135" s="66">
        <f t="shared" si="91"/>
        <v>-127507.2</v>
      </c>
      <c r="AF135" s="66">
        <f t="shared" ref="AF135" si="92">-(SUM(AF47,0.8*AF48,0.95*AF49))</f>
        <v>-187163.75</v>
      </c>
    </row>
    <row r="136" spans="5:39" x14ac:dyDescent="0.25">
      <c r="F136" s="65"/>
      <c r="G136" s="65" t="s">
        <v>24</v>
      </c>
      <c r="H136" s="66">
        <f t="shared" ref="H136:AE136" si="93">(SUM(H25,0.8*H26,0.95*H27))</f>
        <v>352.55</v>
      </c>
      <c r="I136" s="66">
        <f t="shared" si="93"/>
        <v>1173.75</v>
      </c>
      <c r="J136" s="66">
        <f t="shared" si="93"/>
        <v>304.35000000000002</v>
      </c>
      <c r="K136" s="66">
        <f t="shared" si="93"/>
        <v>590</v>
      </c>
      <c r="L136" s="66">
        <f t="shared" si="93"/>
        <v>472.1</v>
      </c>
      <c r="M136" s="66">
        <f t="shared" si="93"/>
        <v>985.45</v>
      </c>
      <c r="N136" s="66">
        <f t="shared" si="93"/>
        <v>779.7</v>
      </c>
      <c r="O136" s="66">
        <f t="shared" si="93"/>
        <v>621.29999999999995</v>
      </c>
      <c r="P136" s="66">
        <f t="shared" si="93"/>
        <v>1158.9000000000001</v>
      </c>
      <c r="Q136" s="66">
        <f t="shared" si="93"/>
        <v>1904.1</v>
      </c>
      <c r="R136" s="66">
        <f t="shared" si="93"/>
        <v>1626.35</v>
      </c>
      <c r="S136" s="66">
        <f t="shared" si="93"/>
        <v>2082.6999999999998</v>
      </c>
      <c r="T136" s="66">
        <f t="shared" si="93"/>
        <v>2341.1</v>
      </c>
      <c r="U136" s="66">
        <f t="shared" si="93"/>
        <v>1582.05</v>
      </c>
      <c r="V136" s="66">
        <f t="shared" si="93"/>
        <v>1441.4</v>
      </c>
      <c r="W136" s="66">
        <f t="shared" si="93"/>
        <v>301.7</v>
      </c>
      <c r="X136" s="66">
        <f t="shared" si="93"/>
        <v>1010.1500000000001</v>
      </c>
      <c r="Y136" s="66">
        <f t="shared" si="93"/>
        <v>653.04999999999995</v>
      </c>
      <c r="Z136" s="66">
        <f t="shared" si="93"/>
        <v>2264.5500000000002</v>
      </c>
      <c r="AA136" s="66">
        <f t="shared" si="93"/>
        <v>2938.45</v>
      </c>
      <c r="AB136" s="66">
        <f t="shared" si="93"/>
        <v>2080.8999999999996</v>
      </c>
      <c r="AC136" s="66">
        <f t="shared" si="93"/>
        <v>2174.1</v>
      </c>
      <c r="AD136" s="66">
        <f t="shared" si="93"/>
        <v>2408.0499999999997</v>
      </c>
      <c r="AE136" s="66">
        <f t="shared" si="93"/>
        <v>2496.35</v>
      </c>
      <c r="AF136" s="66">
        <f t="shared" ref="AF136" si="94">(SUM(AF25,0.8*AF26,0.95*AF27))</f>
        <v>2346.15</v>
      </c>
    </row>
    <row r="137" spans="5:39" x14ac:dyDescent="0.25">
      <c r="F137" s="65" t="s">
        <v>7</v>
      </c>
      <c r="G137" s="65" t="s">
        <v>23</v>
      </c>
      <c r="H137" s="66">
        <f t="shared" ref="H137:AE137" si="95">-SUM(H55,0.2*H48*(H55/SUM(H55:H56)),0.05*H49*(H55/SUM(H55:H56)))</f>
        <v>-170.75</v>
      </c>
      <c r="I137" s="66">
        <f t="shared" si="95"/>
        <v>-1266.6500000000001</v>
      </c>
      <c r="J137" s="66">
        <f t="shared" si="95"/>
        <v>-1296.7</v>
      </c>
      <c r="K137" s="66">
        <f t="shared" si="95"/>
        <v>-491.45</v>
      </c>
      <c r="L137" s="66">
        <f t="shared" si="95"/>
        <v>-527.1</v>
      </c>
      <c r="M137" s="66">
        <f t="shared" si="95"/>
        <v>-922.75</v>
      </c>
      <c r="N137" s="66">
        <f t="shared" si="95"/>
        <v>-2159.4499999999998</v>
      </c>
      <c r="O137" s="66">
        <f t="shared" si="95"/>
        <v>-1304.3499999999999</v>
      </c>
      <c r="P137" s="66">
        <f t="shared" si="95"/>
        <v>-685.72016248153614</v>
      </c>
      <c r="Q137" s="66">
        <f t="shared" si="95"/>
        <v>-1155.8499999999999</v>
      </c>
      <c r="R137" s="66">
        <f t="shared" si="95"/>
        <v>-1122.7</v>
      </c>
      <c r="S137" s="66">
        <f t="shared" si="95"/>
        <v>-617.4</v>
      </c>
      <c r="T137" s="66">
        <f t="shared" si="95"/>
        <v>-1922.3999999999999</v>
      </c>
      <c r="U137" s="66">
        <f t="shared" si="95"/>
        <v>-1487.8500000000001</v>
      </c>
      <c r="V137" s="66">
        <f t="shared" si="95"/>
        <v>-1596.75</v>
      </c>
      <c r="W137" s="66">
        <f t="shared" si="95"/>
        <v>-997</v>
      </c>
      <c r="X137" s="66">
        <f t="shared" si="95"/>
        <v>-214.04510869565217</v>
      </c>
      <c r="Y137" s="66">
        <f t="shared" si="95"/>
        <v>-3994.0048355899421</v>
      </c>
      <c r="Z137" s="66">
        <f t="shared" si="95"/>
        <v>-1494.6692902117916</v>
      </c>
      <c r="AA137" s="66">
        <f t="shared" si="95"/>
        <v>-3258.1241751649673</v>
      </c>
      <c r="AB137" s="66">
        <f t="shared" si="95"/>
        <v>-1012.7030645161291</v>
      </c>
      <c r="AC137" s="66">
        <f t="shared" si="95"/>
        <v>-221.0832078313253</v>
      </c>
      <c r="AD137" s="66">
        <f t="shared" si="95"/>
        <v>-376.20329087048833</v>
      </c>
      <c r="AE137" s="66">
        <f t="shared" si="95"/>
        <v>-205.40834621329213</v>
      </c>
      <c r="AF137" s="66">
        <f t="shared" ref="AF137" si="96">-SUM(AF55,0.2*AF48*(AF55/SUM(AF55:AF56)),0.05*AF49*(AF55/SUM(AF55:AF56)))</f>
        <v>-2300.4919402543624</v>
      </c>
    </row>
    <row r="138" spans="5:39" x14ac:dyDescent="0.25">
      <c r="F138" s="65"/>
      <c r="G138" s="65" t="s">
        <v>24</v>
      </c>
      <c r="H138" s="66">
        <f t="shared" ref="H138:AE138" si="97">SUM(H33,0.2*H26*(H33/SUM(H33:H34)),0.05*H27*(H33/SUM(H33:H34)))</f>
        <v>58535.45</v>
      </c>
      <c r="I138" s="66">
        <f t="shared" si="97"/>
        <v>65184.25</v>
      </c>
      <c r="J138" s="66">
        <f t="shared" si="97"/>
        <v>76536.649999999994</v>
      </c>
      <c r="K138" s="66">
        <f t="shared" si="97"/>
        <v>69425</v>
      </c>
      <c r="L138" s="66">
        <f t="shared" si="97"/>
        <v>57473.9</v>
      </c>
      <c r="M138" s="66">
        <f t="shared" si="97"/>
        <v>83399.55</v>
      </c>
      <c r="N138" s="66">
        <f t="shared" si="97"/>
        <v>92234.3</v>
      </c>
      <c r="O138" s="66">
        <f t="shared" si="97"/>
        <v>88402.364302230009</v>
      </c>
      <c r="P138" s="66">
        <f t="shared" si="97"/>
        <v>73409.366444146566</v>
      </c>
      <c r="Q138" s="66">
        <f t="shared" si="97"/>
        <v>88849.069200915517</v>
      </c>
      <c r="R138" s="66">
        <f t="shared" si="97"/>
        <v>101531.73239736639</v>
      </c>
      <c r="S138" s="66">
        <f t="shared" si="97"/>
        <v>91223.083479329463</v>
      </c>
      <c r="T138" s="66">
        <f t="shared" si="97"/>
        <v>83643.89034535778</v>
      </c>
      <c r="U138" s="66">
        <f t="shared" si="97"/>
        <v>121931.67814397121</v>
      </c>
      <c r="V138" s="66">
        <f t="shared" si="97"/>
        <v>125308.690061976</v>
      </c>
      <c r="W138" s="66">
        <f t="shared" si="97"/>
        <v>116168.98353013491</v>
      </c>
      <c r="X138" s="66">
        <f t="shared" si="97"/>
        <v>116657.45731858915</v>
      </c>
      <c r="Y138" s="66">
        <f t="shared" si="97"/>
        <v>112450.87761446364</v>
      </c>
      <c r="Z138" s="66">
        <f t="shared" si="97"/>
        <v>126321.10709056814</v>
      </c>
      <c r="AA138" s="66">
        <f t="shared" si="97"/>
        <v>126072.6198040883</v>
      </c>
      <c r="AB138" s="66">
        <f t="shared" si="97"/>
        <v>101749.79610523565</v>
      </c>
      <c r="AC138" s="66">
        <f t="shared" si="97"/>
        <v>141446.83932019683</v>
      </c>
      <c r="AD138" s="66">
        <f t="shared" si="97"/>
        <v>133275.6200758169</v>
      </c>
      <c r="AE138" s="66">
        <f t="shared" si="97"/>
        <v>132265.47062131178</v>
      </c>
      <c r="AF138" s="66">
        <f t="shared" ref="AF138" si="98">SUM(AF33,0.2*AF26*(AF33/SUM(AF33:AF34)),0.05*AF27*(AF33/SUM(AF33:AF34)))</f>
        <v>119146.23419569815</v>
      </c>
    </row>
    <row r="139" spans="5:39" x14ac:dyDescent="0.25">
      <c r="F139" s="65" t="s">
        <v>6</v>
      </c>
      <c r="G139" s="65" t="s">
        <v>23</v>
      </c>
      <c r="H139" s="66">
        <f t="shared" ref="H139:AE139" si="99">-SUM(H56,0.2*H48*(H56/SUM(H55:H56)),0.05*H49*(H56/SUM(H55:H56)))</f>
        <v>0</v>
      </c>
      <c r="I139" s="66">
        <f t="shared" si="99"/>
        <v>0</v>
      </c>
      <c r="J139" s="66">
        <f t="shared" si="99"/>
        <v>0</v>
      </c>
      <c r="K139" s="66">
        <f t="shared" si="99"/>
        <v>0</v>
      </c>
      <c r="L139" s="66">
        <f t="shared" si="99"/>
        <v>0</v>
      </c>
      <c r="M139" s="66">
        <f t="shared" si="99"/>
        <v>0</v>
      </c>
      <c r="N139" s="66">
        <f t="shared" si="99"/>
        <v>0</v>
      </c>
      <c r="O139" s="66">
        <f t="shared" si="99"/>
        <v>0</v>
      </c>
      <c r="P139" s="66">
        <f t="shared" si="99"/>
        <v>-18.72983751846381</v>
      </c>
      <c r="Q139" s="66">
        <f t="shared" si="99"/>
        <v>0</v>
      </c>
      <c r="R139" s="66">
        <f t="shared" si="99"/>
        <v>0</v>
      </c>
      <c r="S139" s="66">
        <f t="shared" si="99"/>
        <v>0</v>
      </c>
      <c r="T139" s="66">
        <f t="shared" si="99"/>
        <v>0</v>
      </c>
      <c r="U139" s="66">
        <f t="shared" si="99"/>
        <v>0</v>
      </c>
      <c r="V139" s="66">
        <f t="shared" si="99"/>
        <v>0</v>
      </c>
      <c r="W139" s="66">
        <f t="shared" si="99"/>
        <v>0</v>
      </c>
      <c r="X139" s="66">
        <f t="shared" si="99"/>
        <v>-157.50489130434784</v>
      </c>
      <c r="Y139" s="66">
        <f t="shared" si="99"/>
        <v>-211.49516441005804</v>
      </c>
      <c r="Z139" s="66">
        <f t="shared" si="99"/>
        <v>-312.38070978820838</v>
      </c>
      <c r="AA139" s="66">
        <f t="shared" si="99"/>
        <v>-143.87582483503297</v>
      </c>
      <c r="AB139" s="66">
        <f t="shared" si="99"/>
        <v>-15510.346935483871</v>
      </c>
      <c r="AC139" s="66">
        <f t="shared" si="99"/>
        <v>-29138.766792168673</v>
      </c>
      <c r="AD139" s="66">
        <f t="shared" si="99"/>
        <v>-224.44670912951167</v>
      </c>
      <c r="AE139" s="66">
        <f t="shared" si="99"/>
        <v>-13475.391653786708</v>
      </c>
      <c r="AF139" s="66">
        <f t="shared" ref="AF139" si="100">-SUM(AF56,0.2*AF48*(AF56/SUM(AF55:AF56)),0.05*AF49*(AF56/SUM(AF55:AF56)))</f>
        <v>-4588.7580597456372</v>
      </c>
    </row>
    <row r="140" spans="5:39" x14ac:dyDescent="0.25">
      <c r="F140" s="65"/>
      <c r="G140" s="65" t="s">
        <v>24</v>
      </c>
      <c r="H140" s="66">
        <f t="shared" ref="H140:AE140" si="101">SUM(H34,0.2*H26*(H34/SUM(H33:H34)),0.05*H27*(H34/SUM(H33:H34)))</f>
        <v>0</v>
      </c>
      <c r="I140" s="66">
        <f t="shared" si="101"/>
        <v>0</v>
      </c>
      <c r="J140" s="66">
        <f t="shared" si="101"/>
        <v>0</v>
      </c>
      <c r="K140" s="66">
        <f t="shared" si="101"/>
        <v>0</v>
      </c>
      <c r="L140" s="66">
        <f t="shared" si="101"/>
        <v>0</v>
      </c>
      <c r="M140" s="66">
        <f t="shared" si="101"/>
        <v>0</v>
      </c>
      <c r="N140" s="66">
        <f t="shared" si="101"/>
        <v>0</v>
      </c>
      <c r="O140" s="66">
        <f t="shared" si="101"/>
        <v>2863.335697769985</v>
      </c>
      <c r="P140" s="66">
        <f t="shared" si="101"/>
        <v>1967.7335558534287</v>
      </c>
      <c r="Q140" s="66">
        <f t="shared" si="101"/>
        <v>1637.830799084486</v>
      </c>
      <c r="R140" s="66">
        <f t="shared" si="101"/>
        <v>1800.9176026336174</v>
      </c>
      <c r="S140" s="66">
        <f t="shared" si="101"/>
        <v>4037.2165206705317</v>
      </c>
      <c r="T140" s="66">
        <f t="shared" si="101"/>
        <v>907.0096546422235</v>
      </c>
      <c r="U140" s="66">
        <f t="shared" si="101"/>
        <v>3104.2718560287944</v>
      </c>
      <c r="V140" s="66">
        <f t="shared" si="101"/>
        <v>98816.909938023993</v>
      </c>
      <c r="W140" s="66">
        <f t="shared" si="101"/>
        <v>38391.316469865094</v>
      </c>
      <c r="X140" s="66">
        <f t="shared" si="101"/>
        <v>64375.392681410842</v>
      </c>
      <c r="Y140" s="66">
        <f t="shared" si="101"/>
        <v>53784.072385536369</v>
      </c>
      <c r="Z140" s="66">
        <f t="shared" si="101"/>
        <v>1167.3429094318601</v>
      </c>
      <c r="AA140" s="66">
        <f t="shared" si="101"/>
        <v>29181.930195911689</v>
      </c>
      <c r="AB140" s="66">
        <f t="shared" si="101"/>
        <v>43770.303894764351</v>
      </c>
      <c r="AC140" s="66">
        <f t="shared" si="101"/>
        <v>41145.060679803173</v>
      </c>
      <c r="AD140" s="66">
        <f t="shared" si="101"/>
        <v>20105.329924183108</v>
      </c>
      <c r="AE140" s="66">
        <f t="shared" si="101"/>
        <v>27807.179378688237</v>
      </c>
      <c r="AF140" s="66">
        <f t="shared" ref="AF140" si="102">SUM(AF34,0.2*AF26*(AF34/SUM(AF33:AF34)),0.05*AF27*(AF34/SUM(AF33:AF34)))</f>
        <v>94648.615804301837</v>
      </c>
    </row>
    <row r="141" spans="5:39" x14ac:dyDescent="0.25">
      <c r="F141" s="65" t="s">
        <v>615</v>
      </c>
      <c r="G141" s="65" t="s">
        <v>23</v>
      </c>
      <c r="H141" s="66">
        <f t="shared" ref="H141:AE141" si="103">-H58</f>
        <v>0</v>
      </c>
      <c r="I141" s="66">
        <f t="shared" si="103"/>
        <v>0</v>
      </c>
      <c r="J141" s="66">
        <f t="shared" si="103"/>
        <v>0</v>
      </c>
      <c r="K141" s="66">
        <f t="shared" si="103"/>
        <v>0</v>
      </c>
      <c r="L141" s="66">
        <f t="shared" si="103"/>
        <v>0</v>
      </c>
      <c r="M141" s="66">
        <f t="shared" si="103"/>
        <v>0</v>
      </c>
      <c r="N141" s="66">
        <f t="shared" si="103"/>
        <v>0</v>
      </c>
      <c r="O141" s="66">
        <f t="shared" si="103"/>
        <v>0</v>
      </c>
      <c r="P141" s="66">
        <f t="shared" si="103"/>
        <v>0</v>
      </c>
      <c r="Q141" s="66">
        <f t="shared" si="103"/>
        <v>0</v>
      </c>
      <c r="R141" s="66">
        <f t="shared" si="103"/>
        <v>0</v>
      </c>
      <c r="S141" s="66">
        <f t="shared" si="103"/>
        <v>0</v>
      </c>
      <c r="T141" s="66">
        <f t="shared" si="103"/>
        <v>0</v>
      </c>
      <c r="U141" s="66">
        <f t="shared" si="103"/>
        <v>0</v>
      </c>
      <c r="V141" s="66">
        <f t="shared" si="103"/>
        <v>0</v>
      </c>
      <c r="W141" s="66">
        <f t="shared" si="103"/>
        <v>0</v>
      </c>
      <c r="X141" s="66">
        <f t="shared" si="103"/>
        <v>0</v>
      </c>
      <c r="Y141" s="66">
        <f t="shared" si="103"/>
        <v>0</v>
      </c>
      <c r="Z141" s="66">
        <f t="shared" si="103"/>
        <v>0</v>
      </c>
      <c r="AA141" s="66">
        <f t="shared" si="103"/>
        <v>0</v>
      </c>
      <c r="AB141" s="66">
        <f t="shared" si="103"/>
        <v>0</v>
      </c>
      <c r="AC141" s="66">
        <f t="shared" si="103"/>
        <v>0</v>
      </c>
      <c r="AD141" s="66">
        <f t="shared" si="103"/>
        <v>0</v>
      </c>
      <c r="AE141" s="66">
        <f t="shared" si="103"/>
        <v>0</v>
      </c>
      <c r="AF141" s="66">
        <f t="shared" ref="AF141" si="104">-AF58</f>
        <v>0</v>
      </c>
    </row>
    <row r="142" spans="5:39" x14ac:dyDescent="0.25">
      <c r="F142" s="65"/>
      <c r="G142" s="65" t="s">
        <v>24</v>
      </c>
      <c r="H142" s="66">
        <f t="shared" ref="H142:AE142" si="105">SUM(H36:H37)</f>
        <v>8894</v>
      </c>
      <c r="I142" s="66">
        <f t="shared" si="105"/>
        <v>9074</v>
      </c>
      <c r="J142" s="66">
        <f t="shared" si="105"/>
        <v>9257</v>
      </c>
      <c r="K142" s="66">
        <f t="shared" si="105"/>
        <v>9214</v>
      </c>
      <c r="L142" s="66">
        <f t="shared" si="105"/>
        <v>10950</v>
      </c>
      <c r="M142" s="66">
        <f t="shared" si="105"/>
        <v>11123</v>
      </c>
      <c r="N142" s="66">
        <f t="shared" si="105"/>
        <v>11396</v>
      </c>
      <c r="O142" s="66">
        <f t="shared" si="105"/>
        <v>11247</v>
      </c>
      <c r="P142" s="66">
        <f t="shared" si="105"/>
        <v>14761</v>
      </c>
      <c r="Q142" s="66">
        <f t="shared" si="105"/>
        <v>14983</v>
      </c>
      <c r="R142" s="66">
        <f t="shared" si="105"/>
        <v>15191</v>
      </c>
      <c r="S142" s="66">
        <f t="shared" si="105"/>
        <v>15437</v>
      </c>
      <c r="T142" s="66">
        <f t="shared" si="105"/>
        <v>19504</v>
      </c>
      <c r="U142" s="66">
        <f t="shared" si="105"/>
        <v>19817</v>
      </c>
      <c r="V142" s="66">
        <f t="shared" si="105"/>
        <v>20283</v>
      </c>
      <c r="W142" s="66">
        <f t="shared" si="105"/>
        <v>20258</v>
      </c>
      <c r="X142" s="66">
        <f t="shared" si="105"/>
        <v>26401</v>
      </c>
      <c r="Y142" s="66">
        <f t="shared" si="105"/>
        <v>25904</v>
      </c>
      <c r="Z142" s="66">
        <f t="shared" si="105"/>
        <v>26824</v>
      </c>
      <c r="AA142" s="66">
        <f t="shared" si="105"/>
        <v>26690</v>
      </c>
      <c r="AB142" s="66">
        <f t="shared" si="105"/>
        <v>34896.5</v>
      </c>
      <c r="AC142" s="66">
        <f t="shared" si="105"/>
        <v>35682.5</v>
      </c>
      <c r="AD142" s="66">
        <f t="shared" si="105"/>
        <v>44713</v>
      </c>
      <c r="AE142" s="66">
        <f t="shared" si="105"/>
        <v>44982</v>
      </c>
      <c r="AF142" s="66">
        <f t="shared" ref="AF142" si="106">SUM(AF36:AF37)</f>
        <v>5423</v>
      </c>
    </row>
    <row r="143" spans="5:39" x14ac:dyDescent="0.25">
      <c r="F143" s="65" t="s">
        <v>616</v>
      </c>
      <c r="G143" s="65" t="s">
        <v>23</v>
      </c>
      <c r="H143" s="66">
        <f t="shared" ref="H143:AE143" si="107">-H57</f>
        <v>0</v>
      </c>
      <c r="I143" s="66">
        <f t="shared" si="107"/>
        <v>0</v>
      </c>
      <c r="J143" s="66">
        <f t="shared" si="107"/>
        <v>0</v>
      </c>
      <c r="K143" s="66">
        <f t="shared" si="107"/>
        <v>0</v>
      </c>
      <c r="L143" s="66">
        <f t="shared" si="107"/>
        <v>0</v>
      </c>
      <c r="M143" s="66">
        <f t="shared" si="107"/>
        <v>0</v>
      </c>
      <c r="N143" s="66">
        <f t="shared" si="107"/>
        <v>0</v>
      </c>
      <c r="O143" s="66">
        <f t="shared" si="107"/>
        <v>0</v>
      </c>
      <c r="P143" s="66">
        <f t="shared" si="107"/>
        <v>0</v>
      </c>
      <c r="Q143" s="66">
        <f t="shared" si="107"/>
        <v>0</v>
      </c>
      <c r="R143" s="66">
        <f t="shared" si="107"/>
        <v>0</v>
      </c>
      <c r="S143" s="66">
        <f t="shared" si="107"/>
        <v>0</v>
      </c>
      <c r="T143" s="66">
        <f t="shared" si="107"/>
        <v>0</v>
      </c>
      <c r="U143" s="66">
        <f t="shared" si="107"/>
        <v>0</v>
      </c>
      <c r="V143" s="66">
        <f t="shared" si="107"/>
        <v>0</v>
      </c>
      <c r="W143" s="66">
        <f t="shared" si="107"/>
        <v>0</v>
      </c>
      <c r="X143" s="66">
        <f t="shared" si="107"/>
        <v>0</v>
      </c>
      <c r="Y143" s="66">
        <f t="shared" si="107"/>
        <v>0</v>
      </c>
      <c r="Z143" s="66">
        <f t="shared" si="107"/>
        <v>0</v>
      </c>
      <c r="AA143" s="66">
        <f t="shared" si="107"/>
        <v>0</v>
      </c>
      <c r="AB143" s="66">
        <f t="shared" si="107"/>
        <v>0</v>
      </c>
      <c r="AC143" s="66">
        <f t="shared" si="107"/>
        <v>0</v>
      </c>
      <c r="AD143" s="66">
        <f t="shared" si="107"/>
        <v>0</v>
      </c>
      <c r="AE143" s="66">
        <f t="shared" si="107"/>
        <v>0</v>
      </c>
      <c r="AF143" s="66">
        <f t="shared" ref="AF143" si="108">-AF57</f>
        <v>0</v>
      </c>
    </row>
    <row r="144" spans="5:39" x14ac:dyDescent="0.25">
      <c r="F144" s="65"/>
      <c r="G144" s="65" t="s">
        <v>24</v>
      </c>
      <c r="H144" s="66">
        <f t="shared" ref="H144:AE144" si="109">H35</f>
        <v>0</v>
      </c>
      <c r="I144" s="66">
        <f t="shared" si="109"/>
        <v>0</v>
      </c>
      <c r="J144" s="66">
        <f t="shared" si="109"/>
        <v>0</v>
      </c>
      <c r="K144" s="66">
        <f t="shared" si="109"/>
        <v>0</v>
      </c>
      <c r="L144" s="66">
        <f t="shared" si="109"/>
        <v>0</v>
      </c>
      <c r="M144" s="66">
        <f t="shared" si="109"/>
        <v>0</v>
      </c>
      <c r="N144" s="66">
        <f t="shared" si="109"/>
        <v>0</v>
      </c>
      <c r="O144" s="66">
        <f t="shared" si="109"/>
        <v>0</v>
      </c>
      <c r="P144" s="66">
        <f t="shared" si="109"/>
        <v>4288</v>
      </c>
      <c r="Q144" s="66">
        <f t="shared" si="109"/>
        <v>4206</v>
      </c>
      <c r="R144" s="66">
        <f t="shared" si="109"/>
        <v>4382</v>
      </c>
      <c r="S144" s="66">
        <f t="shared" si="109"/>
        <v>4313</v>
      </c>
      <c r="T144" s="66">
        <f t="shared" si="109"/>
        <v>4662</v>
      </c>
      <c r="U144" s="66">
        <f t="shared" si="109"/>
        <v>4756</v>
      </c>
      <c r="V144" s="66">
        <f t="shared" si="109"/>
        <v>5787</v>
      </c>
      <c r="W144" s="66">
        <f t="shared" si="109"/>
        <v>6098</v>
      </c>
      <c r="X144" s="66">
        <f t="shared" si="109"/>
        <v>6390</v>
      </c>
      <c r="Y144" s="66">
        <f t="shared" si="109"/>
        <v>6453</v>
      </c>
      <c r="Z144" s="66">
        <f t="shared" si="109"/>
        <v>7824</v>
      </c>
      <c r="AA144" s="66">
        <f t="shared" si="109"/>
        <v>8573</v>
      </c>
      <c r="AB144" s="66">
        <f t="shared" si="109"/>
        <v>18263</v>
      </c>
      <c r="AC144" s="66">
        <f t="shared" si="109"/>
        <v>28302</v>
      </c>
      <c r="AD144" s="66">
        <f t="shared" si="109"/>
        <v>32541</v>
      </c>
      <c r="AE144" s="66">
        <f t="shared" si="109"/>
        <v>36201</v>
      </c>
      <c r="AF144" s="66">
        <f t="shared" ref="AF144" si="110">AF35</f>
        <v>38120</v>
      </c>
    </row>
    <row r="145" spans="1:39" x14ac:dyDescent="0.25">
      <c r="F145" s="65" t="s">
        <v>617</v>
      </c>
      <c r="G145" s="65" t="s">
        <v>23</v>
      </c>
      <c r="H145" s="66">
        <f t="shared" ref="H145:AE145" si="111">-SUM(H63:H64)</f>
        <v>0</v>
      </c>
      <c r="I145" s="66">
        <f t="shared" si="111"/>
        <v>0</v>
      </c>
      <c r="J145" s="66">
        <f t="shared" si="111"/>
        <v>0</v>
      </c>
      <c r="K145" s="66">
        <f t="shared" si="111"/>
        <v>0</v>
      </c>
      <c r="L145" s="66">
        <f t="shared" si="111"/>
        <v>0</v>
      </c>
      <c r="M145" s="66">
        <f t="shared" si="111"/>
        <v>0</v>
      </c>
      <c r="N145" s="66">
        <f t="shared" si="111"/>
        <v>0</v>
      </c>
      <c r="O145" s="66">
        <f t="shared" si="111"/>
        <v>0</v>
      </c>
      <c r="P145" s="66">
        <f t="shared" si="111"/>
        <v>0</v>
      </c>
      <c r="Q145" s="66">
        <f t="shared" si="111"/>
        <v>0</v>
      </c>
      <c r="R145" s="66">
        <f t="shared" si="111"/>
        <v>0</v>
      </c>
      <c r="S145" s="66">
        <f t="shared" si="111"/>
        <v>0</v>
      </c>
      <c r="T145" s="66">
        <f t="shared" si="111"/>
        <v>0</v>
      </c>
      <c r="U145" s="66">
        <f t="shared" si="111"/>
        <v>0</v>
      </c>
      <c r="V145" s="66">
        <f t="shared" si="111"/>
        <v>0</v>
      </c>
      <c r="W145" s="66">
        <f t="shared" si="111"/>
        <v>0</v>
      </c>
      <c r="X145" s="66">
        <f t="shared" si="111"/>
        <v>0</v>
      </c>
      <c r="Y145" s="66">
        <f t="shared" si="111"/>
        <v>0</v>
      </c>
      <c r="Z145" s="66">
        <f t="shared" si="111"/>
        <v>0</v>
      </c>
      <c r="AA145" s="66">
        <f t="shared" si="111"/>
        <v>0</v>
      </c>
      <c r="AB145" s="66">
        <f t="shared" si="111"/>
        <v>0</v>
      </c>
      <c r="AC145" s="66">
        <f t="shared" si="111"/>
        <v>0</v>
      </c>
      <c r="AD145" s="66">
        <f t="shared" si="111"/>
        <v>0</v>
      </c>
      <c r="AE145" s="66">
        <f t="shared" si="111"/>
        <v>0</v>
      </c>
      <c r="AF145" s="66">
        <f t="shared" ref="AF145" si="112">-SUM(AF63:AF64)</f>
        <v>0</v>
      </c>
    </row>
    <row r="146" spans="1:39" x14ac:dyDescent="0.25">
      <c r="F146" s="65"/>
      <c r="G146" s="65" t="s">
        <v>24</v>
      </c>
      <c r="H146" s="66">
        <f t="shared" ref="H146:AE146" si="113">SUM(H42:H43)</f>
        <v>61</v>
      </c>
      <c r="I146" s="66">
        <f t="shared" si="113"/>
        <v>112</v>
      </c>
      <c r="J146" s="66">
        <f t="shared" si="113"/>
        <v>346</v>
      </c>
      <c r="K146" s="66">
        <f t="shared" si="113"/>
        <v>292</v>
      </c>
      <c r="L146" s="66">
        <f t="shared" si="113"/>
        <v>308</v>
      </c>
      <c r="M146" s="66">
        <f t="shared" si="113"/>
        <v>297</v>
      </c>
      <c r="N146" s="66">
        <f t="shared" si="113"/>
        <v>327</v>
      </c>
      <c r="O146" s="66">
        <f t="shared" si="113"/>
        <v>272</v>
      </c>
      <c r="P146" s="66">
        <f t="shared" si="113"/>
        <v>472</v>
      </c>
      <c r="Q146" s="66">
        <f t="shared" si="113"/>
        <v>514</v>
      </c>
      <c r="R146" s="66">
        <f t="shared" si="113"/>
        <v>486</v>
      </c>
      <c r="S146" s="66">
        <f t="shared" si="113"/>
        <v>430</v>
      </c>
      <c r="T146" s="66">
        <f t="shared" si="113"/>
        <v>393</v>
      </c>
      <c r="U146" s="66">
        <f t="shared" si="113"/>
        <v>399</v>
      </c>
      <c r="V146" s="66">
        <f t="shared" si="113"/>
        <v>435</v>
      </c>
      <c r="W146" s="66">
        <f t="shared" si="113"/>
        <v>325</v>
      </c>
      <c r="X146" s="66">
        <f t="shared" si="113"/>
        <v>263</v>
      </c>
      <c r="Y146" s="66">
        <f t="shared" si="113"/>
        <v>136</v>
      </c>
      <c r="Z146" s="66">
        <f t="shared" si="113"/>
        <v>99</v>
      </c>
      <c r="AA146" s="66">
        <f t="shared" si="113"/>
        <v>113</v>
      </c>
      <c r="AB146" s="66">
        <f t="shared" si="113"/>
        <v>302</v>
      </c>
      <c r="AC146" s="66">
        <f t="shared" si="113"/>
        <v>284</v>
      </c>
      <c r="AD146" s="66">
        <f t="shared" si="113"/>
        <v>89</v>
      </c>
      <c r="AE146" s="66">
        <f t="shared" si="113"/>
        <v>16</v>
      </c>
      <c r="AF146" s="66">
        <f t="shared" ref="AF146" si="114">SUM(AF42:AF43)</f>
        <v>2</v>
      </c>
    </row>
    <row r="147" spans="1:39" x14ac:dyDescent="0.25">
      <c r="F147" s="65" t="s">
        <v>31</v>
      </c>
      <c r="G147" s="65" t="s">
        <v>23</v>
      </c>
      <c r="H147" s="66">
        <f t="shared" ref="H147:AE147" si="115">SUM(H53:H54)</f>
        <v>0</v>
      </c>
      <c r="I147" s="66">
        <f t="shared" si="115"/>
        <v>0</v>
      </c>
      <c r="J147" s="66">
        <f t="shared" si="115"/>
        <v>0</v>
      </c>
      <c r="K147" s="66">
        <f t="shared" si="115"/>
        <v>0</v>
      </c>
      <c r="L147" s="66">
        <f t="shared" si="115"/>
        <v>0</v>
      </c>
      <c r="M147" s="66">
        <f t="shared" si="115"/>
        <v>0</v>
      </c>
      <c r="N147" s="66">
        <f t="shared" si="115"/>
        <v>0</v>
      </c>
      <c r="O147" s="66">
        <f t="shared" si="115"/>
        <v>0</v>
      </c>
      <c r="P147" s="66">
        <f t="shared" si="115"/>
        <v>0</v>
      </c>
      <c r="Q147" s="66">
        <f t="shared" si="115"/>
        <v>0</v>
      </c>
      <c r="R147" s="66">
        <f t="shared" si="115"/>
        <v>0</v>
      </c>
      <c r="S147" s="66">
        <f t="shared" si="115"/>
        <v>0</v>
      </c>
      <c r="T147" s="66">
        <f t="shared" si="115"/>
        <v>0</v>
      </c>
      <c r="U147" s="66">
        <f t="shared" si="115"/>
        <v>0</v>
      </c>
      <c r="V147" s="66">
        <f t="shared" si="115"/>
        <v>0</v>
      </c>
      <c r="W147" s="66">
        <f t="shared" si="115"/>
        <v>0</v>
      </c>
      <c r="X147" s="66">
        <f t="shared" si="115"/>
        <v>0</v>
      </c>
      <c r="Y147" s="66">
        <f t="shared" si="115"/>
        <v>0</v>
      </c>
      <c r="Z147" s="66">
        <f t="shared" si="115"/>
        <v>0</v>
      </c>
      <c r="AA147" s="66">
        <f t="shared" si="115"/>
        <v>0</v>
      </c>
      <c r="AB147" s="66">
        <f t="shared" si="115"/>
        <v>0</v>
      </c>
      <c r="AC147" s="66">
        <f t="shared" si="115"/>
        <v>0</v>
      </c>
      <c r="AD147" s="66">
        <f t="shared" si="115"/>
        <v>0</v>
      </c>
      <c r="AE147" s="66">
        <f t="shared" si="115"/>
        <v>0</v>
      </c>
      <c r="AF147" s="66">
        <f t="shared" ref="AF147" si="116">SUM(AF53:AF54)</f>
        <v>0</v>
      </c>
    </row>
    <row r="148" spans="1:39" x14ac:dyDescent="0.25">
      <c r="F148" s="65"/>
      <c r="G148" s="65" t="s">
        <v>24</v>
      </c>
      <c r="H148" s="66">
        <f t="shared" ref="H148:AE148" si="117">SUM(H31:H32)</f>
        <v>474</v>
      </c>
      <c r="I148" s="66">
        <f t="shared" si="117"/>
        <v>315</v>
      </c>
      <c r="J148" s="66">
        <f t="shared" si="117"/>
        <v>2034</v>
      </c>
      <c r="K148" s="66">
        <f t="shared" si="117"/>
        <v>2843</v>
      </c>
      <c r="L148" s="66">
        <f t="shared" si="117"/>
        <v>2056</v>
      </c>
      <c r="M148" s="66">
        <f t="shared" si="117"/>
        <v>2719</v>
      </c>
      <c r="N148" s="66">
        <f t="shared" si="117"/>
        <v>2634</v>
      </c>
      <c r="O148" s="66">
        <f t="shared" si="117"/>
        <v>2607</v>
      </c>
      <c r="P148" s="66">
        <f t="shared" si="117"/>
        <v>1203</v>
      </c>
      <c r="Q148" s="66">
        <f t="shared" si="117"/>
        <v>1770</v>
      </c>
      <c r="R148" s="66">
        <f t="shared" si="117"/>
        <v>1921</v>
      </c>
      <c r="S148" s="66">
        <f t="shared" si="117"/>
        <v>2115</v>
      </c>
      <c r="T148" s="66">
        <f t="shared" si="117"/>
        <v>1905</v>
      </c>
      <c r="U148" s="66">
        <f t="shared" si="117"/>
        <v>2097</v>
      </c>
      <c r="V148" s="66">
        <f t="shared" si="117"/>
        <v>2089</v>
      </c>
      <c r="W148" s="66">
        <f t="shared" si="117"/>
        <v>2651</v>
      </c>
      <c r="X148" s="66">
        <f t="shared" si="117"/>
        <v>2475</v>
      </c>
      <c r="Y148" s="66">
        <f t="shared" si="117"/>
        <v>2651</v>
      </c>
      <c r="Z148" s="66">
        <f t="shared" si="117"/>
        <v>3457</v>
      </c>
      <c r="AA148" s="66">
        <f t="shared" si="117"/>
        <v>3624</v>
      </c>
      <c r="AB148" s="66">
        <f t="shared" si="117"/>
        <v>3226</v>
      </c>
      <c r="AC148" s="66">
        <f t="shared" si="117"/>
        <v>4234</v>
      </c>
      <c r="AD148" s="66">
        <f t="shared" si="117"/>
        <v>9407</v>
      </c>
      <c r="AE148" s="66">
        <f t="shared" si="117"/>
        <v>11336</v>
      </c>
      <c r="AF148" s="66">
        <f t="shared" ref="AF148" si="118">SUM(AF31:AF32)</f>
        <v>11491</v>
      </c>
    </row>
    <row r="149" spans="1:39" x14ac:dyDescent="0.25">
      <c r="F149" s="65" t="s">
        <v>11</v>
      </c>
      <c r="G149" s="65" t="s">
        <v>23</v>
      </c>
      <c r="H149" s="66">
        <f t="shared" ref="H149:AE149" si="119">-SUM(H65:H66)</f>
        <v>0</v>
      </c>
      <c r="I149" s="66">
        <f t="shared" si="119"/>
        <v>0</v>
      </c>
      <c r="J149" s="66">
        <f t="shared" si="119"/>
        <v>0</v>
      </c>
      <c r="K149" s="66">
        <f t="shared" si="119"/>
        <v>0</v>
      </c>
      <c r="L149" s="66">
        <f t="shared" si="119"/>
        <v>0</v>
      </c>
      <c r="M149" s="66">
        <f t="shared" si="119"/>
        <v>0</v>
      </c>
      <c r="N149" s="66">
        <f t="shared" si="119"/>
        <v>0</v>
      </c>
      <c r="O149" s="66">
        <f t="shared" si="119"/>
        <v>0</v>
      </c>
      <c r="P149" s="66">
        <f t="shared" si="119"/>
        <v>0</v>
      </c>
      <c r="Q149" s="66">
        <f t="shared" si="119"/>
        <v>0</v>
      </c>
      <c r="R149" s="66">
        <f t="shared" si="119"/>
        <v>0</v>
      </c>
      <c r="S149" s="66">
        <f t="shared" si="119"/>
        <v>0</v>
      </c>
      <c r="T149" s="66">
        <f t="shared" si="119"/>
        <v>0</v>
      </c>
      <c r="U149" s="66">
        <f t="shared" si="119"/>
        <v>0</v>
      </c>
      <c r="V149" s="66">
        <f t="shared" si="119"/>
        <v>0</v>
      </c>
      <c r="W149" s="66">
        <f t="shared" si="119"/>
        <v>0</v>
      </c>
      <c r="X149" s="66">
        <f t="shared" si="119"/>
        <v>0</v>
      </c>
      <c r="Y149" s="66">
        <f t="shared" si="119"/>
        <v>0</v>
      </c>
      <c r="Z149" s="66">
        <f t="shared" si="119"/>
        <v>0</v>
      </c>
      <c r="AA149" s="66">
        <f t="shared" si="119"/>
        <v>0</v>
      </c>
      <c r="AB149" s="66">
        <f t="shared" si="119"/>
        <v>0</v>
      </c>
      <c r="AC149" s="66">
        <f t="shared" si="119"/>
        <v>0</v>
      </c>
      <c r="AD149" s="66">
        <f t="shared" si="119"/>
        <v>0</v>
      </c>
      <c r="AE149" s="66">
        <f t="shared" si="119"/>
        <v>0</v>
      </c>
      <c r="AF149" s="66">
        <f t="shared" ref="AF149" si="120">-SUM(AF65:AF66)</f>
        <v>0</v>
      </c>
    </row>
    <row r="150" spans="1:39" x14ac:dyDescent="0.25">
      <c r="F150" s="65"/>
      <c r="G150" s="65" t="s">
        <v>24</v>
      </c>
      <c r="H150" s="66">
        <f t="shared" ref="H150:AE150" si="121">SUM(H44:H45)</f>
        <v>28</v>
      </c>
      <c r="I150" s="66">
        <f t="shared" si="121"/>
        <v>28</v>
      </c>
      <c r="J150" s="66">
        <f t="shared" si="121"/>
        <v>13</v>
      </c>
      <c r="K150" s="66">
        <f t="shared" si="121"/>
        <v>31</v>
      </c>
      <c r="L150" s="66">
        <f t="shared" si="121"/>
        <v>32</v>
      </c>
      <c r="M150" s="66">
        <f t="shared" si="121"/>
        <v>68</v>
      </c>
      <c r="N150" s="66">
        <f t="shared" si="121"/>
        <v>38</v>
      </c>
      <c r="O150" s="66">
        <f t="shared" si="121"/>
        <v>61</v>
      </c>
      <c r="P150" s="66">
        <f t="shared" si="121"/>
        <v>199</v>
      </c>
      <c r="Q150" s="66">
        <f t="shared" si="121"/>
        <v>218</v>
      </c>
      <c r="R150" s="66">
        <f t="shared" si="121"/>
        <v>238</v>
      </c>
      <c r="S150" s="66">
        <f t="shared" si="121"/>
        <v>535</v>
      </c>
      <c r="T150" s="66">
        <f t="shared" si="121"/>
        <v>1219</v>
      </c>
      <c r="U150" s="66">
        <f t="shared" si="121"/>
        <v>1385</v>
      </c>
      <c r="V150" s="66">
        <f t="shared" si="121"/>
        <v>1643</v>
      </c>
      <c r="W150" s="66">
        <f t="shared" si="121"/>
        <v>1935</v>
      </c>
      <c r="X150" s="66">
        <f t="shared" si="121"/>
        <v>1487</v>
      </c>
      <c r="Y150" s="66">
        <f t="shared" si="121"/>
        <v>961</v>
      </c>
      <c r="Z150" s="66">
        <f t="shared" si="121"/>
        <v>777</v>
      </c>
      <c r="AA150" s="66">
        <f t="shared" si="121"/>
        <v>1043</v>
      </c>
      <c r="AB150" s="66">
        <f t="shared" si="121"/>
        <v>1319</v>
      </c>
      <c r="AC150" s="66">
        <f t="shared" si="121"/>
        <v>1410</v>
      </c>
      <c r="AD150" s="66">
        <f t="shared" si="121"/>
        <v>1062</v>
      </c>
      <c r="AE150" s="66">
        <f t="shared" si="121"/>
        <v>1320</v>
      </c>
      <c r="AF150" s="66">
        <f t="shared" ref="AF150" si="122">SUM(AF44:AF45)</f>
        <v>1047</v>
      </c>
    </row>
    <row r="151" spans="1:39" s="123" customFormat="1" x14ac:dyDescent="0.25">
      <c r="A151" s="168"/>
      <c r="B151" s="168"/>
      <c r="C151" s="168"/>
      <c r="D151" s="168"/>
      <c r="F151" s="65"/>
      <c r="G151" s="65"/>
      <c r="H151" s="66"/>
      <c r="I151" s="66"/>
      <c r="J151" s="66"/>
      <c r="K151" s="66"/>
      <c r="L151" s="66"/>
      <c r="M151" s="66"/>
      <c r="N151" s="66"/>
      <c r="O151" s="66"/>
      <c r="P151" s="66"/>
      <c r="Q151" s="66"/>
      <c r="R151" s="66"/>
      <c r="S151" s="66"/>
      <c r="T151" s="66"/>
      <c r="U151" s="66"/>
      <c r="V151" s="66"/>
      <c r="W151" s="66"/>
      <c r="X151" s="66"/>
      <c r="Y151" s="66"/>
      <c r="Z151" s="66"/>
      <c r="AA151" s="66"/>
      <c r="AB151" s="66"/>
      <c r="AC151" s="66"/>
      <c r="AD151" s="66"/>
      <c r="AE151" s="66"/>
      <c r="AF151" s="66"/>
    </row>
    <row r="152" spans="1:39" x14ac:dyDescent="0.25">
      <c r="G152" s="93" t="s">
        <v>699</v>
      </c>
      <c r="H152" s="129">
        <f t="shared" ref="H152:AE152" si="123">SUM(H30,H46,-H52,-H67)</f>
        <v>45656</v>
      </c>
      <c r="I152" s="129">
        <f t="shared" si="123"/>
        <v>55015</v>
      </c>
      <c r="J152" s="129">
        <f t="shared" si="123"/>
        <v>62097</v>
      </c>
      <c r="K152" s="129">
        <f t="shared" si="123"/>
        <v>51811</v>
      </c>
      <c r="L152" s="129">
        <f t="shared" si="123"/>
        <v>53903</v>
      </c>
      <c r="M152" s="129">
        <f t="shared" si="123"/>
        <v>45232</v>
      </c>
      <c r="N152" s="129">
        <f t="shared" si="123"/>
        <v>49355</v>
      </c>
      <c r="O152" s="129">
        <f t="shared" si="123"/>
        <v>62410</v>
      </c>
      <c r="P152" s="129">
        <f t="shared" si="123"/>
        <v>21680</v>
      </c>
      <c r="Q152" s="129">
        <f t="shared" si="123"/>
        <v>-3620</v>
      </c>
      <c r="R152" s="129">
        <f t="shared" si="123"/>
        <v>24025</v>
      </c>
      <c r="S152" s="129">
        <f t="shared" si="123"/>
        <v>36678</v>
      </c>
      <c r="T152" s="129">
        <f t="shared" si="123"/>
        <v>-20414</v>
      </c>
      <c r="U152" s="129">
        <f t="shared" si="123"/>
        <v>32650</v>
      </c>
      <c r="V152" s="129">
        <f t="shared" si="123"/>
        <v>140598</v>
      </c>
      <c r="W152" s="129">
        <f t="shared" si="123"/>
        <v>65901</v>
      </c>
      <c r="X152" s="129">
        <f t="shared" si="123"/>
        <v>61043</v>
      </c>
      <c r="Y152" s="129">
        <f t="shared" si="123"/>
        <v>46748</v>
      </c>
      <c r="Z152" s="129">
        <f t="shared" si="123"/>
        <v>-28214</v>
      </c>
      <c r="AA152" s="129">
        <f t="shared" si="123"/>
        <v>27077</v>
      </c>
      <c r="AB152" s="129">
        <f t="shared" si="123"/>
        <v>-70726.5</v>
      </c>
      <c r="AC152" s="129">
        <f t="shared" si="123"/>
        <v>8745.5</v>
      </c>
      <c r="AD152" s="129">
        <f t="shared" si="123"/>
        <v>-33724</v>
      </c>
      <c r="AE152" s="129">
        <f t="shared" si="123"/>
        <v>17868</v>
      </c>
      <c r="AF152" s="129">
        <f t="shared" ref="AF152" si="124">SUM(AF30,AF46,-AF52,-AF67)</f>
        <v>-85893</v>
      </c>
    </row>
    <row r="153" spans="1:39" x14ac:dyDescent="0.25">
      <c r="G153" s="93" t="s">
        <v>700</v>
      </c>
      <c r="H153" s="129">
        <f>SUM(H131:H150)</f>
        <v>45656</v>
      </c>
      <c r="I153" s="129">
        <f t="shared" ref="I153:AD153" si="125">SUM(I131:I150)</f>
        <v>55015</v>
      </c>
      <c r="J153" s="129">
        <f t="shared" si="125"/>
        <v>62096.999999999985</v>
      </c>
      <c r="K153" s="129">
        <f t="shared" si="125"/>
        <v>51811</v>
      </c>
      <c r="L153" s="129">
        <f t="shared" si="125"/>
        <v>53903</v>
      </c>
      <c r="M153" s="129">
        <f t="shared" si="125"/>
        <v>45232</v>
      </c>
      <c r="N153" s="129">
        <f t="shared" si="125"/>
        <v>49355</v>
      </c>
      <c r="O153" s="129">
        <f t="shared" si="125"/>
        <v>62410</v>
      </c>
      <c r="P153" s="129">
        <f t="shared" si="125"/>
        <v>21679.999999999985</v>
      </c>
      <c r="Q153" s="129">
        <f t="shared" si="125"/>
        <v>-3619.9999999999927</v>
      </c>
      <c r="R153" s="129">
        <f t="shared" si="125"/>
        <v>24025.000000000011</v>
      </c>
      <c r="S153" s="129">
        <f t="shared" si="125"/>
        <v>36677.999999999993</v>
      </c>
      <c r="T153" s="129">
        <f t="shared" si="125"/>
        <v>-20413.999999999964</v>
      </c>
      <c r="U153" s="129">
        <f t="shared" si="125"/>
        <v>32649.999999999989</v>
      </c>
      <c r="V153" s="129">
        <f t="shared" si="125"/>
        <v>140598</v>
      </c>
      <c r="W153" s="129">
        <f t="shared" si="125"/>
        <v>65901</v>
      </c>
      <c r="X153" s="129">
        <f t="shared" si="125"/>
        <v>61042.999999999964</v>
      </c>
      <c r="Y153" s="129">
        <f t="shared" si="125"/>
        <v>46748</v>
      </c>
      <c r="Z153" s="129">
        <f t="shared" si="125"/>
        <v>-28214.000000000015</v>
      </c>
      <c r="AA153" s="129">
        <f t="shared" si="125"/>
        <v>27077.000000000004</v>
      </c>
      <c r="AB153" s="129">
        <f t="shared" si="125"/>
        <v>-70726.499999999927</v>
      </c>
      <c r="AC153" s="129">
        <f t="shared" si="125"/>
        <v>8745.5000000000073</v>
      </c>
      <c r="AD153" s="129">
        <f t="shared" si="125"/>
        <v>-33723.999999999971</v>
      </c>
      <c r="AE153" s="129">
        <f>SUM(AE131:AE150)</f>
        <v>17868.000000000015</v>
      </c>
      <c r="AF153" s="129">
        <f>SUM(AF131:AF150)</f>
        <v>-85892.999999999942</v>
      </c>
    </row>
    <row r="154" spans="1:39" x14ac:dyDescent="0.25">
      <c r="X154" s="123"/>
      <c r="Y154" s="123"/>
      <c r="Z154" s="123"/>
      <c r="AA154" s="123"/>
      <c r="AB154" s="123"/>
    </row>
    <row r="155" spans="1:39" x14ac:dyDescent="0.25">
      <c r="G155" s="93" t="s">
        <v>728</v>
      </c>
      <c r="H155" s="93"/>
      <c r="I155" s="93"/>
      <c r="J155" s="93"/>
      <c r="K155" s="93"/>
      <c r="L155" s="93"/>
      <c r="M155" s="93"/>
      <c r="N155" s="93"/>
      <c r="O155" s="93"/>
      <c r="P155" s="93"/>
      <c r="Q155" s="93"/>
      <c r="R155" s="93"/>
      <c r="S155" s="93"/>
      <c r="T155" s="93"/>
      <c r="U155" s="93"/>
      <c r="V155" s="93"/>
      <c r="W155" s="93"/>
      <c r="X155" s="93"/>
      <c r="Y155" s="93"/>
      <c r="Z155" s="93"/>
      <c r="AA155" s="93"/>
      <c r="AB155" s="93"/>
    </row>
    <row r="158" spans="1:39" x14ac:dyDescent="0.25">
      <c r="G158" t="s">
        <v>883</v>
      </c>
      <c r="H158" s="124">
        <f>H36</f>
        <v>321</v>
      </c>
      <c r="I158" s="124">
        <f t="shared" ref="I158:AM158" si="126">I36</f>
        <v>500</v>
      </c>
      <c r="J158" s="124">
        <f t="shared" si="126"/>
        <v>684</v>
      </c>
      <c r="K158" s="124">
        <f t="shared" si="126"/>
        <v>640</v>
      </c>
      <c r="L158" s="124">
        <f t="shared" si="126"/>
        <v>649</v>
      </c>
      <c r="M158" s="124">
        <f t="shared" si="126"/>
        <v>822</v>
      </c>
      <c r="N158" s="124">
        <f t="shared" si="126"/>
        <v>1095</v>
      </c>
      <c r="O158" s="124">
        <f t="shared" si="126"/>
        <v>946</v>
      </c>
      <c r="P158" s="124">
        <f t="shared" si="126"/>
        <v>539</v>
      </c>
      <c r="Q158" s="124">
        <f t="shared" si="126"/>
        <v>761</v>
      </c>
      <c r="R158" s="124">
        <f t="shared" si="126"/>
        <v>968</v>
      </c>
      <c r="S158" s="124">
        <f t="shared" si="126"/>
        <v>1214</v>
      </c>
      <c r="T158" s="124">
        <f t="shared" si="126"/>
        <v>1187</v>
      </c>
      <c r="U158" s="124">
        <f t="shared" si="126"/>
        <v>1500</v>
      </c>
      <c r="V158" s="124">
        <f t="shared" si="126"/>
        <v>1965</v>
      </c>
      <c r="W158" s="124">
        <f t="shared" si="126"/>
        <v>1940</v>
      </c>
      <c r="X158" s="124">
        <f t="shared" si="126"/>
        <v>1529</v>
      </c>
      <c r="Y158" s="124">
        <f t="shared" si="126"/>
        <v>1032</v>
      </c>
      <c r="Z158" s="124">
        <f t="shared" si="126"/>
        <v>1952</v>
      </c>
      <c r="AA158" s="124">
        <f t="shared" si="126"/>
        <v>1818</v>
      </c>
      <c r="AB158" s="124">
        <f t="shared" si="126"/>
        <v>1901</v>
      </c>
      <c r="AC158" s="124">
        <f t="shared" si="126"/>
        <v>2687</v>
      </c>
      <c r="AD158" s="124">
        <f t="shared" si="126"/>
        <v>5360</v>
      </c>
      <c r="AE158" s="124">
        <f t="shared" si="126"/>
        <v>5630</v>
      </c>
      <c r="AF158" s="124">
        <f t="shared" si="126"/>
        <v>5423</v>
      </c>
      <c r="AG158" s="124">
        <f t="shared" si="126"/>
        <v>6459.5675351850223</v>
      </c>
      <c r="AH158" s="124">
        <f t="shared" si="126"/>
        <v>7293.6578179606004</v>
      </c>
      <c r="AI158" s="124">
        <f t="shared" si="126"/>
        <v>8303.3495078086271</v>
      </c>
      <c r="AJ158" s="124">
        <f t="shared" si="126"/>
        <v>9191.9194613869768</v>
      </c>
      <c r="AK158" s="124">
        <f t="shared" si="126"/>
        <v>9836.3624916571425</v>
      </c>
      <c r="AL158" s="124">
        <f t="shared" si="126"/>
        <v>10320.892223680799</v>
      </c>
      <c r="AM158" s="124">
        <f t="shared" si="126"/>
        <v>11246.055506150355</v>
      </c>
    </row>
    <row r="159" spans="1:39" x14ac:dyDescent="0.25">
      <c r="R159" s="124"/>
    </row>
    <row r="162" spans="18:23" x14ac:dyDescent="0.25">
      <c r="R162" s="124"/>
      <c r="S162" s="124"/>
      <c r="T162" s="124"/>
      <c r="U162" s="124"/>
      <c r="V162" s="124"/>
      <c r="W162" s="124"/>
    </row>
    <row r="163" spans="18:23" x14ac:dyDescent="0.25">
      <c r="R163" s="124"/>
      <c r="S163" s="124"/>
      <c r="T163" s="124"/>
      <c r="U163" s="124"/>
      <c r="V163" s="124"/>
      <c r="W163" s="124"/>
    </row>
  </sheetData>
  <phoneticPr fontId="32" type="noConversion"/>
  <pageMargins left="0.7" right="0.7" top="0.75" bottom="0.75" header="0.3" footer="0.3"/>
  <pageSetup orientation="portrait" r:id="rId2"/>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41"/>
  <sheetViews>
    <sheetView workbookViewId="0">
      <selection activeCell="A4" sqref="A4:K27"/>
    </sheetView>
  </sheetViews>
  <sheetFormatPr defaultRowHeight="15" x14ac:dyDescent="0.25"/>
  <cols>
    <col min="1" max="1" width="27.7109375" customWidth="1"/>
    <col min="2" max="5" width="11.140625" hidden="1" customWidth="1"/>
    <col min="6" max="6" width="11.140625" customWidth="1"/>
    <col min="7" max="7" width="10.28515625" customWidth="1"/>
    <col min="8" max="9" width="10.28515625" style="123" customWidth="1"/>
    <col min="10" max="10" width="3" style="21" customWidth="1"/>
    <col min="11" max="11" width="12.5703125" customWidth="1"/>
  </cols>
  <sheetData>
    <row r="2" spans="1:11" ht="18.75" x14ac:dyDescent="0.3">
      <c r="A2" s="200" t="s">
        <v>659</v>
      </c>
      <c r="B2" s="200"/>
      <c r="C2" s="200"/>
      <c r="D2" s="200"/>
      <c r="E2" s="200"/>
      <c r="F2" s="200"/>
      <c r="G2" s="200"/>
      <c r="H2" s="200"/>
      <c r="I2" s="200"/>
      <c r="J2" s="200"/>
      <c r="K2" s="200"/>
    </row>
    <row r="4" spans="1:11" ht="33.75" customHeight="1" thickBot="1" x14ac:dyDescent="0.3">
      <c r="A4" t="s">
        <v>550</v>
      </c>
      <c r="B4" s="35">
        <v>2016</v>
      </c>
      <c r="C4" s="35">
        <v>2017</v>
      </c>
      <c r="D4" s="35">
        <v>2018</v>
      </c>
      <c r="E4" s="35">
        <v>2019</v>
      </c>
      <c r="F4" s="35">
        <v>2020</v>
      </c>
      <c r="G4" s="161">
        <v>2021</v>
      </c>
      <c r="H4" s="161" t="s">
        <v>731</v>
      </c>
      <c r="I4" s="161" t="s">
        <v>771</v>
      </c>
      <c r="J4" s="162"/>
      <c r="K4" s="163" t="s">
        <v>773</v>
      </c>
    </row>
    <row r="5" spans="1:11" x14ac:dyDescent="0.25">
      <c r="A5" t="s">
        <v>551</v>
      </c>
      <c r="B5" s="32">
        <f>SUM(Forecast_Main!H76:K76)/1000000</f>
        <v>1424.9795580999998</v>
      </c>
      <c r="C5" s="32">
        <f>SUM(Forecast_Main!L76:O76)/1000000</f>
        <v>1444.3539645000001</v>
      </c>
      <c r="D5" s="32">
        <f>SUM(Forecast_Main!P76:S76)/1000000</f>
        <v>1539.4155068000002</v>
      </c>
      <c r="E5" s="32">
        <f>SUM(Forecast_Main!T76:W76)/1000000</f>
        <v>1565.3501301000001</v>
      </c>
      <c r="F5" s="32">
        <f>SUM(Forecast_Main!X76:AA76)/1000000</f>
        <v>1265.4406950999999</v>
      </c>
      <c r="G5" s="32">
        <f>SUM(Forecast_Main!AB76:AE76)/1000000</f>
        <v>1341.1184135000001</v>
      </c>
      <c r="H5" s="32">
        <f>SUM(Forecast_Main!AF76:AI76)/1000000</f>
        <v>1297.5785408213058</v>
      </c>
      <c r="I5" s="32">
        <f>SUM(Forecast_Main!AJ76:AM76)/1000000</f>
        <v>1287.7870934578721</v>
      </c>
      <c r="J5" s="37"/>
      <c r="K5" s="8">
        <f>(I5/G5)^(1/2)-1</f>
        <v>-2.0084851706028473E-2</v>
      </c>
    </row>
    <row r="6" spans="1:11" x14ac:dyDescent="0.25">
      <c r="A6" t="s">
        <v>5</v>
      </c>
      <c r="B6" s="32">
        <f>SUM(Forecast_Main!H77:K77)/1000000</f>
        <v>177.6073509</v>
      </c>
      <c r="C6" s="32">
        <f>SUM(Forecast_Main!L77:O77)/1000000</f>
        <v>174.2783335</v>
      </c>
      <c r="D6" s="32">
        <f>SUM(Forecast_Main!P77:S77)/1000000</f>
        <v>172.64196719999998</v>
      </c>
      <c r="E6" s="32">
        <f>SUM(Forecast_Main!T77:W77)/1000000</f>
        <v>174.03229690000003</v>
      </c>
      <c r="F6" s="32">
        <f>SUM(Forecast_Main!X77:AA77)/1000000</f>
        <v>141.75994689999999</v>
      </c>
      <c r="G6" s="32">
        <f>SUM(Forecast_Main!AB77:AE77)/1000000</f>
        <v>153.07658850000001</v>
      </c>
      <c r="H6" s="32">
        <f>SUM(Forecast_Main!AF77:AI77)/1000000</f>
        <v>147.38642668571623</v>
      </c>
      <c r="I6" s="32">
        <f>SUM(Forecast_Main!AJ77:AM77)/1000000</f>
        <v>146.27425783151776</v>
      </c>
      <c r="J6" s="37"/>
      <c r="K6" s="8">
        <f>(I6/G6)^(1/2)-1</f>
        <v>-2.2471193852170113E-2</v>
      </c>
    </row>
    <row r="7" spans="1:11" x14ac:dyDescent="0.25">
      <c r="A7" s="141" t="s">
        <v>552</v>
      </c>
      <c r="B7" s="142">
        <f t="shared" ref="B7:H7" si="0">B6/SUM(B5:B6)</f>
        <v>0.11082540978125513</v>
      </c>
      <c r="C7" s="142">
        <f t="shared" si="0"/>
        <v>0.10767011983842176</v>
      </c>
      <c r="D7" s="142">
        <f t="shared" si="0"/>
        <v>0.10083888527214242</v>
      </c>
      <c r="E7" s="142">
        <f t="shared" si="0"/>
        <v>0.10005407333001647</v>
      </c>
      <c r="F7" s="167">
        <f t="shared" si="0"/>
        <v>0.10073897258781951</v>
      </c>
      <c r="G7" s="167">
        <f t="shared" si="0"/>
        <v>0.10244753080762882</v>
      </c>
      <c r="H7" s="167">
        <f t="shared" si="0"/>
        <v>0.10199999999999999</v>
      </c>
      <c r="I7" s="167">
        <f>I6/SUM(I5:I6)</f>
        <v>0.10199999999999999</v>
      </c>
      <c r="J7" s="126"/>
    </row>
    <row r="8" spans="1:11" ht="15.75" thickBot="1" x14ac:dyDescent="0.3">
      <c r="A8" s="30" t="s">
        <v>30</v>
      </c>
      <c r="B8" s="33">
        <f t="shared" ref="B8:H8" si="1">SUM(B5:B6)</f>
        <v>1602.5869089999999</v>
      </c>
      <c r="C8" s="33">
        <f t="shared" si="1"/>
        <v>1618.632298</v>
      </c>
      <c r="D8" s="33">
        <f t="shared" si="1"/>
        <v>1712.0574740000002</v>
      </c>
      <c r="E8" s="33">
        <f t="shared" si="1"/>
        <v>1739.3824270000002</v>
      </c>
      <c r="F8" s="33">
        <f t="shared" si="1"/>
        <v>1407.2006419999998</v>
      </c>
      <c r="G8" s="33">
        <f t="shared" si="1"/>
        <v>1494.1950020000002</v>
      </c>
      <c r="H8" s="33">
        <f t="shared" si="1"/>
        <v>1444.964967507022</v>
      </c>
      <c r="I8" s="33">
        <f>SUM(I5:I6)</f>
        <v>1434.0613512893899</v>
      </c>
      <c r="J8" s="37"/>
      <c r="K8" s="34">
        <f>(I8/G8)^(1/2)-1</f>
        <v>-2.0329059317247045E-2</v>
      </c>
    </row>
    <row r="9" spans="1:11" ht="9.75" customHeight="1" x14ac:dyDescent="0.25"/>
    <row r="10" spans="1:11" x14ac:dyDescent="0.25">
      <c r="A10" t="s">
        <v>553</v>
      </c>
      <c r="B10" s="32">
        <f>SUM(Forecast_Main!H82:K82)/1000000</f>
        <v>708.89300119999996</v>
      </c>
      <c r="C10" s="32">
        <f>SUM(Forecast_Main!L82:O82)/1000000</f>
        <v>682.74407774999997</v>
      </c>
      <c r="D10" s="32">
        <f>SUM(Forecast_Main!P82:S82)/1000000</f>
        <v>716.54592369999989</v>
      </c>
      <c r="E10" s="32">
        <f>SUM(Forecast_Main!T82:W82)/1000000</f>
        <v>719.75400409999997</v>
      </c>
      <c r="F10" s="32">
        <f>SUM(Forecast_Main!X82:AA82)/1000000</f>
        <v>661.79506894999997</v>
      </c>
      <c r="G10" s="32">
        <f>SUM(Forecast_Main!AB82:AE82)/1000000</f>
        <v>723.33724250000012</v>
      </c>
      <c r="H10" s="32">
        <f>SUM(Forecast_Main!AF82:AI82)/1000000</f>
        <v>682.4185704858703</v>
      </c>
      <c r="I10" s="32">
        <f>SUM(Forecast_Main!AJ82:AM82)/1000000</f>
        <v>657.86334785437589</v>
      </c>
      <c r="J10" s="37"/>
      <c r="K10" s="8">
        <f>(I10/G10)^(1/2)-1</f>
        <v>-4.6331512450536017E-2</v>
      </c>
    </row>
    <row r="11" spans="1:11" x14ac:dyDescent="0.25">
      <c r="A11" t="s">
        <v>7</v>
      </c>
      <c r="B11" s="32">
        <f>SUM(Forecast_Main!H83:K83)/1000000</f>
        <v>47.535072800000002</v>
      </c>
      <c r="C11" s="32">
        <f>SUM(Forecast_Main!L83:O83)/1000000</f>
        <v>51.186438718036811</v>
      </c>
      <c r="D11" s="32">
        <f>SUM(Forecast_Main!P83:S83)/1000000</f>
        <v>51.641068418850473</v>
      </c>
      <c r="E11" s="32">
        <f>SUM(Forecast_Main!T83:W83)/1000000</f>
        <v>60.083342074614102</v>
      </c>
      <c r="F11" s="32">
        <f>SUM(Forecast_Main!X83:AA83)/1000000</f>
        <v>68.428102760985638</v>
      </c>
      <c r="G11" s="32">
        <f>SUM(Forecast_Main!AB83:AE83)/1000000</f>
        <v>73.544238784377342</v>
      </c>
      <c r="H11" s="32">
        <f>SUM(Forecast_Main!AF83:AI83)/1000000</f>
        <v>77.547564827939823</v>
      </c>
      <c r="I11" s="32">
        <f>SUM(Forecast_Main!AJ83:AM83)/1000000</f>
        <v>84.637389782434312</v>
      </c>
      <c r="J11" s="37"/>
      <c r="K11" s="8">
        <f>(I11/G11)^(1/2)-1</f>
        <v>7.2770449717870944E-2</v>
      </c>
    </row>
    <row r="12" spans="1:11" x14ac:dyDescent="0.25">
      <c r="A12" s="141" t="s">
        <v>554</v>
      </c>
      <c r="B12" s="143">
        <f t="shared" ref="B12:G12" si="2">B11/SUM(B10:B11,B13)</f>
        <v>6.2841497339772193E-2</v>
      </c>
      <c r="C12" s="143">
        <f t="shared" si="2"/>
        <v>6.9710576546628447E-2</v>
      </c>
      <c r="D12" s="143">
        <f t="shared" si="2"/>
        <v>6.7119109796882459E-2</v>
      </c>
      <c r="E12" s="143">
        <f t="shared" si="2"/>
        <v>7.5467383810708E-2</v>
      </c>
      <c r="F12" s="143">
        <f t="shared" si="2"/>
        <v>9.1525392759030072E-2</v>
      </c>
      <c r="G12" s="143">
        <f t="shared" si="2"/>
        <v>9.1175379219060146E-2</v>
      </c>
      <c r="H12" s="143">
        <f>H11/SUM(H10:H11,H13)</f>
        <v>0.10000000000000002</v>
      </c>
      <c r="I12" s="143">
        <f>I11/SUM(I10:I11,I13)</f>
        <v>0.11</v>
      </c>
      <c r="J12" s="127"/>
    </row>
    <row r="13" spans="1:11" x14ac:dyDescent="0.25">
      <c r="A13" t="s">
        <v>6</v>
      </c>
      <c r="B13" s="32">
        <f>SUM(Forecast_Main!H85:K85)/1000000</f>
        <v>0</v>
      </c>
      <c r="C13" s="32">
        <f>SUM(Forecast_Main!L85:O85)/1000000</f>
        <v>0.34025353196319624</v>
      </c>
      <c r="D13" s="32">
        <f>SUM(Forecast_Main!P85:S85)/1000000</f>
        <v>1.207425881149528</v>
      </c>
      <c r="E13" s="32">
        <f>SUM(Forecast_Main!T85:W85)/1000000</f>
        <v>16.312447825385895</v>
      </c>
      <c r="F13" s="32">
        <f>SUM(Forecast_Main!X85:AA85)/1000000</f>
        <v>17.417463289014357</v>
      </c>
      <c r="G13" s="32">
        <f>SUM(Forecast_Main!AB85:AE85)/1000000</f>
        <v>9.7424057156226755</v>
      </c>
      <c r="H13" s="32">
        <f>SUM(Forecast_Main!AF85:AI85)/1000000</f>
        <v>15.509512965587966</v>
      </c>
      <c r="I13" s="32">
        <f>SUM(Forecast_Main!AJ85:AM85)/1000000</f>
        <v>26.930078567138196</v>
      </c>
      <c r="J13" s="37"/>
      <c r="K13" s="8">
        <f>(I13/G13)^(1/2)-1</f>
        <v>0.662592069001533</v>
      </c>
    </row>
    <row r="14" spans="1:11" x14ac:dyDescent="0.25">
      <c r="A14" s="141" t="s">
        <v>555</v>
      </c>
      <c r="B14" s="143">
        <f t="shared" ref="B14:G14" si="3">B13/SUM(B10:B11,B13)</f>
        <v>0</v>
      </c>
      <c r="C14" s="143">
        <f t="shared" si="3"/>
        <v>4.6338972742057574E-4</v>
      </c>
      <c r="D14" s="143">
        <f t="shared" si="3"/>
        <v>1.5693197830680492E-3</v>
      </c>
      <c r="E14" s="143">
        <f t="shared" si="3"/>
        <v>2.0489169184393329E-2</v>
      </c>
      <c r="F14" s="143">
        <f t="shared" si="3"/>
        <v>2.3296571204980528E-2</v>
      </c>
      <c r="G14" s="143">
        <f t="shared" si="3"/>
        <v>1.2078002985823644E-2</v>
      </c>
      <c r="H14" s="143">
        <f>H13/SUM(H10:H11,H13)</f>
        <v>2.0000000000000004E-2</v>
      </c>
      <c r="I14" s="143">
        <f>I13/SUM(I10:I11,I13)</f>
        <v>3.5000000000000003E-2</v>
      </c>
      <c r="J14" s="127"/>
    </row>
    <row r="15" spans="1:11" ht="15.75" thickBot="1" x14ac:dyDescent="0.3">
      <c r="A15" s="30" t="s">
        <v>548</v>
      </c>
      <c r="B15" s="33">
        <f t="shared" ref="B15:G15" si="4">SUM(B10,B11,B13)</f>
        <v>756.42807399999992</v>
      </c>
      <c r="C15" s="33">
        <f t="shared" si="4"/>
        <v>734.27076999999997</v>
      </c>
      <c r="D15" s="33">
        <f t="shared" si="4"/>
        <v>769.39441799999997</v>
      </c>
      <c r="E15" s="33">
        <f t="shared" si="4"/>
        <v>796.14979399999993</v>
      </c>
      <c r="F15" s="33">
        <f t="shared" si="4"/>
        <v>747.64063499999997</v>
      </c>
      <c r="G15" s="33">
        <f t="shared" si="4"/>
        <v>806.6238870000002</v>
      </c>
      <c r="H15" s="33">
        <f>SUM(H10,H11,H13)</f>
        <v>775.47564827939811</v>
      </c>
      <c r="I15" s="33">
        <f>SUM(I10,I11,I13)</f>
        <v>769.43081620394832</v>
      </c>
      <c r="J15" s="37"/>
      <c r="K15" s="34">
        <f>(I15/G15)^(1/2)-1</f>
        <v>-2.3326849897513324E-2</v>
      </c>
    </row>
    <row r="16" spans="1:11" ht="9.75" customHeight="1" x14ac:dyDescent="0.25"/>
    <row r="17" spans="1:11" x14ac:dyDescent="0.25">
      <c r="A17" t="s">
        <v>556</v>
      </c>
      <c r="B17" s="32">
        <f>SUM(Forecast_Main!H93:K93)/1000000</f>
        <v>1.3264875488844861</v>
      </c>
      <c r="C17" s="32">
        <f>SUM(Forecast_Main!L93:O93)/1000000</f>
        <v>1.6431522740976827</v>
      </c>
      <c r="D17" s="32">
        <f>SUM(Forecast_Main!P93:S93)/1000000</f>
        <v>2.2355978027392536</v>
      </c>
      <c r="E17" s="32">
        <f>SUM(Forecast_Main!T93:W93)/1000000</f>
        <v>2.8779460795975775</v>
      </c>
      <c r="F17" s="156">
        <f>SUM(Forecast_Main!X93:AA93)/1000000</f>
        <v>3.6727678272371005</v>
      </c>
      <c r="G17" s="156">
        <f>SUM(Forecast_Main!AB93:AE93)/1000000</f>
        <v>4.6745316949706082</v>
      </c>
      <c r="H17" s="156">
        <f>SUM(Forecast_Main!AF93:AI93)/1000000</f>
        <v>5.9196768535098343</v>
      </c>
      <c r="I17" s="156">
        <f>SUM(Forecast_Main!AJ93:AM93)/1000000</f>
        <v>7.8137901785995396</v>
      </c>
      <c r="J17" s="157"/>
      <c r="K17" s="68">
        <f>(I17/G17)^(1/2)-1</f>
        <v>0.2928907197313475</v>
      </c>
    </row>
    <row r="18" spans="1:11" x14ac:dyDescent="0.25">
      <c r="A18" t="s">
        <v>557</v>
      </c>
      <c r="B18" s="32">
        <f>SUM(Forecast_Main!H100:K100)/1000000</f>
        <v>0</v>
      </c>
      <c r="C18" s="32">
        <f>SUM(Forecast_Main!L100:O100)/1000000</f>
        <v>0</v>
      </c>
      <c r="D18" s="32">
        <f>SUM(Forecast_Main!P100:S100)/1000000</f>
        <v>1.727786</v>
      </c>
      <c r="E18" s="32">
        <f>SUM(Forecast_Main!T100:W100)/1000000</f>
        <v>2.2205819999999998</v>
      </c>
      <c r="F18" s="32">
        <f>SUM(Forecast_Main!X100:AA100)/1000000</f>
        <v>3.2360009999999999</v>
      </c>
      <c r="G18" s="32">
        <f>SUM(Forecast_Main!AB100:AE100)/1000000</f>
        <v>4.985455</v>
      </c>
      <c r="H18" s="32">
        <f>SUM(Forecast_Main!AF100:AI100)/1000000</f>
        <v>7.4781825</v>
      </c>
      <c r="I18" s="32">
        <f>SUM(Forecast_Main!AJ100:AM100)/1000000</f>
        <v>11.21727375</v>
      </c>
      <c r="J18" s="37"/>
      <c r="K18" s="8">
        <f>(I18/G18)^(1/2)-1</f>
        <v>0.5</v>
      </c>
    </row>
    <row r="19" spans="1:11" ht="9.75" customHeight="1" x14ac:dyDescent="0.25"/>
    <row r="20" spans="1:11" x14ac:dyDescent="0.25">
      <c r="A20" t="s">
        <v>558</v>
      </c>
      <c r="B20" s="32">
        <f>SUM(Forecast_Main!H103:K103)/1000000</f>
        <v>0.597634</v>
      </c>
      <c r="C20" s="32">
        <f>SUM(Forecast_Main!L103:O103)/1000000</f>
        <v>0.913574</v>
      </c>
      <c r="D20" s="32">
        <f>SUM(Forecast_Main!P103:S103)/1000000</f>
        <v>1.3719790000000001</v>
      </c>
      <c r="E20" s="32">
        <f>SUM(Forecast_Main!T103:W103)/1000000</f>
        <v>1.089796</v>
      </c>
      <c r="F20" s="32">
        <f>SUM(Forecast_Main!X103:AA103)/1000000</f>
        <v>0.37100899999999998</v>
      </c>
      <c r="G20" s="32">
        <f>SUM(Forecast_Main!AB103:AE103)/1000000</f>
        <v>0.32717499999999999</v>
      </c>
      <c r="H20" s="32">
        <f>SUM(Forecast_Main!AF103:AI103)/1000000</f>
        <v>0.29225616749999989</v>
      </c>
      <c r="I20" s="32">
        <f>SUM(Forecast_Main!AJ103:AM103)/1000000</f>
        <v>0.21821793840000034</v>
      </c>
      <c r="J20" s="37"/>
      <c r="K20" s="8">
        <f>(I20/G20)^(1/2)-1</f>
        <v>-0.18331389107912566</v>
      </c>
    </row>
    <row r="21" spans="1:11" x14ac:dyDescent="0.25">
      <c r="A21" t="s">
        <v>31</v>
      </c>
      <c r="B21" s="32">
        <f>SUM(Forecast_Main!H104:K104)/1000000</f>
        <v>0.914605</v>
      </c>
      <c r="C21" s="32">
        <f>SUM(Forecast_Main!L104:O104)/1000000</f>
        <v>1.86127</v>
      </c>
      <c r="D21" s="32">
        <f>SUM(Forecast_Main!P104:S104)/1000000</f>
        <v>1.7193350000000001</v>
      </c>
      <c r="E21" s="32">
        <f>SUM(Forecast_Main!T104:W104)/1000000</f>
        <v>2.2240639999999998</v>
      </c>
      <c r="F21" s="32">
        <f>SUM(Forecast_Main!X104:AA104)/1000000</f>
        <v>2.919343</v>
      </c>
      <c r="G21" s="32">
        <f>SUM(Forecast_Main!AB104:AE104)/1000000</f>
        <v>3.2153239999999998</v>
      </c>
      <c r="H21" s="32">
        <f>SUM(Forecast_Main!AF104:AI104)/1000000</f>
        <v>3.6044927325000002</v>
      </c>
      <c r="I21" s="32">
        <f>SUM(Forecast_Main!AJ104:AM104)/1000000</f>
        <v>4.1461408296000002</v>
      </c>
      <c r="J21" s="37"/>
      <c r="K21" s="8">
        <f>(I21/G21)^(1/2)-1</f>
        <v>0.13555886906857695</v>
      </c>
    </row>
    <row r="22" spans="1:11" x14ac:dyDescent="0.25">
      <c r="A22" s="141" t="s">
        <v>559</v>
      </c>
      <c r="B22" s="143">
        <f t="shared" ref="B22:G22" si="5">B21/SUM(B20:B21)</f>
        <v>0.604801886474294</v>
      </c>
      <c r="C22" s="143">
        <f t="shared" si="5"/>
        <v>0.67076563583394244</v>
      </c>
      <c r="D22" s="143">
        <f t="shared" si="5"/>
        <v>0.55618258125832576</v>
      </c>
      <c r="E22" s="143">
        <f t="shared" si="5"/>
        <v>0.67113999987929474</v>
      </c>
      <c r="F22" s="143">
        <f t="shared" si="5"/>
        <v>0.88724337092201688</v>
      </c>
      <c r="G22" s="143">
        <f t="shared" si="5"/>
        <v>0.90764288147999472</v>
      </c>
      <c r="H22" s="143">
        <f>H21/SUM(H20:H21)</f>
        <v>0.92500000000000004</v>
      </c>
      <c r="I22" s="143">
        <f>I21/SUM(I20:I21)</f>
        <v>0.94999999999999984</v>
      </c>
      <c r="J22" s="127"/>
    </row>
    <row r="23" spans="1:11" ht="15.75" thickBot="1" x14ac:dyDescent="0.3">
      <c r="A23" s="30" t="s">
        <v>560</v>
      </c>
      <c r="B23" s="33">
        <f t="shared" ref="B23:G23" si="6">SUM(B20:B21)</f>
        <v>1.5122390000000001</v>
      </c>
      <c r="C23" s="33">
        <f t="shared" si="6"/>
        <v>2.7748439999999999</v>
      </c>
      <c r="D23" s="33">
        <f t="shared" si="6"/>
        <v>3.0913140000000001</v>
      </c>
      <c r="E23" s="33">
        <f t="shared" si="6"/>
        <v>3.31386</v>
      </c>
      <c r="F23" s="33">
        <f t="shared" si="6"/>
        <v>3.2903519999999999</v>
      </c>
      <c r="G23" s="33">
        <f t="shared" si="6"/>
        <v>3.5424989999999998</v>
      </c>
      <c r="H23" s="33">
        <f>SUM(H20:H21)</f>
        <v>3.8967489</v>
      </c>
      <c r="I23" s="33">
        <f>SUM(I20:I21)</f>
        <v>4.3643587680000007</v>
      </c>
      <c r="J23" s="37"/>
      <c r="K23" s="34">
        <f>(I23/G23)^(1/2)-1</f>
        <v>0.10995495404092881</v>
      </c>
    </row>
    <row r="24" spans="1:11" x14ac:dyDescent="0.25">
      <c r="A24" s="29"/>
      <c r="B24" s="29"/>
      <c r="C24" s="29"/>
      <c r="D24" s="29"/>
    </row>
    <row r="25" spans="1:11" ht="15.75" thickBot="1" x14ac:dyDescent="0.3">
      <c r="A25" s="31" t="s">
        <v>760</v>
      </c>
      <c r="B25" s="33">
        <f>SUM(Forecast_Main!H109:K109)/1000000</f>
        <v>6.5049999999999997E-2</v>
      </c>
      <c r="C25" s="33">
        <f>SUM(Forecast_Main!L109:O109)/1000000</f>
        <v>0.12829099999999999</v>
      </c>
      <c r="D25" s="33">
        <f>SUM(Forecast_Main!P109:S109)/1000000</f>
        <v>0.74041800000000002</v>
      </c>
      <c r="E25" s="33">
        <f>SUM(Forecast_Main!T109:W109)/1000000</f>
        <v>2.055577</v>
      </c>
      <c r="F25" s="33">
        <f>SUM(Forecast_Main!X109:AA109)/1000000</f>
        <v>1.475168</v>
      </c>
      <c r="G25" s="33">
        <f>SUM(Forecast_Main!AB109:AE109)/1000000</f>
        <v>2.444261</v>
      </c>
      <c r="H25" s="33">
        <f>SUM(Forecast_Main!AF109:AI109)/1000000</f>
        <v>3.6133446656036377</v>
      </c>
      <c r="I25" s="33">
        <f>SUM(Forecast_Main!AJ109:AM109)/1000000</f>
        <v>5.2266365742685092</v>
      </c>
      <c r="J25" s="37"/>
      <c r="K25" s="34">
        <f>(I25/G25)^(1/2)-1</f>
        <v>0.46230297120691999</v>
      </c>
    </row>
    <row r="26" spans="1:11" ht="6" customHeight="1" x14ac:dyDescent="0.25">
      <c r="A26" s="36"/>
      <c r="B26" s="36"/>
      <c r="C26" s="36"/>
      <c r="D26" s="36"/>
      <c r="E26" s="37"/>
      <c r="F26" s="37"/>
      <c r="G26" s="37"/>
      <c r="H26" s="37"/>
      <c r="I26" s="37"/>
      <c r="J26" s="37"/>
    </row>
    <row r="27" spans="1:11" x14ac:dyDescent="0.25">
      <c r="A27" s="44" t="s">
        <v>601</v>
      </c>
      <c r="B27" s="44"/>
      <c r="C27" s="44"/>
      <c r="D27" s="44"/>
    </row>
    <row r="28" spans="1:11" x14ac:dyDescent="0.25">
      <c r="D28" s="44"/>
    </row>
    <row r="29" spans="1:11" x14ac:dyDescent="0.25">
      <c r="H29"/>
    </row>
    <row r="30" spans="1:11" x14ac:dyDescent="0.25">
      <c r="H30"/>
    </row>
    <row r="31" spans="1:11" x14ac:dyDescent="0.25">
      <c r="H31"/>
    </row>
    <row r="32" spans="1:11" x14ac:dyDescent="0.25">
      <c r="H32"/>
    </row>
    <row r="33" spans="8:8" x14ac:dyDescent="0.25">
      <c r="H33"/>
    </row>
    <row r="34" spans="8:8" x14ac:dyDescent="0.25">
      <c r="H34"/>
    </row>
    <row r="35" spans="8:8" x14ac:dyDescent="0.25">
      <c r="H35"/>
    </row>
    <row r="36" spans="8:8" x14ac:dyDescent="0.25">
      <c r="H36"/>
    </row>
    <row r="37" spans="8:8" x14ac:dyDescent="0.25">
      <c r="H37"/>
    </row>
    <row r="38" spans="8:8" x14ac:dyDescent="0.25">
      <c r="H38"/>
    </row>
    <row r="39" spans="8:8" x14ac:dyDescent="0.25">
      <c r="H39"/>
    </row>
    <row r="40" spans="8:8" x14ac:dyDescent="0.25">
      <c r="H40"/>
    </row>
    <row r="41" spans="8:8" x14ac:dyDescent="0.25">
      <c r="H41"/>
    </row>
  </sheetData>
  <mergeCells count="1">
    <mergeCell ref="A2:K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39"/>
  <sheetViews>
    <sheetView workbookViewId="0">
      <pane xSplit="2" ySplit="2" topLeftCell="C3" activePane="bottomRight" state="frozen"/>
      <selection pane="topRight" activeCell="C1" sqref="C1"/>
      <selection pane="bottomLeft" activeCell="A3" sqref="A3"/>
      <selection pane="bottomRight" activeCell="G26" sqref="G26:O26"/>
    </sheetView>
  </sheetViews>
  <sheetFormatPr defaultRowHeight="15" x14ac:dyDescent="0.25"/>
  <cols>
    <col min="1" max="1" width="22.28515625" customWidth="1"/>
    <col min="2" max="2" width="22.7109375" bestFit="1" customWidth="1"/>
    <col min="3" max="3" width="15.42578125" style="174" customWidth="1"/>
    <col min="4" max="4" width="15.42578125" customWidth="1"/>
    <col min="5" max="5" width="8.28515625" style="123" customWidth="1"/>
    <col min="7" max="7" width="16.28515625" customWidth="1"/>
    <col min="8" max="10" width="13.42578125" customWidth="1"/>
    <col min="11" max="15" width="12.42578125" customWidth="1"/>
    <col min="16" max="27" width="12.42578125" hidden="1" customWidth="1"/>
    <col min="28" max="37" width="0" hidden="1" customWidth="1"/>
  </cols>
  <sheetData>
    <row r="1" spans="1:27" ht="15.75" thickBot="1" x14ac:dyDescent="0.3">
      <c r="A1" t="s">
        <v>704</v>
      </c>
      <c r="E1"/>
      <c r="P1" s="177">
        <v>0.95</v>
      </c>
      <c r="R1" s="178">
        <v>0.92</v>
      </c>
    </row>
    <row r="2" spans="1:27" ht="21.75" thickBot="1" x14ac:dyDescent="0.4">
      <c r="A2" s="201" t="s">
        <v>22</v>
      </c>
      <c r="B2" s="202"/>
      <c r="C2" s="202"/>
      <c r="D2" s="203"/>
      <c r="E2"/>
      <c r="G2" s="204" t="s">
        <v>671</v>
      </c>
      <c r="H2" s="204"/>
      <c r="I2" s="204"/>
      <c r="J2" s="204"/>
      <c r="K2" s="204"/>
      <c r="L2" s="204"/>
      <c r="M2" s="204"/>
      <c r="N2" s="204"/>
      <c r="O2" s="204"/>
      <c r="P2" s="103" t="s">
        <v>804</v>
      </c>
      <c r="Q2" s="103" t="s">
        <v>805</v>
      </c>
      <c r="R2" s="103" t="s">
        <v>806</v>
      </c>
      <c r="S2" s="103" t="s">
        <v>807</v>
      </c>
      <c r="T2" s="103" t="s">
        <v>808</v>
      </c>
      <c r="U2" s="103" t="s">
        <v>809</v>
      </c>
      <c r="V2" s="103" t="s">
        <v>810</v>
      </c>
      <c r="W2" s="103" t="s">
        <v>811</v>
      </c>
      <c r="X2" s="103" t="s">
        <v>812</v>
      </c>
      <c r="Y2" s="103" t="s">
        <v>813</v>
      </c>
      <c r="Z2" s="103" t="s">
        <v>814</v>
      </c>
      <c r="AA2" s="103" t="s">
        <v>815</v>
      </c>
    </row>
    <row r="3" spans="1:27" s="174" customFormat="1" ht="21.75" thickBot="1" x14ac:dyDescent="0.4">
      <c r="A3" s="195"/>
      <c r="B3" s="196"/>
      <c r="C3" s="197" t="s">
        <v>731</v>
      </c>
      <c r="D3" s="197" t="s">
        <v>771</v>
      </c>
      <c r="H3" s="27">
        <v>2016</v>
      </c>
      <c r="I3" s="27">
        <v>2017</v>
      </c>
      <c r="J3" s="27">
        <v>2018</v>
      </c>
      <c r="K3" s="27">
        <v>2019</v>
      </c>
      <c r="L3" s="146">
        <v>2020</v>
      </c>
      <c r="M3" s="146">
        <v>2021</v>
      </c>
      <c r="N3" s="103" t="s">
        <v>731</v>
      </c>
      <c r="O3" s="103" t="s">
        <v>771</v>
      </c>
      <c r="P3" s="198"/>
      <c r="Q3" s="198"/>
      <c r="R3" s="198"/>
      <c r="S3" s="198"/>
      <c r="T3" s="198"/>
      <c r="U3" s="198"/>
      <c r="V3" s="198"/>
      <c r="W3" s="198"/>
      <c r="X3" s="198"/>
      <c r="Y3" s="198"/>
      <c r="Z3" s="198"/>
      <c r="AA3" s="198"/>
    </row>
    <row r="4" spans="1:27" x14ac:dyDescent="0.25">
      <c r="A4" s="84" t="s">
        <v>23</v>
      </c>
      <c r="B4" s="2" t="s">
        <v>4</v>
      </c>
      <c r="C4" s="3">
        <f>SUM(Forecast_Main!AF114:AI114)</f>
        <v>-1116311.3286241377</v>
      </c>
      <c r="D4" s="12">
        <f>SUM(Forecast_Main!AJ114:AM114)</f>
        <v>-1334380.2607288519</v>
      </c>
      <c r="E4"/>
      <c r="G4" s="2" t="s">
        <v>4</v>
      </c>
      <c r="H4" s="10">
        <f>SUM(Forecast_Main!H114:K114)</f>
        <v>-390550.7</v>
      </c>
      <c r="I4" s="10">
        <f>SUM(Forecast_Main!L114:O114)</f>
        <v>-423554.5</v>
      </c>
      <c r="J4" s="10">
        <f>SUM(Forecast_Main!P114:S114)</f>
        <v>-569013.6</v>
      </c>
      <c r="K4" s="10">
        <f>SUM(Forecast_Main!T114:W114)</f>
        <v>-665177.5</v>
      </c>
      <c r="L4" s="66">
        <f>SUM(Forecast_Main!X114:AA114)</f>
        <v>-742379.10000000009</v>
      </c>
      <c r="M4" s="66">
        <f>SUM(Forecast_Main!AB114:AE114)</f>
        <v>-954399.8</v>
      </c>
      <c r="N4" s="104">
        <f>SUM(Forecast_Main!AF114:AI114)</f>
        <v>-1116311.3286241377</v>
      </c>
      <c r="O4" s="104">
        <f>SUM(Forecast_Main!AJ114:AM114)</f>
        <v>-1334380.2607288519</v>
      </c>
      <c r="P4" s="104">
        <f>O4*(1+((O4/N4)^($P$1)-1))</f>
        <v>-1580880.9707967956</v>
      </c>
      <c r="Q4" s="104">
        <f t="shared" ref="Q4:AA4" si="0">P4*(1+((P4/O4)^($P1)-1))</f>
        <v>-1857110.5477785738</v>
      </c>
      <c r="R4" s="104">
        <f t="shared" si="0"/>
        <v>-2164110.4005332808</v>
      </c>
      <c r="S4" s="104">
        <f t="shared" si="0"/>
        <v>-2502643.4767803792</v>
      </c>
      <c r="T4" s="104">
        <f t="shared" si="0"/>
        <v>-2873178.3095263401</v>
      </c>
      <c r="U4" s="104">
        <f t="shared" si="0"/>
        <v>-3275880.0680586281</v>
      </c>
      <c r="V4" s="104">
        <f t="shared" si="0"/>
        <v>-3710608.5189943202</v>
      </c>
      <c r="W4" s="104">
        <f t="shared" si="0"/>
        <v>-4176922.5630184077</v>
      </c>
      <c r="X4" s="104">
        <f t="shared" si="0"/>
        <v>-4674090.8130133692</v>
      </c>
      <c r="Y4" s="104">
        <f t="shared" si="0"/>
        <v>-5201107.5238585537</v>
      </c>
      <c r="Z4" s="104">
        <f t="shared" si="0"/>
        <v>-5756713.0746157663</v>
      </c>
      <c r="AA4" s="104">
        <f t="shared" si="0"/>
        <v>-6339418.1387274917</v>
      </c>
    </row>
    <row r="5" spans="1:27" ht="15.75" thickBot="1" x14ac:dyDescent="0.3">
      <c r="A5" s="55"/>
      <c r="B5" s="56" t="s">
        <v>3</v>
      </c>
      <c r="C5" s="71">
        <f>SUM(Forecast_Main!AF115:AI115)</f>
        <v>-660193.44660208421</v>
      </c>
      <c r="D5" s="12">
        <f>SUM(Forecast_Main!AJ115:AM115)</f>
        <v>-744912.87862382364</v>
      </c>
      <c r="E5"/>
      <c r="G5" s="56" t="s">
        <v>3</v>
      </c>
      <c r="H5" s="10">
        <f>SUM(Forecast_Main!H115:K115)</f>
        <v>-204280.8</v>
      </c>
      <c r="I5" s="10">
        <f>SUM(Forecast_Main!L115:O115)</f>
        <v>-220817.80000000002</v>
      </c>
      <c r="J5" s="10">
        <f>SUM(Forecast_Main!P115:S115)</f>
        <v>-295869.55000000005</v>
      </c>
      <c r="K5" s="10">
        <f>SUM(Forecast_Main!T115:W115)</f>
        <v>-336842.75</v>
      </c>
      <c r="L5" s="66">
        <f>SUM(Forecast_Main!X115:AA115)</f>
        <v>-411524.7</v>
      </c>
      <c r="M5" s="66">
        <f>SUM(Forecast_Main!AB115:AE115)</f>
        <v>-547519.25</v>
      </c>
      <c r="N5" s="104">
        <f>SUM(Forecast_Main!AF115:AI115)</f>
        <v>-660193.44660208421</v>
      </c>
      <c r="O5" s="104">
        <f>SUM(Forecast_Main!AJ115:AM115)</f>
        <v>-744912.87862382364</v>
      </c>
      <c r="P5" s="104">
        <f>O5*(1+((O5/N5)^($P1)-1))</f>
        <v>-835445.34364159568</v>
      </c>
      <c r="Q5" s="104">
        <f t="shared" ref="Q5:AA5" si="1">P5*(1+((P5/O5)^($P1)-1))</f>
        <v>-931622.513021903</v>
      </c>
      <c r="R5" s="104">
        <f t="shared" si="1"/>
        <v>-1033227.1518666644</v>
      </c>
      <c r="S5" s="104">
        <f t="shared" si="1"/>
        <v>-1139997.3821349663</v>
      </c>
      <c r="T5" s="104">
        <f t="shared" si="1"/>
        <v>-1251631.5316140996</v>
      </c>
      <c r="U5" s="104">
        <f t="shared" si="1"/>
        <v>-1367793.403650841</v>
      </c>
      <c r="V5" s="104">
        <f t="shared" si="1"/>
        <v>-1488117.8083109651</v>
      </c>
      <c r="W5" s="104">
        <f t="shared" si="1"/>
        <v>-1612216.2062305144</v>
      </c>
      <c r="X5" s="104">
        <f t="shared" si="1"/>
        <v>-1739682.330654612</v>
      </c>
      <c r="Y5" s="104">
        <f t="shared" si="1"/>
        <v>-1870097.6698727473</v>
      </c>
      <c r="Z5" s="104">
        <f t="shared" si="1"/>
        <v>-2003036.7103957266</v>
      </c>
      <c r="AA5" s="104">
        <f t="shared" si="1"/>
        <v>-2138071.8598539657</v>
      </c>
    </row>
    <row r="6" spans="1:27" ht="15.75" thickBot="1" x14ac:dyDescent="0.3">
      <c r="A6" s="59" t="s">
        <v>602</v>
      </c>
      <c r="B6" s="60"/>
      <c r="C6" s="61">
        <f>SUM(C4:C5)</f>
        <v>-1776504.7752262219</v>
      </c>
      <c r="D6" s="61">
        <f>SUM(D4:D5)</f>
        <v>-2079293.1393526755</v>
      </c>
      <c r="E6"/>
      <c r="G6" s="60" t="s">
        <v>667</v>
      </c>
      <c r="H6" s="61">
        <f t="shared" ref="H6:M6" si="2">SUM(H4:H5)</f>
        <v>-594831.5</v>
      </c>
      <c r="I6" s="61">
        <f t="shared" si="2"/>
        <v>-644372.30000000005</v>
      </c>
      <c r="J6" s="61">
        <f t="shared" si="2"/>
        <v>-864883.15</v>
      </c>
      <c r="K6" s="61">
        <f t="shared" si="2"/>
        <v>-1002020.25</v>
      </c>
      <c r="L6" s="147">
        <f t="shared" si="2"/>
        <v>-1153903.8</v>
      </c>
      <c r="M6" s="147">
        <f t="shared" si="2"/>
        <v>-1501919.05</v>
      </c>
      <c r="N6" s="105">
        <f>SUM(N4:N5)</f>
        <v>-1776504.7752262219</v>
      </c>
      <c r="O6" s="105">
        <f>SUM(O4:O5)</f>
        <v>-2079293.1393526755</v>
      </c>
      <c r="P6" s="105">
        <f>SUM(P4:P5)</f>
        <v>-2416326.3144383915</v>
      </c>
      <c r="Q6" s="105">
        <f t="shared" ref="Q6:R6" si="3">SUM(Q4:Q5)</f>
        <v>-2788733.0608004769</v>
      </c>
      <c r="R6" s="105">
        <f t="shared" si="3"/>
        <v>-3197337.5523999454</v>
      </c>
      <c r="S6" s="105">
        <f t="shared" ref="S6" si="4">SUM(S4:S5)</f>
        <v>-3642640.8589153457</v>
      </c>
      <c r="T6" s="105">
        <f t="shared" ref="T6" si="5">SUM(T4:T5)</f>
        <v>-4124809.8411404397</v>
      </c>
      <c r="U6" s="105">
        <f t="shared" ref="U6" si="6">SUM(U4:U5)</f>
        <v>-4643673.4717094693</v>
      </c>
      <c r="V6" s="105">
        <f t="shared" ref="V6" si="7">SUM(V4:V5)</f>
        <v>-5198726.3273052853</v>
      </c>
      <c r="W6" s="105">
        <f t="shared" ref="W6" si="8">SUM(W4:W5)</f>
        <v>-5789138.7692489224</v>
      </c>
      <c r="X6" s="105">
        <f t="shared" ref="X6" si="9">SUM(X4:X5)</f>
        <v>-6413773.143667981</v>
      </c>
      <c r="Y6" s="105">
        <f t="shared" ref="Y6" si="10">SUM(Y4:Y5)</f>
        <v>-7071205.1937313005</v>
      </c>
      <c r="Z6" s="105">
        <f t="shared" ref="Z6" si="11">SUM(Z4:Z5)</f>
        <v>-7759749.7850114927</v>
      </c>
      <c r="AA6" s="105">
        <f t="shared" ref="AA6" si="12">SUM(AA4:AA5)</f>
        <v>-8477489.9985814579</v>
      </c>
    </row>
    <row r="7" spans="1:27" x14ac:dyDescent="0.25">
      <c r="A7" s="57"/>
      <c r="B7" s="57"/>
      <c r="C7" s="57"/>
      <c r="D7" s="58"/>
      <c r="E7"/>
      <c r="G7" s="57"/>
      <c r="H7" s="10"/>
      <c r="I7" s="10"/>
      <c r="J7" s="10"/>
      <c r="K7" s="10"/>
      <c r="L7" s="66"/>
      <c r="M7" s="66"/>
      <c r="N7" s="104"/>
      <c r="O7" s="104"/>
    </row>
    <row r="8" spans="1:27" x14ac:dyDescent="0.25">
      <c r="A8" s="84" t="s">
        <v>24</v>
      </c>
      <c r="B8" s="2" t="s">
        <v>5</v>
      </c>
      <c r="C8" s="3">
        <f>SUM(Forecast_Main!AF118:AI118)</f>
        <v>487722.69388400618</v>
      </c>
      <c r="D8" s="50">
        <f>SUM(Forecast_Main!AJ118:AM118)</f>
        <v>496942.91902370355</v>
      </c>
      <c r="E8"/>
      <c r="G8" s="2" t="s">
        <v>5</v>
      </c>
      <c r="H8" s="10">
        <f>SUM(Forecast_Main!H118:K118)</f>
        <v>499938.7</v>
      </c>
      <c r="I8" s="10">
        <f>SUM(Forecast_Main!L118:O118)</f>
        <v>479677.5</v>
      </c>
      <c r="J8" s="10">
        <f>SUM(Forecast_Main!P118:S118)</f>
        <v>495127.6</v>
      </c>
      <c r="K8" s="10">
        <f>SUM(Forecast_Main!T118:W118)</f>
        <v>520845.49999999994</v>
      </c>
      <c r="L8" s="66">
        <f>SUM(Forecast_Main!X118:AA118)</f>
        <v>488188.1</v>
      </c>
      <c r="M8" s="66">
        <f>SUM(Forecast_Main!AB118:AE118)</f>
        <v>533094.80000000005</v>
      </c>
      <c r="N8" s="104">
        <f>SUM(Forecast_Main!AF118:AI118)</f>
        <v>487722.69388400618</v>
      </c>
      <c r="O8" s="104">
        <f>SUM(Forecast_Main!AJ118:AM118)</f>
        <v>496942.91902370355</v>
      </c>
      <c r="P8" s="104" cm="1">
        <f t="array" ref="P8">TREND(L8:O8,L$22:O$22,P$22)</f>
        <v>496710.21596570639</v>
      </c>
      <c r="Q8" s="104" cm="1">
        <f t="array" ref="Q8">TREND(M8:P8,M$22:P$22,Q$22)</f>
        <v>478634.27547755837</v>
      </c>
      <c r="R8" s="104" cm="1">
        <f t="array" ref="R8">TREND(N8:Q8,N$22:Q$22,R$22)</f>
        <v>483128.03651840799</v>
      </c>
      <c r="S8" s="104" cm="1">
        <f t="array" ref="S8">TREND(O8:R8,O$22:R$22,S$22)</f>
        <v>473973.71474533528</v>
      </c>
      <c r="T8" s="104" cm="1">
        <f t="array" ref="T8">TREND(P8:S8,P$22:S$22,T$22)</f>
        <v>467182.62502168678</v>
      </c>
      <c r="U8" s="104" cm="1">
        <f t="array" ref="U8">TREND(Q8:T8,Q$22:T$22,U$22)</f>
        <v>464852.34465557337</v>
      </c>
      <c r="V8" s="104" cm="1">
        <f t="array" ref="V8">TREND(R8:U8,R$22:U$22,V$22)</f>
        <v>456879.63890721463</v>
      </c>
      <c r="W8" s="104" cm="1">
        <f t="array" ref="W8">TREND(S8:V8,S$22:V$22,W$22)</f>
        <v>452318.95386233367</v>
      </c>
      <c r="X8" s="104" cm="1">
        <f t="array" ref="X8">TREND(T8:W8,T$22:W$22,X$22)</f>
        <v>447167.46080509759</v>
      </c>
      <c r="Y8" s="104" cm="1">
        <f t="array" ref="Y8">TREND(U8:X8,U$22:X$22,Y$22)</f>
        <v>440900.76540847868</v>
      </c>
      <c r="Z8" s="104" cm="1">
        <f t="array" ref="Z8">TREND(V8:Y8,V$22:Y$22,Z$22)</f>
        <v>436044.67635742016</v>
      </c>
      <c r="AA8" s="104" cm="1">
        <f t="array" ref="AA8">TREND(W8:Z8,W$22:Z$22,AA$22)</f>
        <v>430335.58213049173</v>
      </c>
    </row>
    <row r="9" spans="1:27" x14ac:dyDescent="0.25">
      <c r="A9" s="84"/>
      <c r="B9" s="2" t="s">
        <v>7</v>
      </c>
      <c r="C9" s="3">
        <f>SUM(Forecast_Main!AF119:AI119)</f>
        <v>510255.28704996622</v>
      </c>
      <c r="D9" s="50">
        <f>SUM(Forecast_Main!AJ119:AM119)</f>
        <v>569207.74105414003</v>
      </c>
      <c r="E9"/>
      <c r="G9" s="2" t="s">
        <v>7</v>
      </c>
      <c r="H9" s="10">
        <f>SUM(Forecast_Main!H119:K119)</f>
        <v>266455.8</v>
      </c>
      <c r="I9" s="10">
        <f>SUM(Forecast_Main!L119:O119)</f>
        <v>316596.46430223004</v>
      </c>
      <c r="J9" s="10">
        <f>SUM(Forecast_Main!P119:S119)</f>
        <v>351431.58135927643</v>
      </c>
      <c r="K9" s="10">
        <f>SUM(Forecast_Main!T119:W119)</f>
        <v>441049.24208143988</v>
      </c>
      <c r="L9" s="66">
        <f>SUM(Forecast_Main!X119:AA119)</f>
        <v>472541.21841804689</v>
      </c>
      <c r="M9" s="66">
        <f>SUM(Forecast_Main!AB119:AE119)</f>
        <v>506922.32821312989</v>
      </c>
      <c r="N9" s="104">
        <f>SUM(Forecast_Main!AF119:AI119)</f>
        <v>510255.28704996622</v>
      </c>
      <c r="O9" s="104">
        <f>SUM(Forecast_Main!AJ119:AM119)</f>
        <v>569207.74105414003</v>
      </c>
      <c r="P9" s="104">
        <f>O9*(1+((O9/N9)^($P$1)-1))</f>
        <v>631509.54315393604</v>
      </c>
      <c r="Q9" s="104">
        <f t="shared" ref="Q9:AA9" si="13">P9*(1+((P9/O9)^($P$1)-1))</f>
        <v>697001.29012905713</v>
      </c>
      <c r="R9" s="104">
        <f t="shared" si="13"/>
        <v>765498.88573948399</v>
      </c>
      <c r="S9" s="104">
        <f t="shared" si="13"/>
        <v>836796.7691755963</v>
      </c>
      <c r="T9" s="104">
        <f t="shared" si="13"/>
        <v>910671.31070147571</v>
      </c>
      <c r="U9" s="104">
        <f t="shared" si="13"/>
        <v>986884.28246176965</v>
      </c>
      <c r="V9" s="104">
        <f t="shared" si="13"/>
        <v>1065186.3210538442</v>
      </c>
      <c r="W9" s="104">
        <f t="shared" si="13"/>
        <v>1145320.3086704384</v>
      </c>
      <c r="X9" s="104">
        <f t="shared" si="13"/>
        <v>1227024.6107380253</v>
      </c>
      <c r="Y9" s="104">
        <f t="shared" si="13"/>
        <v>1310036.1194375874</v>
      </c>
      <c r="Z9" s="104">
        <f t="shared" si="13"/>
        <v>1394093.0638156175</v>
      </c>
      <c r="AA9" s="104">
        <f t="shared" si="13"/>
        <v>1478937.5579893603</v>
      </c>
    </row>
    <row r="10" spans="1:27" x14ac:dyDescent="0.25">
      <c r="A10" s="84"/>
      <c r="B10" s="2" t="s">
        <v>6</v>
      </c>
      <c r="C10" s="3">
        <f>SUM(Forecast_Main!AF120:AI120)</f>
        <v>176949.6964046206</v>
      </c>
      <c r="D10" s="50">
        <f>SUM(Forecast_Main!AJ120:AM120)</f>
        <v>203623.38690090249</v>
      </c>
      <c r="E10"/>
      <c r="G10" s="2" t="s">
        <v>6</v>
      </c>
      <c r="H10" s="10">
        <f>SUM(Forecast_Main!H120:K120)</f>
        <v>0</v>
      </c>
      <c r="I10" s="10">
        <f>SUM(Forecast_Main!L120:O120)</f>
        <v>2863.335697769985</v>
      </c>
      <c r="J10" s="10">
        <f>SUM(Forecast_Main!P120:S120)</f>
        <v>9424.9686407236004</v>
      </c>
      <c r="K10" s="10">
        <f>SUM(Forecast_Main!T120:W120)</f>
        <v>141219.50791856012</v>
      </c>
      <c r="L10" s="66">
        <f>SUM(Forecast_Main!X120:AA120)</f>
        <v>147683.48158195309</v>
      </c>
      <c r="M10" s="66">
        <f>SUM(Forecast_Main!AB120:AE120)</f>
        <v>74478.921786870109</v>
      </c>
      <c r="N10" s="104">
        <f>SUM(Forecast_Main!AF120:AI120)</f>
        <v>176949.6964046206</v>
      </c>
      <c r="O10" s="104">
        <f>SUM(Forecast_Main!AJ120:AM120)</f>
        <v>203623.38690090249</v>
      </c>
      <c r="P10" s="104" cm="1">
        <f t="array" ref="P10">TREND(M10:O10,M$22:O$22,P$22)</f>
        <v>280828.46681149304</v>
      </c>
      <c r="Q10" s="104" cm="1">
        <f t="array" ref="Q10">TREND(N10:P10,N$22:P$22,Q$22)</f>
        <v>324345.95377920568</v>
      </c>
      <c r="R10" s="104" cm="1">
        <f t="array" ref="R10">TREND(O10:Q10,O$22:Q$22,R$22)</f>
        <v>390321.83604216576</v>
      </c>
      <c r="S10" s="104" cm="1">
        <f t="array" ref="S10">TREND(P10:R10,P$22:R$22,S$22)</f>
        <v>441325.45477496088</v>
      </c>
      <c r="T10" s="104" cm="1">
        <f t="array" ref="T10">TREND(Q10:S10,Q$22:S$22,T$22)</f>
        <v>502310.582527861</v>
      </c>
      <c r="U10" s="104" cm="1">
        <f t="array" ref="U10">TREND(R10:T10,R$22:T$22,U$22)</f>
        <v>556641.37093402445</v>
      </c>
      <c r="V10" s="104" cm="1">
        <f t="array" ref="V10">TREND(S10:U10,S$22:U$22,V$22)</f>
        <v>615408.38557134569</v>
      </c>
      <c r="W10" s="104" cm="1">
        <f t="array" ref="W10">TREND(T10:V10,T$22:V$22,W$22)</f>
        <v>671217.91605456173</v>
      </c>
      <c r="X10" s="104" cm="1">
        <f t="array" ref="X10">TREND(U10:W10,U$22:W$22,X$22)</f>
        <v>728999.10264050961</v>
      </c>
      <c r="Y10" s="104" cm="1">
        <f t="array" ref="Y10">TREND(V10:X10,V$22:X$22,Y$22)</f>
        <v>785465.85182464123</v>
      </c>
      <c r="Z10" s="104" cm="1">
        <f t="array" ref="Z10">TREND(W10:Y10,W$22:Y$22,Z$22)</f>
        <v>842808.89260998368</v>
      </c>
      <c r="AA10" s="104" cm="1">
        <f t="array" ref="AA10">TREND(X10:Z10,X$22:Z$22,AA$22)</f>
        <v>899567.73899452388</v>
      </c>
    </row>
    <row r="11" spans="1:27" x14ac:dyDescent="0.25">
      <c r="A11" s="84"/>
      <c r="B11" s="2" t="s">
        <v>25</v>
      </c>
      <c r="C11" s="3">
        <f>SUM(Forecast_Main!AF121:AI121)</f>
        <v>226177.93137415498</v>
      </c>
      <c r="D11" s="50">
        <f>SUM(Forecast_Main!AJ121:AM121)</f>
        <v>296236.41495244869</v>
      </c>
      <c r="E11"/>
      <c r="G11" s="2" t="s">
        <v>25</v>
      </c>
      <c r="H11" s="10">
        <f>SUM(Forecast_Main!H121:K121)</f>
        <v>36439</v>
      </c>
      <c r="I11" s="10">
        <f>SUM(Forecast_Main!L121:O121)</f>
        <v>44716</v>
      </c>
      <c r="J11" s="10">
        <f>SUM(Forecast_Main!P121:S121)</f>
        <v>60372</v>
      </c>
      <c r="K11" s="10">
        <f>SUM(Forecast_Main!T121:W121)</f>
        <v>79862</v>
      </c>
      <c r="L11" s="66">
        <f>SUM(Forecast_Main!X121:AA121)</f>
        <v>105819</v>
      </c>
      <c r="M11" s="66">
        <f>SUM(Forecast_Main!AB121:AE121)</f>
        <v>160274</v>
      </c>
      <c r="N11" s="104">
        <f>SUM(Forecast_Main!AF121:AI121)</f>
        <v>226177.93137415498</v>
      </c>
      <c r="O11" s="104">
        <f>SUM(Forecast_Main!AJ121:AM121)</f>
        <v>296236.41495244869</v>
      </c>
      <c r="P11" s="104">
        <f>O11*(1+((O11/N11)^($R1)-1))</f>
        <v>379709.62119778764</v>
      </c>
      <c r="Q11" s="104">
        <f t="shared" ref="Q11:AA11" si="14">P11*(1+((P11/O11)^($R1)-1))</f>
        <v>477133.27736488153</v>
      </c>
      <c r="R11" s="104">
        <f t="shared" si="14"/>
        <v>588698.27658037562</v>
      </c>
      <c r="S11" s="104">
        <f t="shared" si="14"/>
        <v>714242.31633786648</v>
      </c>
      <c r="T11" s="104">
        <f t="shared" si="14"/>
        <v>853261.52822896582</v>
      </c>
      <c r="U11" s="104">
        <f t="shared" si="14"/>
        <v>1004939.2879885981</v>
      </c>
      <c r="V11" s="104">
        <f t="shared" si="14"/>
        <v>1168188.3558437757</v>
      </c>
      <c r="W11" s="104">
        <f t="shared" si="14"/>
        <v>1341702.0302353178</v>
      </c>
      <c r="X11" s="104">
        <f t="shared" si="14"/>
        <v>1524010.0276010036</v>
      </c>
      <c r="Y11" s="104">
        <f t="shared" si="14"/>
        <v>1713535.2082646419</v>
      </c>
      <c r="Z11" s="104">
        <f t="shared" si="14"/>
        <v>1908647.9208516167</v>
      </c>
      <c r="AA11" s="104">
        <f t="shared" si="14"/>
        <v>2107715.5103665604</v>
      </c>
    </row>
    <row r="12" spans="1:27" x14ac:dyDescent="0.25">
      <c r="A12" s="84"/>
      <c r="B12" s="5" t="s">
        <v>26</v>
      </c>
      <c r="C12" s="3">
        <f>SUM(Forecast_Main!AF122:AI122)</f>
        <v>177577.76089083141</v>
      </c>
      <c r="D12" s="50">
        <f>SUM(Forecast_Main!AJ122:AM122)</f>
        <v>259440.75</v>
      </c>
      <c r="E12"/>
      <c r="G12" s="5" t="s">
        <v>26</v>
      </c>
      <c r="H12" s="10">
        <f>SUM(Forecast_Main!H122:K122)</f>
        <v>0</v>
      </c>
      <c r="I12" s="10">
        <f>SUM(Forecast_Main!L122:O122)</f>
        <v>0</v>
      </c>
      <c r="J12" s="10">
        <f>SUM(Forecast_Main!P122:S122)</f>
        <v>17189</v>
      </c>
      <c r="K12" s="10">
        <f>SUM(Forecast_Main!T122:W122)</f>
        <v>21303</v>
      </c>
      <c r="L12" s="66">
        <f>SUM(Forecast_Main!X122:AA122)</f>
        <v>29240</v>
      </c>
      <c r="M12" s="66">
        <f>SUM(Forecast_Main!AB122:AE122)</f>
        <v>115307</v>
      </c>
      <c r="N12" s="104">
        <f>SUM(Forecast_Main!AF122:AI122)</f>
        <v>177577.76089083141</v>
      </c>
      <c r="O12" s="104">
        <f>SUM(Forecast_Main!AJ122:AM122)</f>
        <v>259440.75</v>
      </c>
      <c r="P12" s="104" cm="1">
        <f t="array" ref="P12">TREND(L12:O12,L$22:O$22,P$22)</f>
        <v>333609.63044542074</v>
      </c>
      <c r="Q12" s="104" cm="1">
        <f t="array" ref="Q12">TREND(M12:P12,M$22:P$22,Q$22)</f>
        <v>405676.50544539094</v>
      </c>
      <c r="R12" s="104" cm="1">
        <f t="array" ref="R12">TREND(N12:Q12,N$22:Q$22,R$22)</f>
        <v>483692.44022271037</v>
      </c>
      <c r="S12" s="104" cm="1">
        <f t="array" ref="S12">TREND(O12:R12,O$22:R$22,S$22)</f>
        <v>556810.31794539094</v>
      </c>
      <c r="T12" s="104" cm="1">
        <f t="array" ref="T12">TREND(P12:S12,P$22:S$22,T$22)</f>
        <v>631851.72283405066</v>
      </c>
      <c r="U12" s="104" cm="1">
        <f t="array" ref="U12">TREND(Q12:T12,Q$22:T$22,U$22)</f>
        <v>707418.62908405066</v>
      </c>
      <c r="V12" s="104" cm="1">
        <f t="array" ref="V12">TREND(R12:U12,R$22:U$22,V$22)</f>
        <v>781498.2703897059</v>
      </c>
      <c r="W12" s="104" cm="1">
        <f t="array" ref="W12">TREND(S12:V12,S$22:V$22,W$22)</f>
        <v>856802.42595905066</v>
      </c>
      <c r="X12" s="104" cm="1">
        <f t="array" ref="X12">TREND(T12:W12,T$22:W$22,X$22)</f>
        <v>931625.69973689318</v>
      </c>
      <c r="Y12" s="104" cm="1">
        <f t="array" ref="Y12">TREND(U12:X12,U$22:X$22,Y$22)</f>
        <v>1006317.5981743932</v>
      </c>
      <c r="Z12" s="104" cm="1">
        <f t="array" ref="Z12">TREND(V12:Y12,V$22:Y$22,Z$22)</f>
        <v>1081381.3128480017</v>
      </c>
      <c r="AA12" s="104" cm="1">
        <f t="array" ref="AA12">TREND(W12:Z12,W$22:Z$22,AA$22)</f>
        <v>1156138.8989557028</v>
      </c>
    </row>
    <row r="13" spans="1:27" x14ac:dyDescent="0.25">
      <c r="A13" s="84"/>
      <c r="B13" s="2" t="s">
        <v>10</v>
      </c>
      <c r="C13" s="3">
        <f>SUM(Forecast_Main!AF123:AI123)</f>
        <v>38521.302975610073</v>
      </c>
      <c r="D13" s="50">
        <f>SUM(Forecast_Main!AJ123:AM123)</f>
        <v>46418.834190604292</v>
      </c>
      <c r="E13"/>
      <c r="G13" s="2" t="s">
        <v>10</v>
      </c>
      <c r="H13" s="10">
        <f>SUM(Forecast_Main!H123:K123)</f>
        <v>6477</v>
      </c>
      <c r="I13" s="10">
        <f>SUM(Forecast_Main!L123:O123)</f>
        <v>11220</v>
      </c>
      <c r="J13" s="10">
        <f>SUM(Forecast_Main!P123:S123)</f>
        <v>8911</v>
      </c>
      <c r="K13" s="10">
        <f>SUM(Forecast_Main!T123:W123)</f>
        <v>10294</v>
      </c>
      <c r="L13" s="66">
        <f>SUM(Forecast_Main!X123:AA123)</f>
        <v>12818</v>
      </c>
      <c r="M13" s="66">
        <f>SUM(Forecast_Main!AB123:AE123)</f>
        <v>28894</v>
      </c>
      <c r="N13" s="104">
        <f>SUM(Forecast_Main!AF123:AI123)</f>
        <v>38521.302975610073</v>
      </c>
      <c r="O13" s="104">
        <f>SUM(Forecast_Main!AJ123:AM123)</f>
        <v>46418.834190604292</v>
      </c>
      <c r="P13" s="104" cm="1">
        <f t="array" ref="P13">TREND(L13:O13,L$22:O$22,P$22)</f>
        <v>59270.48567841202</v>
      </c>
      <c r="Q13" s="104" cm="1">
        <f t="array" ref="Q13">TREND(M13:P13,M$22:P$22,Q$22)</f>
        <v>68032.90277371183</v>
      </c>
      <c r="R13" s="104" cm="1">
        <f t="array" ref="R13">TREND(N13:Q13,N$22:Q$22,R$22)</f>
        <v>78407.494125112891</v>
      </c>
      <c r="S13" s="104" cm="1">
        <f t="array" ref="S13">TREND(O13:R13,O$22:R$22,S$22)</f>
        <v>89214.528416667134</v>
      </c>
      <c r="T13" s="104" cm="1">
        <f t="array" ref="T13">TREND(P13:S13,P$22:S$22,T$22)</f>
        <v>98783.032640017569</v>
      </c>
      <c r="U13" s="104" cm="1">
        <f t="array" ref="U13">TREND(Q13:T13,Q$22:T$22,U$22)</f>
        <v>109373.84546149522</v>
      </c>
      <c r="V13" s="104" cm="1">
        <f t="array" ref="V13">TREND(R13:U13,R$22:U$22,V$22)</f>
        <v>119561.61471894383</v>
      </c>
      <c r="W13" s="104" cm="1">
        <f t="array" ref="W13">TREND(S13:V13,S$22:V$22,W$22)</f>
        <v>129641.27324135602</v>
      </c>
      <c r="X13" s="104" cm="1">
        <f t="array" ref="X13">TREND(T13:W13,T$22:W$22,X$22)</f>
        <v>140030.56428081915</v>
      </c>
      <c r="Y13" s="104" cm="1">
        <f t="array" ref="Y13">TREND(U13:X13,U$22:X$22,Y$22)</f>
        <v>150164.27817074955</v>
      </c>
      <c r="Z13" s="104" cm="1">
        <f t="array" ref="Z13">TREND(V13:Y13,V$22:Y$22,Z$22)</f>
        <v>160398.75295168906</v>
      </c>
      <c r="AA13" s="104" cm="1">
        <f t="array" ref="AA13">TREND(W13:Z13,W$22:Z$22,AA$22)</f>
        <v>170660.2554163821</v>
      </c>
    </row>
    <row r="14" spans="1:27" ht="15.75" thickBot="1" x14ac:dyDescent="0.3">
      <c r="A14" s="55"/>
      <c r="B14" s="56" t="s">
        <v>760</v>
      </c>
      <c r="C14" s="3">
        <f>SUM(Forecast_Main!AF124:AI124)</f>
        <v>12578.393953317733</v>
      </c>
      <c r="D14" s="50">
        <f>SUM(Forecast_Main!AJ124:AM124)</f>
        <v>26552.507561077597</v>
      </c>
      <c r="E14"/>
      <c r="G14" s="56" t="s">
        <v>11</v>
      </c>
      <c r="H14" s="10">
        <f>SUM(Forecast_Main!H124:K124)</f>
        <v>100</v>
      </c>
      <c r="I14" s="10">
        <f>SUM(Forecast_Main!L124:O124)</f>
        <v>199</v>
      </c>
      <c r="J14" s="10">
        <f>SUM(Forecast_Main!P124:S124)</f>
        <v>1190</v>
      </c>
      <c r="K14" s="10">
        <f>SUM(Forecast_Main!T124:W124)</f>
        <v>6182</v>
      </c>
      <c r="L14" s="66">
        <f>SUM(Forecast_Main!X124:AA124)</f>
        <v>4268</v>
      </c>
      <c r="M14" s="66">
        <f>SUM(Forecast_Main!AB124:AE124)</f>
        <v>5111</v>
      </c>
      <c r="N14" s="104">
        <f>SUM(Forecast_Main!AF124:AI124)</f>
        <v>12578.393953317733</v>
      </c>
      <c r="O14" s="104">
        <f>SUM(Forecast_Main!AJ124:AM124)</f>
        <v>26552.507561077597</v>
      </c>
      <c r="P14" s="104" cm="1">
        <f t="array" ref="P14">TREND(L14:O14,L$22:O$22,P$22)</f>
        <v>30707.704537736252</v>
      </c>
      <c r="Q14" s="104" cm="1">
        <f t="array" ref="Q14">TREND(M14:P14,M$22:P$22,Q$22)</f>
        <v>41428.458318274468</v>
      </c>
      <c r="R14" s="104" cm="1">
        <f t="array" ref="R14">TREND(N14:Q14,N$22:Q$22,R$22)</f>
        <v>50493.113610483706</v>
      </c>
      <c r="S14" s="104" cm="1">
        <f t="array" ref="S14">TREND(O14:R14,O$22:R$22,S$22)</f>
        <v>57931.088989080861</v>
      </c>
      <c r="T14" s="104" cm="1">
        <f t="array" ref="T14">TREND(P14:S14,P$22:S$22,T$22)</f>
        <v>67823.793525457382</v>
      </c>
      <c r="U14" s="104" cm="1">
        <f t="array" ref="U14">TREND(Q14:T14,Q$22:T$22,U$22)</f>
        <v>76075.108860857785</v>
      </c>
      <c r="V14" s="104" cm="1">
        <f t="array" ref="V14">TREND(R14:U14,R$22:U$22,V$22)</f>
        <v>84740.448818340898</v>
      </c>
      <c r="W14" s="104" cm="1">
        <f t="array" ref="W14">TREND(S14:V14,S$22:V$22,W$22)</f>
        <v>93812.458754230291</v>
      </c>
      <c r="X14" s="104" cm="1">
        <f t="array" ref="X14">TREND(T14:W14,T$22:W$22,X$22)</f>
        <v>102270.78640067205</v>
      </c>
      <c r="Y14" s="104" cm="1">
        <f t="array" ref="Y14">TREND(U14:X14,U$22:X$22,Y$22)</f>
        <v>111139.46134736016</v>
      </c>
      <c r="Z14" s="104" cm="1">
        <f t="array" ref="Z14">TREND(V14:Y14,V$22:Y$22,Z$22)</f>
        <v>119904.6301385276</v>
      </c>
      <c r="AA14" s="104" cm="1">
        <f t="array" ref="AA14">TREND(W14:Z14,W$22:Z$22,AA$22)</f>
        <v>128568.13143509254</v>
      </c>
    </row>
    <row r="15" spans="1:27" ht="15.75" thickBot="1" x14ac:dyDescent="0.3">
      <c r="A15" s="59" t="s">
        <v>603</v>
      </c>
      <c r="B15" s="60"/>
      <c r="C15" s="61">
        <f>SUM(C8:C14)</f>
        <v>1629783.0665325073</v>
      </c>
      <c r="D15" s="61">
        <f>SUM(D8:D14)</f>
        <v>1898422.5536828765</v>
      </c>
      <c r="E15"/>
      <c r="G15" s="100" t="s">
        <v>668</v>
      </c>
      <c r="H15" s="61">
        <f t="shared" ref="H15:M15" si="15">SUM(H8:H14)</f>
        <v>809410.5</v>
      </c>
      <c r="I15" s="61">
        <f t="shared" si="15"/>
        <v>855272.3</v>
      </c>
      <c r="J15" s="61">
        <f t="shared" si="15"/>
        <v>943646.15</v>
      </c>
      <c r="K15" s="61">
        <f t="shared" si="15"/>
        <v>1220755.25</v>
      </c>
      <c r="L15" s="147">
        <f t="shared" si="15"/>
        <v>1260557.8</v>
      </c>
      <c r="M15" s="147">
        <f t="shared" si="15"/>
        <v>1424082.05</v>
      </c>
      <c r="N15" s="105">
        <f>SUM(N8:N14)</f>
        <v>1629783.0665325073</v>
      </c>
      <c r="O15" s="105">
        <f>SUM(O8:O14)</f>
        <v>1898422.5536828765</v>
      </c>
      <c r="P15" s="105">
        <f>SUM(P8:P14)</f>
        <v>2212345.6677904921</v>
      </c>
      <c r="Q15" s="105">
        <f t="shared" ref="Q15:AA15" si="16">SUM(Q8:Q14)</f>
        <v>2492252.6632880801</v>
      </c>
      <c r="R15" s="105">
        <f t="shared" si="16"/>
        <v>2840240.0828387402</v>
      </c>
      <c r="S15" s="105">
        <f t="shared" si="16"/>
        <v>3170294.1903848979</v>
      </c>
      <c r="T15" s="105">
        <f t="shared" si="16"/>
        <v>3531884.5954795149</v>
      </c>
      <c r="U15" s="105">
        <f t="shared" si="16"/>
        <v>3906184.8694463694</v>
      </c>
      <c r="V15" s="105">
        <f t="shared" si="16"/>
        <v>4291463.0353031708</v>
      </c>
      <c r="W15" s="105">
        <f t="shared" si="16"/>
        <v>4690815.3667772887</v>
      </c>
      <c r="X15" s="105">
        <f t="shared" si="16"/>
        <v>5101128.2522030203</v>
      </c>
      <c r="Y15" s="105">
        <f t="shared" si="16"/>
        <v>5517559.2826278526</v>
      </c>
      <c r="Z15" s="105">
        <f t="shared" si="16"/>
        <v>5943279.2495728564</v>
      </c>
      <c r="AA15" s="105">
        <f t="shared" si="16"/>
        <v>6371923.6752881138</v>
      </c>
    </row>
    <row r="16" spans="1:27" x14ac:dyDescent="0.25">
      <c r="A16" s="1"/>
      <c r="B16" s="1"/>
      <c r="C16" s="1"/>
      <c r="D16" s="51"/>
      <c r="E16"/>
      <c r="L16" s="65"/>
      <c r="M16" s="65"/>
      <c r="N16" s="95"/>
      <c r="O16" s="95"/>
    </row>
    <row r="17" spans="1:40" x14ac:dyDescent="0.25">
      <c r="A17" s="85" t="s">
        <v>881</v>
      </c>
      <c r="B17" s="86"/>
      <c r="C17" s="52">
        <f>SUM(C8:C14)+C4+C5</f>
        <v>-146721.70869371458</v>
      </c>
      <c r="D17" s="52">
        <f>SUM(D8:D14)+D4+D5</f>
        <v>-180870.58566979901</v>
      </c>
      <c r="E17"/>
      <c r="G17" s="101" t="s">
        <v>669</v>
      </c>
      <c r="H17" s="52">
        <f t="shared" ref="H17:M17" si="17">SUM(H8:H14)+H4+H5</f>
        <v>214579</v>
      </c>
      <c r="I17" s="52">
        <f t="shared" si="17"/>
        <v>210900.00000000003</v>
      </c>
      <c r="J17" s="52">
        <f>SUM(J8:J14)+J4+J5</f>
        <v>78763</v>
      </c>
      <c r="K17" s="52">
        <f t="shared" si="17"/>
        <v>218735</v>
      </c>
      <c r="L17" s="148">
        <f>SUM(L8:L14)+L4+L5</f>
        <v>106653.99999999994</v>
      </c>
      <c r="M17" s="148">
        <f t="shared" si="17"/>
        <v>-77837</v>
      </c>
      <c r="N17" s="106">
        <f>SUM(N8:N14)+N4+N5</f>
        <v>-146721.70869371458</v>
      </c>
      <c r="O17" s="106">
        <f>SUM(O8:O14)+O4+O5</f>
        <v>-180870.58566979901</v>
      </c>
      <c r="P17" s="106">
        <f>SUM(P8:P14)+P4+P5</f>
        <v>-203980.64664789918</v>
      </c>
      <c r="Q17" s="106">
        <f t="shared" ref="Q17:AA17" si="18">SUM(Q8:Q14)+Q4+Q5</f>
        <v>-296480.39751239668</v>
      </c>
      <c r="R17" s="106">
        <f t="shared" si="18"/>
        <v>-357097.46956120501</v>
      </c>
      <c r="S17" s="106">
        <f t="shared" si="18"/>
        <v>-472346.66853044764</v>
      </c>
      <c r="T17" s="106">
        <f t="shared" si="18"/>
        <v>-592925.24566092482</v>
      </c>
      <c r="U17" s="106">
        <f t="shared" si="18"/>
        <v>-737488.60226309975</v>
      </c>
      <c r="V17" s="106">
        <f t="shared" si="18"/>
        <v>-907263.29200211447</v>
      </c>
      <c r="W17" s="106">
        <f t="shared" si="18"/>
        <v>-1098323.4024716334</v>
      </c>
      <c r="X17" s="106">
        <f t="shared" si="18"/>
        <v>-1312644.891464961</v>
      </c>
      <c r="Y17" s="106">
        <f t="shared" si="18"/>
        <v>-1553645.9111034484</v>
      </c>
      <c r="Z17" s="106">
        <f t="shared" si="18"/>
        <v>-1816470.5354386366</v>
      </c>
      <c r="AA17" s="106">
        <f t="shared" si="18"/>
        <v>-2105566.3232933437</v>
      </c>
      <c r="AN17">
        <f>8.5*365</f>
        <v>3102.5</v>
      </c>
    </row>
    <row r="18" spans="1:40" ht="15.75" thickBot="1" x14ac:dyDescent="0.3">
      <c r="A18" s="80" t="s">
        <v>882</v>
      </c>
      <c r="B18" s="81"/>
      <c r="C18" s="53">
        <f>SUM(J31:J36)</f>
        <v>751794</v>
      </c>
      <c r="D18" s="53">
        <f>J38</f>
        <v>605072.29130628542</v>
      </c>
      <c r="E18"/>
      <c r="L18" s="65"/>
      <c r="M18" s="65"/>
      <c r="N18" s="95"/>
    </row>
    <row r="19" spans="1:40" ht="15.75" thickBot="1" x14ac:dyDescent="0.3">
      <c r="A19" s="82" t="s">
        <v>248</v>
      </c>
      <c r="B19" s="83"/>
      <c r="C19" s="54">
        <f>SUM(C17:C18)</f>
        <v>605072.29130628542</v>
      </c>
      <c r="D19" s="54">
        <f>SUM(D17:D18)</f>
        <v>424201.70563648641</v>
      </c>
      <c r="E19"/>
      <c r="G19" s="102" t="s">
        <v>670</v>
      </c>
      <c r="H19" s="88">
        <f>SUM($H17:H17)</f>
        <v>214579</v>
      </c>
      <c r="I19" s="88">
        <f>SUM($H17:I17)</f>
        <v>425479</v>
      </c>
      <c r="J19" s="88">
        <f>SUM($H17:J17)</f>
        <v>504242</v>
      </c>
      <c r="K19" s="88">
        <f>SUM($H17:K17)</f>
        <v>722977</v>
      </c>
      <c r="L19" s="70">
        <f>SUM($H17:L17)</f>
        <v>829631</v>
      </c>
      <c r="M19" s="70">
        <f>SUM($H17:M17)</f>
        <v>751794</v>
      </c>
      <c r="N19" s="107">
        <f>SUM($H17:N17)</f>
        <v>605072.29130628542</v>
      </c>
      <c r="O19" s="107">
        <f>SUM($H17:O17)</f>
        <v>424201.70563648641</v>
      </c>
      <c r="P19" s="107">
        <f>SUM($H17:P17)</f>
        <v>220221.05898858723</v>
      </c>
      <c r="Q19" s="107">
        <f>SUM($H17:Q17)</f>
        <v>-76259.338523809449</v>
      </c>
      <c r="R19" s="107">
        <f>SUM($H17:R17)</f>
        <v>-433356.80808501446</v>
      </c>
      <c r="S19" s="107">
        <f>SUM($H17:S17)</f>
        <v>-905703.4766154621</v>
      </c>
      <c r="T19" s="107">
        <f>SUM($H17:T17)</f>
        <v>-1498628.7222763868</v>
      </c>
      <c r="U19" s="107">
        <f>SUM($H17:U17)</f>
        <v>-2236117.3245394863</v>
      </c>
      <c r="V19" s="107">
        <f>SUM($H17:V17)</f>
        <v>-3143380.6165416008</v>
      </c>
      <c r="W19" s="107">
        <f>SUM($H17:W17)</f>
        <v>-4241704.0190132344</v>
      </c>
      <c r="X19" s="107">
        <f>SUM($H17:X17)</f>
        <v>-5554348.9104781952</v>
      </c>
      <c r="Y19" s="107">
        <f>SUM($H17:Y17)</f>
        <v>-7107994.8215816431</v>
      </c>
      <c r="Z19" s="107">
        <f>SUM($H17:Z17)</f>
        <v>-8924465.3570202794</v>
      </c>
      <c r="AA19" s="107">
        <f>SUM($H17:AA17)</f>
        <v>-11030031.680313623</v>
      </c>
    </row>
    <row r="20" spans="1:40" x14ac:dyDescent="0.25">
      <c r="A20" s="1"/>
      <c r="B20" s="1"/>
      <c r="C20" s="1"/>
      <c r="D20" s="48"/>
      <c r="E20"/>
    </row>
    <row r="21" spans="1:40" x14ac:dyDescent="0.25">
      <c r="A21" s="174"/>
      <c r="B21" s="174"/>
      <c r="D21" s="174"/>
      <c r="E21"/>
      <c r="G21" t="s">
        <v>817</v>
      </c>
      <c r="H21" s="124">
        <f t="shared" ref="H21:AA21" si="19">-H6</f>
        <v>594831.5</v>
      </c>
      <c r="I21" s="124">
        <f t="shared" si="19"/>
        <v>644372.30000000005</v>
      </c>
      <c r="J21" s="124">
        <f t="shared" si="19"/>
        <v>864883.15</v>
      </c>
      <c r="K21" s="124">
        <f t="shared" si="19"/>
        <v>1002020.25</v>
      </c>
      <c r="L21" s="124">
        <f t="shared" si="19"/>
        <v>1153903.8</v>
      </c>
      <c r="M21" s="124">
        <f t="shared" si="19"/>
        <v>1501919.05</v>
      </c>
      <c r="N21" s="124">
        <f t="shared" si="19"/>
        <v>1776504.7752262219</v>
      </c>
      <c r="O21" s="124">
        <f t="shared" si="19"/>
        <v>2079293.1393526755</v>
      </c>
      <c r="P21" s="124">
        <f t="shared" si="19"/>
        <v>2416326.3144383915</v>
      </c>
      <c r="Q21" s="124">
        <f t="shared" si="19"/>
        <v>2788733.0608004769</v>
      </c>
      <c r="R21" s="124">
        <f t="shared" si="19"/>
        <v>3197337.5523999454</v>
      </c>
      <c r="S21" s="124">
        <f t="shared" si="19"/>
        <v>3642640.8589153457</v>
      </c>
      <c r="T21" s="124">
        <f t="shared" si="19"/>
        <v>4124809.8411404397</v>
      </c>
      <c r="U21" s="124">
        <f t="shared" si="19"/>
        <v>4643673.4717094693</v>
      </c>
      <c r="V21" s="124">
        <f t="shared" si="19"/>
        <v>5198726.3273052853</v>
      </c>
      <c r="W21" s="124">
        <f t="shared" si="19"/>
        <v>5789138.7692489224</v>
      </c>
      <c r="X21" s="124">
        <f t="shared" si="19"/>
        <v>6413773.143667981</v>
      </c>
      <c r="Y21" s="124">
        <f t="shared" si="19"/>
        <v>7071205.1937313005</v>
      </c>
      <c r="Z21" s="124">
        <f t="shared" si="19"/>
        <v>7759749.7850114927</v>
      </c>
      <c r="AA21" s="124">
        <f t="shared" si="19"/>
        <v>8477489.9985814579</v>
      </c>
    </row>
    <row r="22" spans="1:40" x14ac:dyDescent="0.25">
      <c r="C22" s="3">
        <v>260177</v>
      </c>
      <c r="D22" s="50">
        <v>349569</v>
      </c>
      <c r="E22"/>
      <c r="H22">
        <v>2016</v>
      </c>
      <c r="I22">
        <v>2017</v>
      </c>
      <c r="J22" s="123">
        <v>2018</v>
      </c>
      <c r="K22" s="123">
        <v>2019</v>
      </c>
      <c r="L22" s="123">
        <v>2020</v>
      </c>
      <c r="M22" s="123">
        <v>2021</v>
      </c>
      <c r="N22" s="123">
        <v>2022</v>
      </c>
      <c r="O22" s="123">
        <v>2023</v>
      </c>
      <c r="P22" s="174">
        <v>2024</v>
      </c>
      <c r="Q22" s="174">
        <v>2025</v>
      </c>
      <c r="R22" s="174">
        <v>2026</v>
      </c>
      <c r="S22" s="174">
        <v>2027</v>
      </c>
      <c r="T22" s="174">
        <v>2028</v>
      </c>
      <c r="U22" s="174">
        <v>2029</v>
      </c>
      <c r="V22" s="174">
        <v>2030</v>
      </c>
      <c r="W22" s="174">
        <v>2031</v>
      </c>
      <c r="X22" s="174">
        <v>2032</v>
      </c>
      <c r="Y22" s="174">
        <v>2033</v>
      </c>
      <c r="Z22" s="174">
        <v>2034</v>
      </c>
      <c r="AA22" s="174">
        <v>2035</v>
      </c>
    </row>
    <row r="23" spans="1:40" s="174" customFormat="1" x14ac:dyDescent="0.25">
      <c r="A23" s="123"/>
      <c r="B23" s="123"/>
      <c r="D23" s="123"/>
    </row>
    <row r="24" spans="1:40" x14ac:dyDescent="0.25">
      <c r="A24" s="123"/>
      <c r="B24" s="123"/>
      <c r="C24" s="124">
        <f>C11-C22</f>
        <v>-33999.068625845015</v>
      </c>
      <c r="D24" s="124">
        <f>D11-D22</f>
        <v>-53332.585047551314</v>
      </c>
      <c r="E24"/>
      <c r="G24" t="s">
        <v>816</v>
      </c>
      <c r="I24" s="8">
        <f>I11/H11-1</f>
        <v>0.22714673838469768</v>
      </c>
      <c r="J24" s="8">
        <f t="shared" ref="J24:AA24" si="20">J11/I11-1</f>
        <v>0.35012076214330445</v>
      </c>
      <c r="K24" s="8">
        <f t="shared" si="20"/>
        <v>0.32283177632014848</v>
      </c>
      <c r="L24" s="8">
        <f t="shared" si="20"/>
        <v>0.32502316495955519</v>
      </c>
      <c r="M24" s="8">
        <f t="shared" si="20"/>
        <v>0.51460512762358368</v>
      </c>
      <c r="N24" s="8">
        <f>N11/M11-1</f>
        <v>0.41119539896773638</v>
      </c>
      <c r="O24" s="8">
        <f t="shared" si="20"/>
        <v>0.30974942229177715</v>
      </c>
      <c r="P24" s="8">
        <f t="shared" si="20"/>
        <v>0.28177901848676479</v>
      </c>
      <c r="Q24" s="8">
        <f t="shared" si="20"/>
        <v>0.25657410486406063</v>
      </c>
      <c r="R24" s="8">
        <f t="shared" si="20"/>
        <v>0.23382355519540976</v>
      </c>
      <c r="S24" s="8">
        <f t="shared" si="20"/>
        <v>0.21325701934571595</v>
      </c>
      <c r="T24" s="8">
        <f t="shared" si="20"/>
        <v>0.19463872233710866</v>
      </c>
      <c r="U24" s="8">
        <f t="shared" si="20"/>
        <v>0.1777623328154212</v>
      </c>
      <c r="V24" s="8">
        <f t="shared" si="20"/>
        <v>0.16244669683670465</v>
      </c>
      <c r="W24" s="8">
        <f t="shared" si="20"/>
        <v>0.14853227523074741</v>
      </c>
      <c r="X24" s="8">
        <f t="shared" si="20"/>
        <v>0.13587815569878159</v>
      </c>
      <c r="Y24" s="8">
        <f t="shared" si="20"/>
        <v>0.12435953650644693</v>
      </c>
      <c r="Z24" s="8">
        <f t="shared" si="20"/>
        <v>0.11386559881928093</v>
      </c>
      <c r="AA24" s="8">
        <f t="shared" si="20"/>
        <v>0.10429770066033028</v>
      </c>
    </row>
    <row r="25" spans="1:40" x14ac:dyDescent="0.25">
      <c r="A25" s="123"/>
      <c r="B25" s="123"/>
      <c r="D25" s="124"/>
    </row>
    <row r="26" spans="1:40" x14ac:dyDescent="0.25">
      <c r="A26" s="123"/>
      <c r="B26" s="123"/>
      <c r="D26" s="124"/>
    </row>
    <row r="27" spans="1:40" x14ac:dyDescent="0.25">
      <c r="A27" s="123"/>
      <c r="B27" s="123"/>
      <c r="D27" s="123"/>
      <c r="G27" s="38" t="s">
        <v>665</v>
      </c>
    </row>
    <row r="28" spans="1:40" x14ac:dyDescent="0.25">
      <c r="A28" s="123"/>
      <c r="B28" s="123"/>
      <c r="D28" s="124"/>
    </row>
    <row r="29" spans="1:40" ht="30.75" thickBot="1" x14ac:dyDescent="0.3">
      <c r="A29" s="123"/>
      <c r="B29" s="123"/>
      <c r="D29" s="124"/>
      <c r="G29" s="27" t="s">
        <v>20</v>
      </c>
      <c r="H29" s="98" t="s">
        <v>23</v>
      </c>
      <c r="I29" s="98" t="s">
        <v>24</v>
      </c>
      <c r="J29" s="39" t="s">
        <v>664</v>
      </c>
    </row>
    <row r="30" spans="1:40" x14ac:dyDescent="0.25">
      <c r="A30" s="123"/>
      <c r="B30" s="123"/>
      <c r="D30" s="124"/>
    </row>
    <row r="31" spans="1:40" x14ac:dyDescent="0.25">
      <c r="A31" s="123"/>
      <c r="B31" s="123"/>
      <c r="D31" s="124"/>
      <c r="G31" s="97">
        <v>2016</v>
      </c>
      <c r="H31" s="10">
        <f>SUM(Forecast_Main!H116:K116)</f>
        <v>-594831.5</v>
      </c>
      <c r="I31" s="10">
        <f>SUM(Forecast_Main!H125:K125)</f>
        <v>809410.5</v>
      </c>
      <c r="J31" s="10">
        <f t="shared" ref="J31:J37" si="21">SUM(H31:I31)</f>
        <v>214579</v>
      </c>
    </row>
    <row r="32" spans="1:40" x14ac:dyDescent="0.25">
      <c r="A32" s="123"/>
      <c r="B32" s="123"/>
      <c r="D32" s="124"/>
      <c r="G32" s="97">
        <v>2017</v>
      </c>
      <c r="H32" s="10">
        <f>SUM(Forecast_Main!L116:O116)</f>
        <v>-644372.30000000005</v>
      </c>
      <c r="I32" s="10">
        <f>SUM(Forecast_Main!L125:O125)</f>
        <v>855272.3</v>
      </c>
      <c r="J32" s="10">
        <f t="shared" si="21"/>
        <v>210900</v>
      </c>
    </row>
    <row r="33" spans="1:10" x14ac:dyDescent="0.25">
      <c r="A33" s="123"/>
      <c r="B33" s="123"/>
      <c r="D33" s="124"/>
      <c r="G33" s="97">
        <v>2018</v>
      </c>
      <c r="H33" s="10">
        <f>SUM(Forecast_Main!P116:S116)</f>
        <v>-864883.15</v>
      </c>
      <c r="I33" s="10">
        <f>SUM(Forecast_Main!P125:S125)</f>
        <v>943646.15</v>
      </c>
      <c r="J33" s="10">
        <f t="shared" si="21"/>
        <v>78763</v>
      </c>
    </row>
    <row r="34" spans="1:10" x14ac:dyDescent="0.25">
      <c r="A34" s="123"/>
      <c r="B34" s="123"/>
      <c r="D34" s="124"/>
      <c r="G34" s="97">
        <v>2019</v>
      </c>
      <c r="H34" s="10">
        <f>SUM(Forecast_Main!T116:W116)</f>
        <v>-1002020.25</v>
      </c>
      <c r="I34" s="10">
        <f>SUM(Forecast_Main!T125:W125)</f>
        <v>1220755.25</v>
      </c>
      <c r="J34" s="10">
        <f t="shared" si="21"/>
        <v>218735</v>
      </c>
    </row>
    <row r="35" spans="1:10" x14ac:dyDescent="0.25">
      <c r="A35" s="123"/>
      <c r="B35" s="123"/>
      <c r="D35" s="124"/>
      <c r="G35" s="97">
        <v>2020</v>
      </c>
      <c r="H35" s="10">
        <f>SUM(Forecast_Main!X116:AA116)</f>
        <v>-1153903.8</v>
      </c>
      <c r="I35" s="10">
        <f>SUM(Forecast_Main!X125:AA125)</f>
        <v>1260557.8</v>
      </c>
      <c r="J35" s="10">
        <f t="shared" si="21"/>
        <v>106654</v>
      </c>
    </row>
    <row r="36" spans="1:10" x14ac:dyDescent="0.25">
      <c r="A36" s="123"/>
      <c r="B36" s="123"/>
      <c r="D36" s="123"/>
      <c r="G36" s="97">
        <v>2021</v>
      </c>
      <c r="H36" s="124">
        <f>M6</f>
        <v>-1501919.05</v>
      </c>
      <c r="I36" s="124">
        <f>M15</f>
        <v>1424082.05</v>
      </c>
      <c r="J36" s="124">
        <f t="shared" si="21"/>
        <v>-77837</v>
      </c>
    </row>
    <row r="37" spans="1:10" x14ac:dyDescent="0.25">
      <c r="A37" s="123"/>
      <c r="B37" s="123"/>
      <c r="D37" s="124"/>
      <c r="G37" s="97" t="s">
        <v>772</v>
      </c>
      <c r="H37" s="124">
        <f>N6</f>
        <v>-1776504.7752262219</v>
      </c>
      <c r="I37" s="124">
        <f>N15</f>
        <v>1629783.0665325073</v>
      </c>
      <c r="J37" s="124">
        <f t="shared" si="21"/>
        <v>-146721.70869371458</v>
      </c>
    </row>
    <row r="38" spans="1:10" ht="15.75" thickBot="1" x14ac:dyDescent="0.3">
      <c r="A38" s="123"/>
      <c r="B38" s="123"/>
      <c r="D38" s="124"/>
      <c r="G38" s="30" t="s">
        <v>29</v>
      </c>
      <c r="H38" s="88">
        <f>SUM(H31:H37)</f>
        <v>-7538434.8252262212</v>
      </c>
      <c r="I38" s="88">
        <f>SUM(I31:I37)</f>
        <v>8143507.1165325074</v>
      </c>
      <c r="J38" s="88">
        <f>SUM(J31:J37)</f>
        <v>605072.29130628542</v>
      </c>
    </row>
    <row r="39" spans="1:10" x14ac:dyDescent="0.25">
      <c r="A39" s="123"/>
      <c r="B39" s="123"/>
      <c r="D39" s="124"/>
    </row>
  </sheetData>
  <mergeCells count="2">
    <mergeCell ref="A2:D2"/>
    <mergeCell ref="G2:O2"/>
  </mergeCells>
  <pageMargins left="0.7" right="0.7" top="0.75" bottom="0.75" header="0.3" footer="0.3"/>
  <pageSetup orientation="portrait" horizontalDpi="200"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28"/>
  <sheetViews>
    <sheetView zoomScale="75" zoomScaleNormal="75" workbookViewId="0">
      <pane xSplit="3" ySplit="5" topLeftCell="N21" activePane="bottomRight" state="frozen"/>
      <selection pane="topRight" activeCell="D1" sqref="D1"/>
      <selection pane="bottomLeft" activeCell="A3" sqref="A3"/>
      <selection pane="bottomRight" activeCell="X8" sqref="X8:AA8"/>
    </sheetView>
  </sheetViews>
  <sheetFormatPr defaultRowHeight="15" x14ac:dyDescent="0.25"/>
  <cols>
    <col min="1" max="1" width="23.5703125" customWidth="1"/>
    <col min="2" max="2" width="15.7109375" bestFit="1" customWidth="1"/>
    <col min="3" max="3" width="23.42578125" customWidth="1"/>
    <col min="4" max="6" width="15" customWidth="1"/>
    <col min="7" max="13" width="19.85546875" customWidth="1"/>
    <col min="14" max="31" width="13" customWidth="1"/>
    <col min="32" max="35" width="13" style="123" customWidth="1"/>
    <col min="36" max="36" width="13" customWidth="1"/>
    <col min="37" max="44" width="45.140625" customWidth="1"/>
  </cols>
  <sheetData>
    <row r="1" spans="1:37" ht="21" x14ac:dyDescent="0.35">
      <c r="A1" s="91" t="s">
        <v>648</v>
      </c>
      <c r="D1" s="92"/>
      <c r="E1" s="92"/>
      <c r="F1" s="92"/>
      <c r="G1" s="92"/>
      <c r="H1" s="92"/>
      <c r="I1" s="92"/>
      <c r="J1" s="92"/>
      <c r="K1" s="92"/>
      <c r="L1" s="92"/>
      <c r="M1" s="92"/>
      <c r="N1" s="92"/>
      <c r="O1" s="92"/>
    </row>
    <row r="2" spans="1:37" ht="79.5" customHeight="1" x14ac:dyDescent="0.25">
      <c r="A2" s="205" t="s">
        <v>649</v>
      </c>
      <c r="B2" s="205"/>
      <c r="C2" s="205"/>
      <c r="D2" s="205"/>
      <c r="E2" s="205"/>
      <c r="F2" s="205"/>
      <c r="G2" s="205"/>
    </row>
    <row r="4" spans="1:37" x14ac:dyDescent="0.25">
      <c r="A4" s="19" t="s">
        <v>274</v>
      </c>
      <c r="D4" s="19" t="s">
        <v>249</v>
      </c>
    </row>
    <row r="5" spans="1:37" x14ac:dyDescent="0.25">
      <c r="A5" s="19" t="s">
        <v>250</v>
      </c>
      <c r="B5" s="19" t="s">
        <v>269</v>
      </c>
      <c r="C5" s="19" t="s">
        <v>254</v>
      </c>
      <c r="D5" s="20">
        <v>42370</v>
      </c>
      <c r="E5" s="20">
        <v>42461</v>
      </c>
      <c r="F5" s="20">
        <v>42552</v>
      </c>
      <c r="G5" s="20">
        <v>42644</v>
      </c>
      <c r="H5" s="20">
        <v>42736</v>
      </c>
      <c r="I5" s="20">
        <v>42826</v>
      </c>
      <c r="J5" s="20">
        <v>42917</v>
      </c>
      <c r="K5" s="20">
        <v>43009</v>
      </c>
      <c r="L5" s="20">
        <v>43101</v>
      </c>
      <c r="M5" s="20">
        <v>43191</v>
      </c>
      <c r="N5" s="20">
        <v>43282</v>
      </c>
      <c r="O5" s="20">
        <v>43374</v>
      </c>
      <c r="P5" s="20">
        <v>43466</v>
      </c>
      <c r="Q5" s="20">
        <v>43556</v>
      </c>
      <c r="R5" s="20">
        <v>43647</v>
      </c>
      <c r="S5" s="20">
        <v>43739</v>
      </c>
      <c r="T5" s="20">
        <v>43831</v>
      </c>
      <c r="U5" s="20">
        <v>43922</v>
      </c>
      <c r="V5" s="20">
        <v>44013</v>
      </c>
      <c r="W5" s="20">
        <v>44105</v>
      </c>
      <c r="X5" s="20">
        <v>44197</v>
      </c>
      <c r="Y5" s="20">
        <v>44287</v>
      </c>
      <c r="Z5" s="20">
        <v>44378</v>
      </c>
      <c r="AA5" s="20">
        <v>44470</v>
      </c>
      <c r="AB5" s="64">
        <f t="shared" ref="AB5:AI5" si="0">DATE(YEAR(AA5),MONTH(AA5)+3,1)</f>
        <v>44562</v>
      </c>
      <c r="AC5" s="64">
        <f t="shared" si="0"/>
        <v>44652</v>
      </c>
      <c r="AD5" s="64">
        <f t="shared" si="0"/>
        <v>44743</v>
      </c>
      <c r="AE5" s="64">
        <f t="shared" si="0"/>
        <v>44835</v>
      </c>
      <c r="AF5" s="64">
        <f t="shared" si="0"/>
        <v>44927</v>
      </c>
      <c r="AG5" s="64">
        <f t="shared" si="0"/>
        <v>45017</v>
      </c>
      <c r="AH5" s="64">
        <f t="shared" si="0"/>
        <v>45108</v>
      </c>
      <c r="AI5" s="64">
        <f t="shared" si="0"/>
        <v>45200</v>
      </c>
      <c r="AK5" t="s">
        <v>776</v>
      </c>
    </row>
    <row r="6" spans="1:37" x14ac:dyDescent="0.25">
      <c r="A6" s="93" t="s">
        <v>650</v>
      </c>
      <c r="B6" s="93" t="s">
        <v>5</v>
      </c>
      <c r="C6" s="93" t="s">
        <v>5</v>
      </c>
      <c r="D6" s="94">
        <v>64.5</v>
      </c>
      <c r="E6" s="94">
        <v>62.85</v>
      </c>
      <c r="F6" s="94">
        <v>63</v>
      </c>
      <c r="G6" s="94">
        <v>62.48</v>
      </c>
      <c r="H6" s="94">
        <v>62.68</v>
      </c>
      <c r="I6" s="94">
        <v>63.04</v>
      </c>
      <c r="J6" s="94">
        <v>63.49</v>
      </c>
      <c r="K6" s="94">
        <v>61.33</v>
      </c>
      <c r="L6" s="94">
        <v>61.85</v>
      </c>
      <c r="M6" s="94">
        <v>61.12</v>
      </c>
      <c r="N6" s="94">
        <v>60.81</v>
      </c>
      <c r="O6" s="94">
        <v>59.73</v>
      </c>
      <c r="P6" s="94">
        <v>60.13</v>
      </c>
      <c r="Q6" s="94">
        <v>59.68</v>
      </c>
      <c r="R6" s="94">
        <v>57.02</v>
      </c>
      <c r="S6" s="94">
        <v>55.81</v>
      </c>
      <c r="T6" s="94">
        <v>55.33</v>
      </c>
      <c r="U6" s="94">
        <v>55.78</v>
      </c>
      <c r="V6" s="94">
        <v>55.03</v>
      </c>
      <c r="W6" s="94">
        <v>52.89</v>
      </c>
      <c r="X6" s="94">
        <v>53.55</v>
      </c>
      <c r="Y6" s="94">
        <v>53.66</v>
      </c>
      <c r="Z6" s="94">
        <v>53.67</v>
      </c>
      <c r="AA6" s="94">
        <v>53.98</v>
      </c>
      <c r="AK6">
        <f>X6*(Forecast_Main!AB77/SUM(Forecast_Main!AB77:AE77))+'CI Trend'!Y6*(Forecast_Main!AC77/SUM(Forecast_Main!AB77:AE77))+'CI Trend'!Z6*(Forecast_Main!AD77/SUM(Forecast_Main!AB77:AE77))+AA6*(Forecast_Main!AE77/SUM(Forecast_Main!AB77:AE77))</f>
        <v>53.71890345571034</v>
      </c>
    </row>
    <row r="7" spans="1:37" x14ac:dyDescent="0.25">
      <c r="A7" s="93"/>
      <c r="B7" s="93" t="s">
        <v>7</v>
      </c>
      <c r="C7" s="93" t="s">
        <v>7</v>
      </c>
      <c r="D7" s="94">
        <v>56.38</v>
      </c>
      <c r="E7" s="94">
        <v>51.31</v>
      </c>
      <c r="F7" s="94">
        <v>51.13</v>
      </c>
      <c r="G7" s="94">
        <v>48.72</v>
      </c>
      <c r="H7" s="94">
        <v>46.35</v>
      </c>
      <c r="I7" s="94">
        <v>47.58</v>
      </c>
      <c r="J7" s="94">
        <v>47.06</v>
      </c>
      <c r="K7" s="94">
        <v>47.45</v>
      </c>
      <c r="L7" s="94">
        <v>45.21</v>
      </c>
      <c r="M7" s="94">
        <v>46.03</v>
      </c>
      <c r="N7" s="94">
        <v>45.34</v>
      </c>
      <c r="O7" s="94">
        <v>44.35</v>
      </c>
      <c r="P7" s="94">
        <v>39.51</v>
      </c>
      <c r="Q7" s="94">
        <v>38.92</v>
      </c>
      <c r="R7" s="94">
        <v>38.97</v>
      </c>
      <c r="S7" s="94">
        <v>37.380000000000003</v>
      </c>
      <c r="T7" s="94">
        <v>36.65</v>
      </c>
      <c r="U7" s="94">
        <v>43.71</v>
      </c>
      <c r="V7" s="94">
        <v>42.81</v>
      </c>
      <c r="W7" s="94">
        <v>44.65</v>
      </c>
      <c r="X7" s="94">
        <v>43.25</v>
      </c>
      <c r="Y7" s="94">
        <v>40.49</v>
      </c>
      <c r="Z7" s="94">
        <v>41.89</v>
      </c>
      <c r="AA7" s="94">
        <v>42.08</v>
      </c>
      <c r="AJ7" s="123"/>
      <c r="AK7" s="168">
        <f>X7*(Forecast_Main!AB83/SUM(Forecast_Main!AB83:AE83))+'CI Trend'!Y7*(Forecast_Main!AC83/SUM(Forecast_Main!AB83:AE83))+'CI Trend'!Z7*(Forecast_Main!AD83/SUM(Forecast_Main!AB83:AE83))+AA7*(Forecast_Main!AE83/SUM(Forecast_Main!AB83:AE83))</f>
        <v>41.835725977433725</v>
      </c>
    </row>
    <row r="8" spans="1:37" x14ac:dyDescent="0.25">
      <c r="A8" s="93"/>
      <c r="B8" s="93" t="s">
        <v>255</v>
      </c>
      <c r="C8" s="93" t="s">
        <v>255</v>
      </c>
      <c r="D8" s="94"/>
      <c r="E8" s="94"/>
      <c r="F8" s="94"/>
      <c r="G8" s="94"/>
      <c r="H8" s="94"/>
      <c r="I8" s="94"/>
      <c r="J8" s="94"/>
      <c r="K8" s="94">
        <v>33.64</v>
      </c>
      <c r="L8" s="94">
        <v>48.76</v>
      </c>
      <c r="M8" s="94">
        <v>36.380000000000003</v>
      </c>
      <c r="N8" s="94">
        <v>37.42</v>
      </c>
      <c r="O8" s="94">
        <v>34.96</v>
      </c>
      <c r="P8" s="94">
        <v>53.91</v>
      </c>
      <c r="Q8" s="94">
        <v>44.74</v>
      </c>
      <c r="R8" s="94">
        <v>29.88</v>
      </c>
      <c r="S8" s="94">
        <v>28.12</v>
      </c>
      <c r="T8" s="94">
        <v>27.29</v>
      </c>
      <c r="U8" s="94">
        <v>30.18</v>
      </c>
      <c r="V8" s="94">
        <v>64.48</v>
      </c>
      <c r="W8" s="94">
        <v>39.46</v>
      </c>
      <c r="X8" s="94">
        <v>63.83</v>
      </c>
      <c r="Y8" s="94">
        <v>304.47000000000003</v>
      </c>
      <c r="Z8" s="94">
        <v>48.86</v>
      </c>
      <c r="AA8" s="94">
        <v>-1210.6099999999999</v>
      </c>
      <c r="AJ8" s="123"/>
      <c r="AK8" s="168">
        <f>X8*(Forecast_Main!AB85/SUM(Forecast_Main!AB85:AE85))+'CI Trend'!Y8*(Forecast_Main!AC85/SUM(Forecast_Main!AB85:AE85))+'CI Trend'!Z8*(Forecast_Main!AD85/SUM(Forecast_Main!AB85:AE85))+AA8*(Forecast_Main!AE85/SUM(Forecast_Main!AB85:AE85))</f>
        <v>37.013587018759075</v>
      </c>
    </row>
    <row r="10" spans="1:37" x14ac:dyDescent="0.25">
      <c r="G10" s="8"/>
      <c r="H10" s="8"/>
      <c r="I10" s="8"/>
      <c r="J10" s="8"/>
      <c r="K10" s="8"/>
      <c r="L10" s="8"/>
      <c r="M10" s="8"/>
      <c r="N10" s="8"/>
      <c r="O10" s="8"/>
      <c r="P10" s="8"/>
      <c r="Q10" s="8"/>
      <c r="R10" s="8"/>
      <c r="S10" s="8"/>
      <c r="T10" s="8">
        <f>T12/P12-1</f>
        <v>-7.9827041410277744E-2</v>
      </c>
      <c r="U10" s="8">
        <f>U12/Q12-1</f>
        <v>-6.5348525469168917E-2</v>
      </c>
      <c r="V10" s="8">
        <f>V12/R12-1</f>
        <v>-3.4900035075412172E-2</v>
      </c>
      <c r="W10" s="8">
        <f>W12/S12-1</f>
        <v>-5.2320372693065775E-2</v>
      </c>
      <c r="AE10">
        <f>W12*((1+T10)^2)</f>
        <v>44.782929497038253</v>
      </c>
    </row>
    <row r="11" spans="1:37" x14ac:dyDescent="0.25">
      <c r="B11" t="s">
        <v>651</v>
      </c>
      <c r="D11" s="20">
        <f>D5</f>
        <v>42370</v>
      </c>
      <c r="E11" s="20">
        <f t="shared" ref="E11:AB12" si="1">E5</f>
        <v>42461</v>
      </c>
      <c r="F11" s="20">
        <f t="shared" si="1"/>
        <v>42552</v>
      </c>
      <c r="G11" s="20">
        <f t="shared" si="1"/>
        <v>42644</v>
      </c>
      <c r="H11" s="20">
        <f t="shared" si="1"/>
        <v>42736</v>
      </c>
      <c r="I11" s="20">
        <f t="shared" si="1"/>
        <v>42826</v>
      </c>
      <c r="J11" s="20">
        <f t="shared" si="1"/>
        <v>42917</v>
      </c>
      <c r="K11" s="20">
        <f t="shared" si="1"/>
        <v>43009</v>
      </c>
      <c r="L11" s="20">
        <f t="shared" si="1"/>
        <v>43101</v>
      </c>
      <c r="M11" s="20">
        <f t="shared" si="1"/>
        <v>43191</v>
      </c>
      <c r="N11" s="20">
        <f t="shared" si="1"/>
        <v>43282</v>
      </c>
      <c r="O11" s="20">
        <f t="shared" si="1"/>
        <v>43374</v>
      </c>
      <c r="P11" s="20">
        <f t="shared" si="1"/>
        <v>43466</v>
      </c>
      <c r="Q11" s="20">
        <f t="shared" si="1"/>
        <v>43556</v>
      </c>
      <c r="R11" s="20">
        <f t="shared" si="1"/>
        <v>43647</v>
      </c>
      <c r="S11" s="20">
        <f t="shared" si="1"/>
        <v>43739</v>
      </c>
      <c r="T11" s="20">
        <f t="shared" si="1"/>
        <v>43831</v>
      </c>
      <c r="U11" s="20">
        <f t="shared" si="1"/>
        <v>43922</v>
      </c>
      <c r="V11" s="20">
        <f t="shared" si="1"/>
        <v>44013</v>
      </c>
      <c r="W11" s="20">
        <f t="shared" si="1"/>
        <v>44105</v>
      </c>
      <c r="X11" s="20">
        <f t="shared" si="1"/>
        <v>44197</v>
      </c>
      <c r="Y11" s="20">
        <f t="shared" si="1"/>
        <v>44287</v>
      </c>
      <c r="Z11" s="20">
        <f t="shared" si="1"/>
        <v>44378</v>
      </c>
      <c r="AA11" s="20">
        <f t="shared" si="1"/>
        <v>44470</v>
      </c>
      <c r="AB11" s="20">
        <f t="shared" si="1"/>
        <v>44562</v>
      </c>
      <c r="AC11" s="20">
        <f t="shared" ref="AC11:AI11" si="2">AC5</f>
        <v>44652</v>
      </c>
      <c r="AD11" s="20">
        <f t="shared" si="2"/>
        <v>44743</v>
      </c>
      <c r="AE11" s="20">
        <f t="shared" si="2"/>
        <v>44835</v>
      </c>
      <c r="AF11" s="20">
        <f t="shared" si="2"/>
        <v>44927</v>
      </c>
      <c r="AG11" s="20">
        <f t="shared" si="2"/>
        <v>45017</v>
      </c>
      <c r="AH11" s="20">
        <f t="shared" si="2"/>
        <v>45108</v>
      </c>
      <c r="AI11" s="20">
        <f t="shared" si="2"/>
        <v>45200</v>
      </c>
    </row>
    <row r="12" spans="1:37" x14ac:dyDescent="0.25">
      <c r="B12" t="s">
        <v>5</v>
      </c>
      <c r="C12" t="s">
        <v>734</v>
      </c>
      <c r="D12" s="47">
        <f>D6</f>
        <v>64.5</v>
      </c>
      <c r="E12" s="47">
        <f t="shared" si="1"/>
        <v>62.85</v>
      </c>
      <c r="F12" s="47">
        <f t="shared" si="1"/>
        <v>63</v>
      </c>
      <c r="G12" s="47">
        <f t="shared" si="1"/>
        <v>62.48</v>
      </c>
      <c r="H12" s="47">
        <f t="shared" si="1"/>
        <v>62.68</v>
      </c>
      <c r="I12" s="47">
        <f t="shared" si="1"/>
        <v>63.04</v>
      </c>
      <c r="J12" s="47">
        <f t="shared" si="1"/>
        <v>63.49</v>
      </c>
      <c r="K12" s="47">
        <f t="shared" si="1"/>
        <v>61.33</v>
      </c>
      <c r="L12" s="47">
        <f t="shared" si="1"/>
        <v>61.85</v>
      </c>
      <c r="M12" s="47">
        <f t="shared" si="1"/>
        <v>61.12</v>
      </c>
      <c r="N12" s="47">
        <f t="shared" si="1"/>
        <v>60.81</v>
      </c>
      <c r="O12" s="144">
        <f t="shared" si="1"/>
        <v>59.73</v>
      </c>
      <c r="P12" s="144">
        <f t="shared" si="1"/>
        <v>60.13</v>
      </c>
      <c r="Q12" s="144">
        <f t="shared" si="1"/>
        <v>59.68</v>
      </c>
      <c r="R12" s="144">
        <f t="shared" si="1"/>
        <v>57.02</v>
      </c>
      <c r="S12" s="144">
        <f t="shared" si="1"/>
        <v>55.81</v>
      </c>
      <c r="T12" s="144">
        <f t="shared" si="1"/>
        <v>55.33</v>
      </c>
      <c r="U12" s="144">
        <f t="shared" si="1"/>
        <v>55.78</v>
      </c>
      <c r="V12" s="144">
        <f t="shared" si="1"/>
        <v>55.03</v>
      </c>
      <c r="W12" s="144">
        <f t="shared" si="1"/>
        <v>52.89</v>
      </c>
      <c r="X12" s="144">
        <f t="shared" si="1"/>
        <v>53.55</v>
      </c>
      <c r="Y12" s="144">
        <f t="shared" si="1"/>
        <v>53.66</v>
      </c>
      <c r="Z12" s="144">
        <f t="shared" si="1"/>
        <v>53.67</v>
      </c>
      <c r="AA12" s="144">
        <f t="shared" si="1"/>
        <v>53.98</v>
      </c>
      <c r="AB12" s="47"/>
      <c r="AC12" s="47"/>
      <c r="AD12" s="47"/>
      <c r="AE12" s="47"/>
      <c r="AF12" s="47"/>
      <c r="AG12" s="47"/>
      <c r="AH12" s="47"/>
      <c r="AI12" s="47"/>
    </row>
    <row r="13" spans="1:37" s="123" customFormat="1" x14ac:dyDescent="0.25">
      <c r="C13" s="123" t="s">
        <v>743</v>
      </c>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f>'CI Facility'!$H$37</f>
        <v>37.167001777582215</v>
      </c>
      <c r="AG13" s="47">
        <f>'CI Facility'!$H$37</f>
        <v>37.167001777582215</v>
      </c>
      <c r="AH13" s="47">
        <f>'CI Facility'!$H$37</f>
        <v>37.167001777582215</v>
      </c>
      <c r="AI13" s="47">
        <f>'CI Facility'!$H$37</f>
        <v>37.167001777582215</v>
      </c>
    </row>
    <row r="14" spans="1:37" s="123" customFormat="1" x14ac:dyDescent="0.25">
      <c r="C14" s="123" t="s">
        <v>730</v>
      </c>
      <c r="D14" s="47"/>
      <c r="E14" s="47"/>
      <c r="F14" s="47"/>
      <c r="G14" s="47"/>
      <c r="H14" s="47"/>
      <c r="I14" s="47"/>
      <c r="J14" s="47"/>
      <c r="K14" s="47"/>
      <c r="L14" s="47"/>
      <c r="M14" s="47"/>
      <c r="N14" s="47"/>
      <c r="O14" s="47"/>
      <c r="P14" s="47"/>
      <c r="Q14" s="47"/>
      <c r="R14" s="47"/>
      <c r="S14" s="47"/>
      <c r="T14" s="47"/>
      <c r="U14" s="47"/>
      <c r="V14" s="47"/>
      <c r="W14" s="47"/>
      <c r="AB14" s="123">
        <f>'Constants Pivot'!$D23</f>
        <v>52</v>
      </c>
      <c r="AC14" s="123">
        <f>'Constants Pivot'!$D23</f>
        <v>52</v>
      </c>
      <c r="AD14" s="123">
        <f>'Constants Pivot'!$D23</f>
        <v>52</v>
      </c>
      <c r="AE14" s="123">
        <f>'Constants Pivot'!$D23</f>
        <v>52</v>
      </c>
      <c r="AF14" s="123">
        <f>'Constants Pivot'!$C23</f>
        <v>50</v>
      </c>
      <c r="AG14" s="123">
        <f>'Constants Pivot'!$C23</f>
        <v>50</v>
      </c>
      <c r="AH14" s="123">
        <f>'Constants Pivot'!$C23</f>
        <v>50</v>
      </c>
      <c r="AI14" s="123">
        <f>'Constants Pivot'!$C23</f>
        <v>50</v>
      </c>
    </row>
    <row r="15" spans="1:37" x14ac:dyDescent="0.25">
      <c r="C15" t="s">
        <v>727</v>
      </c>
      <c r="D15" s="47">
        <v>72.87</v>
      </c>
      <c r="E15" s="47">
        <v>70.83</v>
      </c>
      <c r="F15" s="47">
        <v>69.98</v>
      </c>
      <c r="G15" s="47">
        <v>70.34</v>
      </c>
      <c r="H15" s="47">
        <v>71.489999999999995</v>
      </c>
      <c r="I15" s="47">
        <v>70.290000000000006</v>
      </c>
      <c r="J15" s="47">
        <v>69.510000000000005</v>
      </c>
      <c r="K15" s="47">
        <v>68.98</v>
      </c>
      <c r="L15" s="47">
        <v>70.099999999999994</v>
      </c>
      <c r="M15" s="47">
        <v>70.02</v>
      </c>
      <c r="N15" s="47">
        <v>68.41</v>
      </c>
      <c r="O15" s="47">
        <v>65.88</v>
      </c>
      <c r="P15" s="47">
        <v>66</v>
      </c>
      <c r="Q15" s="47">
        <v>63.69</v>
      </c>
      <c r="R15" s="47">
        <v>59.33</v>
      </c>
      <c r="S15" s="47">
        <v>59.46</v>
      </c>
      <c r="T15" s="47">
        <v>60.34</v>
      </c>
      <c r="U15" s="139">
        <v>62.13</v>
      </c>
      <c r="V15" s="139">
        <v>57.77</v>
      </c>
      <c r="W15" s="139">
        <v>57.69</v>
      </c>
      <c r="X15" s="139">
        <v>60.7</v>
      </c>
      <c r="Y15" s="139">
        <v>60.87</v>
      </c>
      <c r="Z15" s="139"/>
      <c r="AA15" s="139"/>
    </row>
    <row r="16" spans="1:37" s="123" customFormat="1" x14ac:dyDescent="0.25">
      <c r="D16" s="47"/>
      <c r="E16" s="47"/>
      <c r="F16" s="47"/>
      <c r="G16" s="47"/>
      <c r="H16" s="47"/>
      <c r="I16" s="47"/>
      <c r="J16" s="47"/>
      <c r="K16" s="47"/>
      <c r="L16" s="47"/>
      <c r="M16" s="47"/>
      <c r="N16" s="47"/>
      <c r="O16" s="47"/>
      <c r="P16" s="47"/>
      <c r="Q16" s="47"/>
      <c r="R16" s="47"/>
      <c r="S16" s="47"/>
      <c r="T16" s="47"/>
      <c r="U16" s="139"/>
      <c r="V16" s="139"/>
      <c r="W16" s="139"/>
      <c r="X16" s="139"/>
      <c r="Y16" s="139"/>
      <c r="Z16" s="139"/>
      <c r="AA16" s="139"/>
    </row>
    <row r="17" spans="2:35" x14ac:dyDescent="0.25">
      <c r="D17" s="47"/>
      <c r="E17" s="47"/>
      <c r="F17" s="47"/>
      <c r="G17" s="47"/>
      <c r="H17" s="47"/>
      <c r="I17" s="47"/>
      <c r="J17" s="47"/>
      <c r="K17" s="47"/>
      <c r="L17" s="47"/>
      <c r="M17" s="47"/>
      <c r="N17" s="47"/>
      <c r="O17" s="47"/>
      <c r="P17" s="47"/>
      <c r="Q17" s="47"/>
      <c r="R17" s="47"/>
      <c r="S17" s="47"/>
      <c r="U17" s="47"/>
      <c r="V17" s="47"/>
      <c r="W17" s="47"/>
    </row>
    <row r="18" spans="2:35" x14ac:dyDescent="0.25">
      <c r="B18" t="s">
        <v>7</v>
      </c>
      <c r="C18" s="123" t="s">
        <v>734</v>
      </c>
      <c r="D18" s="47">
        <f t="shared" ref="D18:AA18" si="3">D7</f>
        <v>56.38</v>
      </c>
      <c r="E18" s="47">
        <f t="shared" si="3"/>
        <v>51.31</v>
      </c>
      <c r="F18" s="47">
        <f t="shared" si="3"/>
        <v>51.13</v>
      </c>
      <c r="G18" s="47">
        <f t="shared" si="3"/>
        <v>48.72</v>
      </c>
      <c r="H18" s="47">
        <f t="shared" si="3"/>
        <v>46.35</v>
      </c>
      <c r="I18" s="47">
        <f t="shared" si="3"/>
        <v>47.58</v>
      </c>
      <c r="J18" s="47">
        <f t="shared" si="3"/>
        <v>47.06</v>
      </c>
      <c r="K18" s="47">
        <f t="shared" si="3"/>
        <v>47.45</v>
      </c>
      <c r="L18" s="47">
        <f t="shared" si="3"/>
        <v>45.21</v>
      </c>
      <c r="M18" s="47">
        <f t="shared" si="3"/>
        <v>46.03</v>
      </c>
      <c r="N18" s="47">
        <f t="shared" si="3"/>
        <v>45.34</v>
      </c>
      <c r="O18" s="144">
        <f t="shared" si="3"/>
        <v>44.35</v>
      </c>
      <c r="P18" s="144">
        <f t="shared" si="3"/>
        <v>39.51</v>
      </c>
      <c r="Q18" s="144">
        <f t="shared" si="3"/>
        <v>38.92</v>
      </c>
      <c r="R18" s="144">
        <f t="shared" si="3"/>
        <v>38.97</v>
      </c>
      <c r="S18" s="144">
        <f t="shared" si="3"/>
        <v>37.380000000000003</v>
      </c>
      <c r="T18" s="144">
        <f t="shared" si="3"/>
        <v>36.65</v>
      </c>
      <c r="U18" s="144">
        <f t="shared" si="3"/>
        <v>43.71</v>
      </c>
      <c r="V18" s="144">
        <f t="shared" si="3"/>
        <v>42.81</v>
      </c>
      <c r="W18" s="144">
        <f t="shared" si="3"/>
        <v>44.65</v>
      </c>
      <c r="X18" s="144">
        <f t="shared" si="3"/>
        <v>43.25</v>
      </c>
      <c r="Y18" s="144">
        <f t="shared" si="3"/>
        <v>40.49</v>
      </c>
      <c r="Z18" s="144">
        <f t="shared" si="3"/>
        <v>41.89</v>
      </c>
      <c r="AA18" s="144">
        <f t="shared" si="3"/>
        <v>42.08</v>
      </c>
      <c r="AB18" s="47"/>
      <c r="AC18" s="47"/>
      <c r="AD18" s="47"/>
      <c r="AE18" s="47"/>
      <c r="AF18" s="47"/>
      <c r="AG18" s="47"/>
      <c r="AH18" s="47"/>
      <c r="AI18" s="47"/>
    </row>
    <row r="19" spans="2:35" s="123" customFormat="1" x14ac:dyDescent="0.25">
      <c r="C19" s="123" t="s">
        <v>743</v>
      </c>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f>'CI Facility'!$H$66</f>
        <v>22.289643230665284</v>
      </c>
      <c r="AG19" s="47">
        <f>'CI Facility'!$H$66</f>
        <v>22.289643230665284</v>
      </c>
      <c r="AH19" s="47">
        <f>'CI Facility'!$H$66</f>
        <v>22.289643230665284</v>
      </c>
      <c r="AI19" s="47">
        <f>'CI Facility'!$H$66</f>
        <v>22.289643230665284</v>
      </c>
    </row>
    <row r="20" spans="2:35" s="123" customFormat="1" x14ac:dyDescent="0.25">
      <c r="C20" s="123" t="s">
        <v>730</v>
      </c>
      <c r="D20" s="47"/>
      <c r="E20" s="47"/>
      <c r="F20" s="47"/>
      <c r="G20" s="47"/>
      <c r="H20" s="47"/>
      <c r="I20" s="47"/>
      <c r="J20" s="47"/>
      <c r="K20" s="47"/>
      <c r="L20" s="47"/>
      <c r="M20" s="47"/>
      <c r="N20" s="47"/>
      <c r="O20" s="47"/>
      <c r="P20" s="47"/>
      <c r="Q20" s="47"/>
      <c r="R20" s="47"/>
      <c r="S20" s="47"/>
      <c r="T20" s="47"/>
      <c r="U20" s="47"/>
      <c r="V20" s="47"/>
      <c r="W20" s="47"/>
      <c r="X20" s="47"/>
      <c r="Y20" s="47"/>
      <c r="Z20" s="47"/>
      <c r="AA20" s="47"/>
      <c r="AB20" s="47">
        <f>'Constants Pivot'!$D25</f>
        <v>40</v>
      </c>
      <c r="AC20" s="47">
        <f>'Constants Pivot'!$D25</f>
        <v>40</v>
      </c>
      <c r="AD20" s="47">
        <f>'Constants Pivot'!$D25</f>
        <v>40</v>
      </c>
      <c r="AE20" s="47">
        <f>'Constants Pivot'!$D25</f>
        <v>40</v>
      </c>
      <c r="AF20" s="47">
        <f>'Constants Pivot'!$C25</f>
        <v>39</v>
      </c>
      <c r="AG20" s="47">
        <f>'Constants Pivot'!$C25</f>
        <v>39</v>
      </c>
      <c r="AH20" s="47">
        <f>'Constants Pivot'!$C25</f>
        <v>39</v>
      </c>
      <c r="AI20" s="47">
        <f>'Constants Pivot'!$C25</f>
        <v>39</v>
      </c>
    </row>
    <row r="21" spans="2:35" x14ac:dyDescent="0.25">
      <c r="C21" s="123" t="s">
        <v>727</v>
      </c>
      <c r="D21">
        <v>17.25</v>
      </c>
      <c r="E21" s="123">
        <v>13.83</v>
      </c>
      <c r="F21" s="123">
        <v>17.53</v>
      </c>
      <c r="G21" s="123">
        <v>18.309999999999999</v>
      </c>
      <c r="H21" s="123">
        <v>34.76</v>
      </c>
      <c r="I21" s="123">
        <v>30.84</v>
      </c>
      <c r="J21" s="123">
        <v>36.82</v>
      </c>
      <c r="K21" s="123">
        <v>34.15</v>
      </c>
      <c r="L21" s="123">
        <v>33.97</v>
      </c>
      <c r="M21" s="123">
        <v>29.93</v>
      </c>
      <c r="N21" s="123">
        <v>29.61</v>
      </c>
      <c r="O21" s="123">
        <v>30.67</v>
      </c>
      <c r="P21" s="123">
        <v>28.46</v>
      </c>
      <c r="Q21" s="123">
        <v>26.98</v>
      </c>
      <c r="R21" s="123">
        <v>26.15</v>
      </c>
      <c r="S21" s="123">
        <v>26.34</v>
      </c>
      <c r="T21" s="123">
        <v>25.93</v>
      </c>
      <c r="U21" s="145">
        <v>27.25</v>
      </c>
      <c r="V21" s="145">
        <v>27.08</v>
      </c>
      <c r="W21" s="145">
        <v>29.92</v>
      </c>
      <c r="X21" s="145">
        <v>29.69</v>
      </c>
      <c r="Y21" s="145">
        <v>28.54</v>
      </c>
      <c r="Z21" s="145"/>
      <c r="AA21" s="145"/>
    </row>
    <row r="22" spans="2:35" s="123" customFormat="1" x14ac:dyDescent="0.25">
      <c r="U22" s="145"/>
      <c r="V22" s="145"/>
      <c r="W22" s="145"/>
      <c r="X22" s="145"/>
      <c r="Y22" s="145"/>
      <c r="Z22" s="145"/>
      <c r="AA22" s="145"/>
    </row>
    <row r="23" spans="2:35" x14ac:dyDescent="0.25">
      <c r="D23" s="47"/>
      <c r="E23" s="47"/>
      <c r="F23" s="47"/>
      <c r="G23" s="47"/>
      <c r="H23" s="47"/>
      <c r="I23" s="47"/>
      <c r="J23" s="47"/>
      <c r="K23" s="47"/>
      <c r="L23" s="47"/>
      <c r="M23" s="47"/>
      <c r="N23" s="47"/>
      <c r="O23" s="47"/>
      <c r="P23" s="47"/>
      <c r="Q23" s="47"/>
      <c r="R23" s="47"/>
      <c r="S23" s="47"/>
      <c r="U23" s="47"/>
      <c r="V23" s="47"/>
      <c r="W23" s="47"/>
    </row>
    <row r="24" spans="2:35" x14ac:dyDescent="0.25">
      <c r="B24" t="s">
        <v>6</v>
      </c>
      <c r="C24" s="123" t="s">
        <v>734</v>
      </c>
      <c r="K24" s="47">
        <f t="shared" ref="K24:AA24" si="4">K8</f>
        <v>33.64</v>
      </c>
      <c r="L24" s="47">
        <f t="shared" si="4"/>
        <v>48.76</v>
      </c>
      <c r="M24" s="144">
        <f t="shared" si="4"/>
        <v>36.380000000000003</v>
      </c>
      <c r="N24" s="144">
        <f t="shared" si="4"/>
        <v>37.42</v>
      </c>
      <c r="O24" s="144">
        <f t="shared" si="4"/>
        <v>34.96</v>
      </c>
      <c r="P24" s="144">
        <f t="shared" si="4"/>
        <v>53.91</v>
      </c>
      <c r="Q24" s="144">
        <f t="shared" si="4"/>
        <v>44.74</v>
      </c>
      <c r="R24" s="144">
        <f t="shared" si="4"/>
        <v>29.88</v>
      </c>
      <c r="S24" s="144">
        <f t="shared" si="4"/>
        <v>28.12</v>
      </c>
      <c r="T24" s="144">
        <f t="shared" si="4"/>
        <v>27.29</v>
      </c>
      <c r="U24" s="144">
        <f t="shared" si="4"/>
        <v>30.18</v>
      </c>
      <c r="V24" s="144">
        <f t="shared" si="4"/>
        <v>64.48</v>
      </c>
      <c r="W24" s="144">
        <f t="shared" si="4"/>
        <v>39.46</v>
      </c>
      <c r="X24" s="144">
        <f t="shared" si="4"/>
        <v>63.83</v>
      </c>
      <c r="Y24" s="144">
        <f t="shared" si="4"/>
        <v>304.47000000000003</v>
      </c>
      <c r="Z24" s="144">
        <f t="shared" si="4"/>
        <v>48.86</v>
      </c>
      <c r="AA24" s="144">
        <f t="shared" si="4"/>
        <v>-1210.6099999999999</v>
      </c>
      <c r="AB24" s="47"/>
      <c r="AC24" s="47"/>
      <c r="AD24" s="47"/>
      <c r="AE24" s="47"/>
      <c r="AF24" s="47"/>
      <c r="AG24" s="47"/>
      <c r="AH24" s="47"/>
      <c r="AI24" s="47"/>
    </row>
    <row r="25" spans="2:35" s="123" customFormat="1" x14ac:dyDescent="0.25">
      <c r="C25" s="123" t="s">
        <v>743</v>
      </c>
      <c r="K25" s="47"/>
      <c r="L25" s="47"/>
      <c r="M25" s="47"/>
      <c r="N25" s="47"/>
      <c r="O25" s="47"/>
      <c r="P25" s="47"/>
      <c r="Q25" s="47"/>
      <c r="R25" s="47"/>
      <c r="S25" s="47"/>
      <c r="T25" s="47"/>
      <c r="U25" s="47"/>
      <c r="V25" s="47"/>
      <c r="W25" s="47"/>
      <c r="AB25" s="155"/>
      <c r="AC25" s="155"/>
      <c r="AD25" s="155"/>
      <c r="AE25" s="155"/>
      <c r="AF25" s="155">
        <f>'CI Facility'!$H$83</f>
        <v>31.964285714285715</v>
      </c>
      <c r="AG25" s="155">
        <f>'CI Facility'!$H$83</f>
        <v>31.964285714285715</v>
      </c>
      <c r="AH25" s="155">
        <f>'CI Facility'!$H$83</f>
        <v>31.964285714285715</v>
      </c>
      <c r="AI25" s="155">
        <f>'CI Facility'!$H$83</f>
        <v>31.964285714285715</v>
      </c>
    </row>
    <row r="26" spans="2:35" s="123" customFormat="1" x14ac:dyDescent="0.25">
      <c r="C26" s="123" t="s">
        <v>735</v>
      </c>
      <c r="K26" s="47"/>
      <c r="L26" s="47"/>
      <c r="M26" s="47"/>
      <c r="N26" s="47"/>
      <c r="O26" s="47"/>
      <c r="P26" s="47"/>
      <c r="Q26" s="47"/>
      <c r="R26" s="47"/>
      <c r="S26" s="47"/>
      <c r="T26" s="47"/>
      <c r="U26" s="47"/>
      <c r="V26" s="47"/>
      <c r="W26" s="47"/>
      <c r="X26" s="47"/>
      <c r="Y26" s="47"/>
      <c r="Z26" s="47"/>
      <c r="AA26" s="47"/>
      <c r="AB26" s="47">
        <f>'Constants Pivot'!$D27</f>
        <v>36</v>
      </c>
      <c r="AC26" s="47">
        <f>'Constants Pivot'!$D27</f>
        <v>36</v>
      </c>
      <c r="AD26" s="47">
        <f>'Constants Pivot'!$D27</f>
        <v>36</v>
      </c>
      <c r="AE26" s="47">
        <f>'Constants Pivot'!$D27</f>
        <v>36</v>
      </c>
      <c r="AF26" s="47">
        <f>'Constants Pivot'!$C27</f>
        <v>34</v>
      </c>
      <c r="AG26" s="47">
        <f>'Constants Pivot'!$C27</f>
        <v>34</v>
      </c>
      <c r="AH26" s="47">
        <f>'Constants Pivot'!$C27</f>
        <v>34</v>
      </c>
      <c r="AI26" s="47">
        <f>'Constants Pivot'!$C27</f>
        <v>34</v>
      </c>
    </row>
    <row r="27" spans="2:35" x14ac:dyDescent="0.25">
      <c r="C27" s="123" t="s">
        <v>727</v>
      </c>
      <c r="D27">
        <v>52.89</v>
      </c>
      <c r="E27" s="123">
        <v>31.78</v>
      </c>
      <c r="F27" s="123">
        <v>30.2</v>
      </c>
      <c r="G27" s="123">
        <v>30.71</v>
      </c>
      <c r="H27" s="123">
        <v>30.11</v>
      </c>
      <c r="I27" s="123">
        <v>30.23</v>
      </c>
      <c r="J27" s="123">
        <v>30.39</v>
      </c>
      <c r="K27" s="123">
        <v>30.9</v>
      </c>
      <c r="L27" s="123">
        <v>30.9</v>
      </c>
      <c r="M27" s="123">
        <v>31.53</v>
      </c>
      <c r="N27" s="123">
        <v>32.200000000000003</v>
      </c>
      <c r="O27" s="123">
        <v>34.049999999999997</v>
      </c>
      <c r="P27" s="123">
        <v>36.39</v>
      </c>
      <c r="Q27" s="123">
        <v>34.25</v>
      </c>
      <c r="R27" s="123">
        <v>33.58</v>
      </c>
      <c r="S27" s="123">
        <v>34.119999999999997</v>
      </c>
      <c r="T27" s="123">
        <v>32.11</v>
      </c>
      <c r="U27" s="139">
        <v>35.049999999999997</v>
      </c>
      <c r="V27" s="139">
        <v>32.1</v>
      </c>
      <c r="W27" s="139">
        <v>32.880000000000003</v>
      </c>
      <c r="X27" s="139">
        <v>36.33</v>
      </c>
      <c r="Y27" s="139">
        <v>38.659999999999997</v>
      </c>
      <c r="Z27" s="139"/>
      <c r="AA27" s="139"/>
    </row>
    <row r="28" spans="2:35" x14ac:dyDescent="0.25">
      <c r="K28" s="47"/>
      <c r="L28" s="47"/>
      <c r="M28" s="47"/>
      <c r="N28" s="47"/>
      <c r="O28" s="47"/>
      <c r="P28" s="47"/>
      <c r="Q28" s="47"/>
      <c r="R28" s="47"/>
      <c r="S28" s="47"/>
      <c r="T28" s="47"/>
      <c r="U28" s="47"/>
      <c r="V28" s="47"/>
      <c r="W28" s="47"/>
    </row>
  </sheetData>
  <mergeCells count="1">
    <mergeCell ref="A2:G2"/>
  </mergeCells>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01"/>
  <sheetViews>
    <sheetView zoomScale="75" zoomScaleNormal="75" workbookViewId="0">
      <pane xSplit="3" ySplit="5" topLeftCell="D6" activePane="bottomRight" state="frozen"/>
      <selection pane="topRight" activeCell="D1" sqref="D1"/>
      <selection pane="bottomLeft" activeCell="A5" sqref="A5"/>
      <selection pane="bottomRight" activeCell="J99" sqref="J99"/>
    </sheetView>
  </sheetViews>
  <sheetFormatPr defaultRowHeight="15" x14ac:dyDescent="0.25"/>
  <cols>
    <col min="1" max="1" width="19.28515625" customWidth="1"/>
    <col min="2" max="2" width="14.85546875" customWidth="1"/>
    <col min="3" max="3" width="36.85546875" customWidth="1"/>
    <col min="4" max="4" width="18.85546875" customWidth="1"/>
    <col min="5" max="5" width="22.42578125" customWidth="1"/>
    <col min="6" max="6" width="22.140625" customWidth="1"/>
    <col min="8" max="8" width="24.140625" bestFit="1" customWidth="1"/>
    <col min="9" max="9" width="18.140625" customWidth="1"/>
    <col min="10" max="10" width="21.28515625" customWidth="1"/>
  </cols>
  <sheetData>
    <row r="1" spans="1:10" s="180" customFormat="1" ht="15.75" x14ac:dyDescent="0.25">
      <c r="A1" s="179" t="s">
        <v>254</v>
      </c>
      <c r="B1" s="180" t="s">
        <v>736</v>
      </c>
      <c r="F1" s="206" t="s">
        <v>729</v>
      </c>
      <c r="G1" s="206"/>
      <c r="H1" s="206"/>
      <c r="I1" s="206"/>
      <c r="J1" s="206"/>
    </row>
    <row r="2" spans="1:10" s="180" customFormat="1" ht="15.75" x14ac:dyDescent="0.25">
      <c r="A2" s="179" t="s">
        <v>692</v>
      </c>
      <c r="B2" s="181">
        <v>44562</v>
      </c>
      <c r="F2" s="206"/>
      <c r="G2" s="206"/>
      <c r="H2" s="206"/>
      <c r="I2" s="206"/>
      <c r="J2" s="206"/>
    </row>
    <row r="4" spans="1:10" x14ac:dyDescent="0.25">
      <c r="A4" s="19" t="s">
        <v>576</v>
      </c>
      <c r="H4" s="95" t="s">
        <v>698</v>
      </c>
      <c r="J4" s="115" t="s">
        <v>726</v>
      </c>
    </row>
    <row r="5" spans="1:10" x14ac:dyDescent="0.25">
      <c r="A5" s="19" t="s">
        <v>650</v>
      </c>
      <c r="B5" s="19" t="s">
        <v>12</v>
      </c>
      <c r="C5" s="19" t="s">
        <v>577</v>
      </c>
      <c r="D5" s="19" t="s">
        <v>578</v>
      </c>
      <c r="E5" t="s">
        <v>29</v>
      </c>
    </row>
    <row r="6" spans="1:10" x14ac:dyDescent="0.25">
      <c r="A6" s="174">
        <v>35.185000000000002</v>
      </c>
      <c r="B6" s="174" t="s">
        <v>18</v>
      </c>
      <c r="C6" s="174">
        <v>4727</v>
      </c>
      <c r="D6" s="174" t="s">
        <v>591</v>
      </c>
      <c r="E6" s="124">
        <v>80000000</v>
      </c>
      <c r="H6" s="104">
        <f>IF(SUM(E6:E$6)&lt;E$37,E6,E$37-SUM(E5:E$5))</f>
        <v>80000000</v>
      </c>
      <c r="I6" s="104">
        <f>H6*A6</f>
        <v>2814800000</v>
      </c>
    </row>
    <row r="7" spans="1:10" x14ac:dyDescent="0.25">
      <c r="A7" s="174">
        <v>39.520000000000003</v>
      </c>
      <c r="B7" s="174" t="s">
        <v>15</v>
      </c>
      <c r="C7" s="174">
        <v>5078</v>
      </c>
      <c r="D7" s="174" t="s">
        <v>586</v>
      </c>
      <c r="E7" s="124">
        <v>108983768</v>
      </c>
      <c r="H7" s="104">
        <f>IF(SUM(E$6:E7)&lt;E$37,E7,E$37-SUM(E$5:E6))</f>
        <v>67386426.685716242</v>
      </c>
      <c r="I7" s="104">
        <f>H7*A7</f>
        <v>2663111582.6195059</v>
      </c>
    </row>
    <row r="8" spans="1:10" x14ac:dyDescent="0.25">
      <c r="A8" s="174">
        <v>42.885000000000005</v>
      </c>
      <c r="B8" s="174" t="s">
        <v>13</v>
      </c>
      <c r="C8" s="174">
        <v>4060</v>
      </c>
      <c r="D8" s="174" t="s">
        <v>693</v>
      </c>
      <c r="E8" s="124">
        <v>290756447</v>
      </c>
    </row>
    <row r="9" spans="1:10" x14ac:dyDescent="0.25">
      <c r="A9" s="174">
        <v>43.293333333333329</v>
      </c>
      <c r="B9" s="174" t="s">
        <v>15</v>
      </c>
      <c r="C9" s="174">
        <v>5026</v>
      </c>
      <c r="D9" s="174" t="s">
        <v>585</v>
      </c>
      <c r="E9" s="124">
        <v>105000000</v>
      </c>
      <c r="H9" s="66"/>
      <c r="I9" s="66"/>
    </row>
    <row r="10" spans="1:10" x14ac:dyDescent="0.25">
      <c r="A10" s="174">
        <v>44.656666666666666</v>
      </c>
      <c r="B10" s="174" t="s">
        <v>16</v>
      </c>
      <c r="C10" s="174">
        <v>6169</v>
      </c>
      <c r="D10" s="174" t="s">
        <v>582</v>
      </c>
      <c r="E10" s="124">
        <v>82125000</v>
      </c>
      <c r="H10" s="66"/>
      <c r="I10" s="66"/>
    </row>
    <row r="11" spans="1:10" x14ac:dyDescent="0.25">
      <c r="A11" s="174">
        <v>45.97</v>
      </c>
      <c r="B11" s="174" t="s">
        <v>15</v>
      </c>
      <c r="C11" s="174">
        <v>4805</v>
      </c>
      <c r="D11" s="174" t="s">
        <v>694</v>
      </c>
      <c r="E11" s="124">
        <v>75000000</v>
      </c>
      <c r="H11" s="66"/>
      <c r="I11" s="66"/>
    </row>
    <row r="12" spans="1:10" x14ac:dyDescent="0.25">
      <c r="A12" s="174">
        <v>46.4</v>
      </c>
      <c r="B12" s="174" t="s">
        <v>13</v>
      </c>
      <c r="C12" s="174">
        <v>4786</v>
      </c>
      <c r="D12" s="174" t="s">
        <v>819</v>
      </c>
      <c r="E12" s="124">
        <v>90000000</v>
      </c>
      <c r="H12" s="66"/>
      <c r="I12" s="66"/>
    </row>
    <row r="13" spans="1:10" x14ac:dyDescent="0.25">
      <c r="A13" s="174">
        <v>47.083333333333336</v>
      </c>
      <c r="B13" s="174" t="s">
        <v>13</v>
      </c>
      <c r="C13" s="174">
        <v>5046</v>
      </c>
      <c r="D13" s="174" t="s">
        <v>820</v>
      </c>
      <c r="E13" s="124">
        <v>80000000</v>
      </c>
      <c r="H13" s="66"/>
      <c r="I13" s="66"/>
    </row>
    <row r="14" spans="1:10" x14ac:dyDescent="0.25">
      <c r="A14" s="174">
        <v>47.199999999999996</v>
      </c>
      <c r="B14" s="174" t="s">
        <v>15</v>
      </c>
      <c r="C14" s="174">
        <v>5095</v>
      </c>
      <c r="D14" s="174" t="s">
        <v>587</v>
      </c>
      <c r="E14" s="124">
        <v>82125000</v>
      </c>
    </row>
    <row r="15" spans="1:10" x14ac:dyDescent="0.25">
      <c r="A15" s="174">
        <v>48.166666666666664</v>
      </c>
      <c r="B15" s="174" t="s">
        <v>18</v>
      </c>
      <c r="C15" s="174">
        <v>4789</v>
      </c>
      <c r="D15" s="174" t="s">
        <v>821</v>
      </c>
      <c r="E15" s="124">
        <v>81555600</v>
      </c>
    </row>
    <row r="16" spans="1:10" x14ac:dyDescent="0.25">
      <c r="A16" s="174">
        <v>48.45333333333334</v>
      </c>
      <c r="B16" s="174" t="s">
        <v>18</v>
      </c>
      <c r="C16" s="174">
        <v>4791</v>
      </c>
      <c r="D16" s="174" t="s">
        <v>593</v>
      </c>
      <c r="E16" s="124">
        <v>30000000</v>
      </c>
    </row>
    <row r="17" spans="1:5" x14ac:dyDescent="0.25">
      <c r="A17" s="174">
        <v>49.236666666666657</v>
      </c>
      <c r="B17" s="174" t="s">
        <v>18</v>
      </c>
      <c r="C17" s="174">
        <v>4793</v>
      </c>
      <c r="D17" s="174" t="s">
        <v>822</v>
      </c>
      <c r="E17" s="124">
        <v>65000000</v>
      </c>
    </row>
    <row r="18" spans="1:5" x14ac:dyDescent="0.25">
      <c r="A18" s="174">
        <v>49.457499999999996</v>
      </c>
      <c r="B18" s="174" t="s">
        <v>18</v>
      </c>
      <c r="C18" s="174">
        <v>4810</v>
      </c>
      <c r="D18" s="174" t="s">
        <v>595</v>
      </c>
      <c r="E18" s="124">
        <v>30000000</v>
      </c>
    </row>
    <row r="19" spans="1:5" x14ac:dyDescent="0.25">
      <c r="A19" s="174">
        <v>49.46</v>
      </c>
      <c r="B19" s="174" t="s">
        <v>18</v>
      </c>
      <c r="C19" s="174">
        <v>4736</v>
      </c>
      <c r="D19" s="174" t="s">
        <v>823</v>
      </c>
      <c r="E19" s="124">
        <v>90000000</v>
      </c>
    </row>
    <row r="20" spans="1:5" x14ac:dyDescent="0.25">
      <c r="A20" s="174">
        <v>49.543333333333329</v>
      </c>
      <c r="B20" s="174" t="s">
        <v>13</v>
      </c>
      <c r="C20" s="174">
        <v>4783</v>
      </c>
      <c r="D20" s="174" t="s">
        <v>824</v>
      </c>
      <c r="E20" s="124">
        <v>60000000</v>
      </c>
    </row>
    <row r="21" spans="1:5" x14ac:dyDescent="0.25">
      <c r="A21" s="174">
        <v>50.2</v>
      </c>
      <c r="B21" s="174" t="s">
        <v>15</v>
      </c>
      <c r="C21" s="174">
        <v>5934</v>
      </c>
      <c r="D21" s="174" t="s">
        <v>588</v>
      </c>
      <c r="E21" s="124">
        <v>82125000</v>
      </c>
    </row>
    <row r="22" spans="1:5" x14ac:dyDescent="0.25">
      <c r="A22" s="174">
        <v>52.24</v>
      </c>
      <c r="B22" s="174" t="s">
        <v>752</v>
      </c>
      <c r="C22" s="174">
        <v>4766</v>
      </c>
      <c r="D22" s="174" t="s">
        <v>580</v>
      </c>
      <c r="E22" s="124">
        <v>5000000</v>
      </c>
    </row>
    <row r="23" spans="1:5" x14ac:dyDescent="0.25">
      <c r="A23" s="174">
        <v>52.64</v>
      </c>
      <c r="B23" s="174" t="s">
        <v>752</v>
      </c>
      <c r="C23" s="174">
        <v>4735</v>
      </c>
      <c r="D23" s="174" t="s">
        <v>579</v>
      </c>
      <c r="E23" s="124">
        <v>65000000</v>
      </c>
    </row>
    <row r="24" spans="1:5" x14ac:dyDescent="0.25">
      <c r="A24" s="174">
        <v>53.18</v>
      </c>
      <c r="B24" s="174" t="s">
        <v>15</v>
      </c>
      <c r="C24" s="174">
        <v>4754</v>
      </c>
      <c r="D24" s="174" t="s">
        <v>583</v>
      </c>
      <c r="E24" s="124">
        <v>81555600</v>
      </c>
    </row>
    <row r="25" spans="1:5" x14ac:dyDescent="0.25">
      <c r="A25" s="174">
        <v>53.97</v>
      </c>
      <c r="B25" s="174" t="s">
        <v>15</v>
      </c>
      <c r="C25" s="174">
        <v>4831</v>
      </c>
      <c r="D25" s="174" t="s">
        <v>584</v>
      </c>
      <c r="E25" s="124">
        <v>30000000</v>
      </c>
    </row>
    <row r="26" spans="1:5" x14ac:dyDescent="0.25">
      <c r="A26" s="174">
        <v>54.25</v>
      </c>
      <c r="B26" s="174" t="s">
        <v>17</v>
      </c>
      <c r="C26" s="174">
        <v>3697</v>
      </c>
      <c r="D26" s="174" t="s">
        <v>589</v>
      </c>
      <c r="E26" s="124">
        <v>40000000</v>
      </c>
    </row>
    <row r="27" spans="1:5" x14ac:dyDescent="0.25">
      <c r="A27" s="174">
        <v>54.88</v>
      </c>
      <c r="B27" s="174" t="s">
        <v>14</v>
      </c>
      <c r="C27" s="174">
        <v>4063</v>
      </c>
      <c r="D27" s="174" t="s">
        <v>818</v>
      </c>
      <c r="E27" s="124">
        <v>65000000</v>
      </c>
    </row>
    <row r="28" spans="1:5" x14ac:dyDescent="0.25">
      <c r="A28" s="174">
        <v>55.8</v>
      </c>
      <c r="B28" s="174" t="s">
        <v>18</v>
      </c>
      <c r="C28" s="174">
        <v>4803</v>
      </c>
      <c r="D28" s="174" t="s">
        <v>594</v>
      </c>
      <c r="E28" s="124">
        <v>75000000</v>
      </c>
    </row>
    <row r="29" spans="1:5" s="123" customFormat="1" x14ac:dyDescent="0.25">
      <c r="A29" s="174">
        <v>56.6</v>
      </c>
      <c r="B29" s="174" t="s">
        <v>18</v>
      </c>
      <c r="C29" s="174">
        <v>4061</v>
      </c>
      <c r="D29" s="174" t="s">
        <v>590</v>
      </c>
      <c r="E29" s="124">
        <v>70000000</v>
      </c>
    </row>
    <row r="30" spans="1:5" s="174" customFormat="1" x14ac:dyDescent="0.25">
      <c r="A30" s="174">
        <v>58.41</v>
      </c>
      <c r="B30" s="174" t="s">
        <v>18</v>
      </c>
      <c r="C30" s="174">
        <v>4764</v>
      </c>
      <c r="D30" s="174" t="s">
        <v>592</v>
      </c>
      <c r="E30" s="124">
        <v>81555600</v>
      </c>
    </row>
    <row r="31" spans="1:5" s="174" customFormat="1" x14ac:dyDescent="0.25">
      <c r="A31" s="174">
        <v>58.866666666666667</v>
      </c>
      <c r="B31" s="174" t="s">
        <v>18</v>
      </c>
      <c r="C31" s="174">
        <v>4764</v>
      </c>
      <c r="D31" s="174" t="s">
        <v>740</v>
      </c>
      <c r="E31" s="124">
        <v>47000000</v>
      </c>
    </row>
    <row r="32" spans="1:5" s="174" customFormat="1" x14ac:dyDescent="0.25">
      <c r="A32" s="174">
        <v>59.95</v>
      </c>
      <c r="B32" s="174" t="s">
        <v>18</v>
      </c>
      <c r="C32" s="174">
        <v>4764</v>
      </c>
      <c r="D32" s="174" t="s">
        <v>825</v>
      </c>
      <c r="E32" s="124">
        <v>148000000</v>
      </c>
    </row>
    <row r="33" spans="1:10" s="174" customFormat="1" x14ac:dyDescent="0.25">
      <c r="A33" s="174">
        <v>60.709999999999994</v>
      </c>
      <c r="B33" s="174" t="s">
        <v>14</v>
      </c>
      <c r="C33" s="174">
        <v>4804</v>
      </c>
      <c r="D33" s="174" t="s">
        <v>581</v>
      </c>
      <c r="E33" s="124">
        <v>75000000</v>
      </c>
    </row>
    <row r="34" spans="1:10" s="174" customFormat="1" x14ac:dyDescent="0.25">
      <c r="A34" s="174">
        <v>61.605000000000004</v>
      </c>
      <c r="B34" s="174" t="s">
        <v>18</v>
      </c>
      <c r="C34" s="174">
        <v>6274</v>
      </c>
      <c r="D34" s="174" t="s">
        <v>695</v>
      </c>
      <c r="E34" s="124">
        <v>60000000</v>
      </c>
    </row>
    <row r="35" spans="1:10" s="174" customFormat="1" x14ac:dyDescent="0.25">
      <c r="A35" s="174" t="s">
        <v>575</v>
      </c>
      <c r="B35"/>
      <c r="C35"/>
      <c r="D35"/>
      <c r="E35" s="124">
        <v>2275782015</v>
      </c>
    </row>
    <row r="36" spans="1:10" s="174" customFormat="1" ht="15.75" thickBot="1" x14ac:dyDescent="0.3">
      <c r="E36" s="124"/>
    </row>
    <row r="37" spans="1:10" s="123" customFormat="1" ht="15.75" thickBot="1" x14ac:dyDescent="0.3">
      <c r="D37" s="38" t="s">
        <v>854</v>
      </c>
      <c r="E37" s="104">
        <f>'Table 1 - Volumes'!H6*1000000</f>
        <v>147386426.68571624</v>
      </c>
      <c r="H37" s="128">
        <f>SUM(I6:I7)/SUM(H6:H7)</f>
        <v>37.167001777582215</v>
      </c>
      <c r="I37"/>
      <c r="J37" s="138">
        <f>'Constants Pivot'!R7</f>
        <v>50</v>
      </c>
    </row>
    <row r="38" spans="1:10" s="123" customFormat="1" x14ac:dyDescent="0.25"/>
    <row r="39" spans="1:10" s="123" customFormat="1" x14ac:dyDescent="0.25">
      <c r="A39" s="19" t="s">
        <v>692</v>
      </c>
      <c r="B39" s="121">
        <v>44562</v>
      </c>
      <c r="F39" s="124"/>
    </row>
    <row r="40" spans="1:10" x14ac:dyDescent="0.25">
      <c r="A40" s="19" t="s">
        <v>254</v>
      </c>
      <c r="B40" s="174" t="s">
        <v>737</v>
      </c>
      <c r="C40" s="123"/>
      <c r="D40" s="123"/>
      <c r="E40" s="123"/>
      <c r="F40" s="123"/>
    </row>
    <row r="41" spans="1:10" x14ac:dyDescent="0.25">
      <c r="A41" s="123"/>
      <c r="B41" s="123"/>
      <c r="C41" s="123"/>
      <c r="D41" s="123"/>
      <c r="E41" s="123"/>
      <c r="F41" s="123"/>
    </row>
    <row r="42" spans="1:10" x14ac:dyDescent="0.25">
      <c r="A42" s="19" t="s">
        <v>576</v>
      </c>
    </row>
    <row r="43" spans="1:10" x14ac:dyDescent="0.25">
      <c r="A43" s="19" t="s">
        <v>650</v>
      </c>
      <c r="B43" s="19" t="s">
        <v>12</v>
      </c>
      <c r="C43" s="19" t="s">
        <v>577</v>
      </c>
      <c r="D43" s="19" t="s">
        <v>578</v>
      </c>
      <c r="E43" t="s">
        <v>29</v>
      </c>
    </row>
    <row r="44" spans="1:10" x14ac:dyDescent="0.25">
      <c r="A44" s="174">
        <v>16.13</v>
      </c>
      <c r="B44" s="174" t="s">
        <v>826</v>
      </c>
      <c r="C44" s="174">
        <v>3862</v>
      </c>
      <c r="D44" s="174" t="s">
        <v>827</v>
      </c>
      <c r="E44" s="124">
        <v>750000</v>
      </c>
      <c r="H44" s="104">
        <f>IF(SUM(E44:E$44)&lt;E$66,E44,E$83-SUM(E43:E$43))</f>
        <v>750000</v>
      </c>
      <c r="I44" s="104">
        <f>H44*A44</f>
        <v>12097500</v>
      </c>
    </row>
    <row r="45" spans="1:10" x14ac:dyDescent="0.25">
      <c r="A45" s="174">
        <v>20.99</v>
      </c>
      <c r="E45" s="124">
        <v>51038199</v>
      </c>
      <c r="H45" s="104">
        <f>IF(SUM(E$44:E45)&lt;E$66,E45,E$83-SUM(E$43:E44))</f>
        <v>51038199</v>
      </c>
      <c r="I45" s="104">
        <f>H45*A45</f>
        <v>1071291797.0099999</v>
      </c>
    </row>
    <row r="46" spans="1:10" x14ac:dyDescent="0.25">
      <c r="A46" s="174">
        <v>24.936666666666664</v>
      </c>
      <c r="B46" s="174" t="s">
        <v>17</v>
      </c>
      <c r="C46" s="174">
        <v>6129</v>
      </c>
      <c r="D46" s="174" t="s">
        <v>681</v>
      </c>
      <c r="E46" s="124">
        <v>17000000</v>
      </c>
      <c r="H46" s="104">
        <f>IF(SUM(E$44:E46)&lt;E$66,E46,E$83-SUM(E$43:E45))</f>
        <v>17000000</v>
      </c>
      <c r="I46" s="104">
        <f>H46*A46</f>
        <v>423923333.33333331</v>
      </c>
    </row>
    <row r="47" spans="1:10" x14ac:dyDescent="0.25">
      <c r="A47" s="174">
        <v>27.48</v>
      </c>
      <c r="B47" s="174" t="s">
        <v>828</v>
      </c>
      <c r="C47" s="174">
        <v>5953</v>
      </c>
      <c r="D47" s="174" t="s">
        <v>829</v>
      </c>
      <c r="E47" s="124">
        <v>5000000</v>
      </c>
      <c r="H47" s="104">
        <f>IF(SUM(E$44:E47)&lt;E$66,E47,E$83-SUM(E$43:E46))</f>
        <v>5000000</v>
      </c>
      <c r="I47" s="104">
        <f>H47*A47</f>
        <v>137400000</v>
      </c>
    </row>
    <row r="48" spans="1:10" x14ac:dyDescent="0.25">
      <c r="A48" s="174">
        <v>28.97</v>
      </c>
      <c r="B48" s="174" t="s">
        <v>685</v>
      </c>
      <c r="C48" s="174">
        <v>5998</v>
      </c>
      <c r="D48" s="174" t="s">
        <v>830</v>
      </c>
      <c r="E48" s="124">
        <v>14000000</v>
      </c>
      <c r="H48" s="104"/>
      <c r="I48" s="104"/>
    </row>
    <row r="49" spans="1:9" x14ac:dyDescent="0.25">
      <c r="A49" s="174">
        <v>29.704999999999998</v>
      </c>
      <c r="B49" s="174" t="s">
        <v>685</v>
      </c>
      <c r="C49" s="174">
        <v>4664</v>
      </c>
      <c r="D49" s="174" t="s">
        <v>686</v>
      </c>
      <c r="E49" s="124">
        <v>110000000</v>
      </c>
      <c r="H49" s="104"/>
      <c r="I49" s="104"/>
    </row>
    <row r="50" spans="1:9" x14ac:dyDescent="0.25">
      <c r="A50" s="174">
        <v>30.58</v>
      </c>
      <c r="B50" s="174" t="s">
        <v>682</v>
      </c>
      <c r="C50" s="174">
        <v>5998</v>
      </c>
      <c r="D50" s="174" t="s">
        <v>831</v>
      </c>
      <c r="E50" s="124">
        <v>13000000</v>
      </c>
      <c r="H50" s="66"/>
      <c r="I50" s="66"/>
    </row>
    <row r="51" spans="1:9" x14ac:dyDescent="0.25">
      <c r="A51" s="174">
        <v>30.77</v>
      </c>
      <c r="B51" s="174" t="s">
        <v>832</v>
      </c>
      <c r="C51" s="174">
        <v>5998</v>
      </c>
      <c r="D51" s="174" t="s">
        <v>833</v>
      </c>
      <c r="E51" s="124">
        <v>12000000</v>
      </c>
      <c r="H51" s="66"/>
      <c r="I51" s="66"/>
    </row>
    <row r="52" spans="1:9" x14ac:dyDescent="0.25">
      <c r="A52" s="174">
        <v>31.013333333333335</v>
      </c>
      <c r="B52" s="174" t="s">
        <v>14</v>
      </c>
      <c r="C52" s="174">
        <v>4305</v>
      </c>
      <c r="D52" s="174" t="s">
        <v>683</v>
      </c>
      <c r="E52" s="124">
        <v>130000000</v>
      </c>
    </row>
    <row r="53" spans="1:9" x14ac:dyDescent="0.25">
      <c r="A53" s="174">
        <v>32.571428571428569</v>
      </c>
      <c r="B53" s="174" t="s">
        <v>754</v>
      </c>
      <c r="C53" s="174">
        <v>3652</v>
      </c>
      <c r="D53" s="174" t="s">
        <v>755</v>
      </c>
      <c r="E53" s="124">
        <v>60000000</v>
      </c>
    </row>
    <row r="54" spans="1:9" x14ac:dyDescent="0.25">
      <c r="A54" s="174">
        <v>34.43333333333333</v>
      </c>
      <c r="B54" s="174" t="s">
        <v>13</v>
      </c>
      <c r="C54" s="174">
        <v>6130</v>
      </c>
      <c r="D54" s="174" t="s">
        <v>687</v>
      </c>
      <c r="E54" s="124">
        <v>60000000</v>
      </c>
    </row>
    <row r="55" spans="1:9" s="174" customFormat="1" x14ac:dyDescent="0.25">
      <c r="A55" s="174">
        <v>35.166666666666664</v>
      </c>
      <c r="B55" s="174" t="s">
        <v>13</v>
      </c>
      <c r="C55" s="174">
        <v>3514</v>
      </c>
      <c r="D55" s="174" t="s">
        <v>697</v>
      </c>
      <c r="E55" s="124">
        <v>55300000</v>
      </c>
    </row>
    <row r="56" spans="1:9" s="174" customFormat="1" x14ac:dyDescent="0.25">
      <c r="A56" s="174">
        <v>36.383333333333333</v>
      </c>
      <c r="B56" s="174" t="s">
        <v>754</v>
      </c>
      <c r="C56" s="174">
        <v>3723</v>
      </c>
      <c r="D56" s="174" t="s">
        <v>834</v>
      </c>
      <c r="E56" s="124">
        <v>60000000</v>
      </c>
    </row>
    <row r="57" spans="1:9" s="174" customFormat="1" x14ac:dyDescent="0.25">
      <c r="A57" s="174">
        <v>37.366666666666667</v>
      </c>
      <c r="B57" s="174" t="s">
        <v>684</v>
      </c>
      <c r="C57" s="174">
        <v>6326</v>
      </c>
      <c r="D57" s="174" t="s">
        <v>688</v>
      </c>
      <c r="E57" s="124">
        <v>84000000</v>
      </c>
    </row>
    <row r="58" spans="1:9" s="174" customFormat="1" x14ac:dyDescent="0.25">
      <c r="A58" s="174">
        <v>46.41</v>
      </c>
      <c r="B58" s="174" t="s">
        <v>16</v>
      </c>
      <c r="C58" s="174">
        <v>4888</v>
      </c>
      <c r="D58" s="174" t="s">
        <v>835</v>
      </c>
      <c r="E58" s="124">
        <v>94500000</v>
      </c>
    </row>
    <row r="59" spans="1:9" s="174" customFormat="1" x14ac:dyDescent="0.25">
      <c r="A59" s="174">
        <v>46.51</v>
      </c>
      <c r="B59" s="174" t="s">
        <v>696</v>
      </c>
      <c r="C59" s="174">
        <v>6137</v>
      </c>
      <c r="D59" s="174" t="s">
        <v>689</v>
      </c>
      <c r="E59" s="124">
        <v>30000000</v>
      </c>
    </row>
    <row r="60" spans="1:9" s="174" customFormat="1" x14ac:dyDescent="0.25">
      <c r="A60" s="174">
        <v>52.81</v>
      </c>
      <c r="B60" s="174" t="s">
        <v>13</v>
      </c>
      <c r="C60" s="174">
        <v>4552</v>
      </c>
      <c r="D60" s="174" t="s">
        <v>836</v>
      </c>
      <c r="E60" s="124">
        <v>75508819</v>
      </c>
    </row>
    <row r="61" spans="1:9" s="174" customFormat="1" x14ac:dyDescent="0.25">
      <c r="A61" s="174">
        <v>53.57</v>
      </c>
      <c r="B61" s="174" t="s">
        <v>837</v>
      </c>
      <c r="C61" s="174">
        <v>4552</v>
      </c>
      <c r="D61" s="174" t="s">
        <v>838</v>
      </c>
      <c r="E61" s="124">
        <v>41601085</v>
      </c>
    </row>
    <row r="62" spans="1:9" s="174" customFormat="1" x14ac:dyDescent="0.25">
      <c r="A62" s="174">
        <v>53.643333333333338</v>
      </c>
      <c r="B62" s="174" t="s">
        <v>13</v>
      </c>
      <c r="C62" s="174">
        <v>3683</v>
      </c>
      <c r="D62" s="174" t="s">
        <v>738</v>
      </c>
      <c r="E62" s="124">
        <v>69350000</v>
      </c>
    </row>
    <row r="63" spans="1:9" s="174" customFormat="1" x14ac:dyDescent="0.25">
      <c r="A63" s="174">
        <v>55</v>
      </c>
      <c r="B63" s="174" t="s">
        <v>696</v>
      </c>
      <c r="C63" s="174">
        <v>1773</v>
      </c>
      <c r="D63" s="174" t="s">
        <v>839</v>
      </c>
      <c r="E63" s="124">
        <v>20000000</v>
      </c>
    </row>
    <row r="64" spans="1:9" s="174" customFormat="1" x14ac:dyDescent="0.25">
      <c r="A64" s="174" t="s">
        <v>575</v>
      </c>
      <c r="B64"/>
      <c r="C64"/>
      <c r="D64"/>
      <c r="E64" s="124">
        <v>1003048103</v>
      </c>
    </row>
    <row r="65" spans="1:10" s="174" customFormat="1" ht="15.75" thickBot="1" x14ac:dyDescent="0.3">
      <c r="E65" s="124"/>
    </row>
    <row r="66" spans="1:10" s="123" customFormat="1" ht="15.75" thickBot="1" x14ac:dyDescent="0.3">
      <c r="D66" s="38" t="s">
        <v>854</v>
      </c>
      <c r="E66" s="104">
        <f>'Table 1 - Volumes'!H11*1000000</f>
        <v>77547564.827939823</v>
      </c>
      <c r="H66" s="128">
        <f>SUM(I44:I48)/SUM(H44:H48)</f>
        <v>22.289643230665284</v>
      </c>
      <c r="I66"/>
      <c r="J66" s="138">
        <f>'Constants Pivot'!R9</f>
        <v>39</v>
      </c>
    </row>
    <row r="67" spans="1:10" s="123" customFormat="1" x14ac:dyDescent="0.25"/>
    <row r="68" spans="1:10" s="123" customFormat="1" x14ac:dyDescent="0.25">
      <c r="F68" s="124"/>
    </row>
    <row r="69" spans="1:10" s="123" customFormat="1" x14ac:dyDescent="0.25">
      <c r="A69" s="19" t="s">
        <v>692</v>
      </c>
      <c r="B69" s="121">
        <v>44562</v>
      </c>
      <c r="F69" s="124"/>
    </row>
    <row r="70" spans="1:10" x14ac:dyDescent="0.25">
      <c r="A70" s="19" t="s">
        <v>254</v>
      </c>
      <c r="B70" s="174" t="s">
        <v>751</v>
      </c>
      <c r="C70" s="123"/>
      <c r="D70" s="123"/>
      <c r="E70" s="123"/>
      <c r="F70" s="123"/>
    </row>
    <row r="71" spans="1:10" x14ac:dyDescent="0.25">
      <c r="A71" s="123"/>
      <c r="B71" s="123"/>
      <c r="C71" s="123"/>
      <c r="D71" s="123"/>
      <c r="E71" s="123"/>
      <c r="F71" s="123"/>
    </row>
    <row r="72" spans="1:10" x14ac:dyDescent="0.25">
      <c r="A72" s="19" t="s">
        <v>576</v>
      </c>
    </row>
    <row r="73" spans="1:10" x14ac:dyDescent="0.25">
      <c r="A73" s="19" t="s">
        <v>650</v>
      </c>
      <c r="B73" s="19" t="s">
        <v>12</v>
      </c>
      <c r="C73" s="19" t="s">
        <v>577</v>
      </c>
      <c r="D73" s="19" t="s">
        <v>578</v>
      </c>
      <c r="E73" t="s">
        <v>29</v>
      </c>
    </row>
    <row r="74" spans="1:10" x14ac:dyDescent="0.25">
      <c r="A74" s="174">
        <v>31.964285714285715</v>
      </c>
      <c r="B74" s="174" t="s">
        <v>690</v>
      </c>
      <c r="C74" s="174">
        <v>6268</v>
      </c>
      <c r="D74" s="174" t="s">
        <v>691</v>
      </c>
      <c r="E74" s="124">
        <v>34675000</v>
      </c>
      <c r="H74" s="104">
        <f>IF(SUM(E$74:E74)&lt;E$83,E74,E$83-SUM(E$73:E73))</f>
        <v>15509512.965587966</v>
      </c>
      <c r="I74" s="104">
        <f>H74*A74</f>
        <v>495750503.7214725</v>
      </c>
    </row>
    <row r="75" spans="1:10" x14ac:dyDescent="0.25">
      <c r="A75" s="174">
        <v>34.76</v>
      </c>
      <c r="B75" s="174" t="s">
        <v>756</v>
      </c>
      <c r="C75" s="174">
        <v>4137</v>
      </c>
      <c r="D75" s="174" t="s">
        <v>756</v>
      </c>
      <c r="E75" s="124">
        <v>116000000</v>
      </c>
      <c r="H75" s="104"/>
      <c r="I75" s="104"/>
    </row>
    <row r="76" spans="1:10" x14ac:dyDescent="0.25">
      <c r="A76" s="174">
        <v>43.815714285714286</v>
      </c>
      <c r="B76" s="174" t="s">
        <v>16</v>
      </c>
      <c r="C76" s="174">
        <v>1166</v>
      </c>
      <c r="D76" s="174" t="s">
        <v>759</v>
      </c>
      <c r="E76" s="124">
        <v>184000000</v>
      </c>
    </row>
    <row r="77" spans="1:10" s="123" customFormat="1" x14ac:dyDescent="0.25">
      <c r="A77" s="174">
        <v>54.82</v>
      </c>
      <c r="B77" s="174" t="s">
        <v>684</v>
      </c>
      <c r="C77" s="174">
        <v>4320</v>
      </c>
      <c r="D77" s="174" t="s">
        <v>758</v>
      </c>
      <c r="E77" s="124">
        <v>34675000</v>
      </c>
    </row>
    <row r="78" spans="1:10" s="123" customFormat="1" x14ac:dyDescent="0.25">
      <c r="A78" s="174">
        <v>55.25333333333333</v>
      </c>
      <c r="B78" s="174" t="s">
        <v>757</v>
      </c>
      <c r="C78" s="174">
        <v>4528</v>
      </c>
      <c r="D78" s="174" t="s">
        <v>740</v>
      </c>
      <c r="E78" s="124">
        <v>180000000</v>
      </c>
    </row>
    <row r="79" spans="1:10" s="123" customFormat="1" x14ac:dyDescent="0.25">
      <c r="A79" s="174">
        <v>58.38</v>
      </c>
      <c r="B79" s="174" t="s">
        <v>840</v>
      </c>
      <c r="C79" s="174">
        <v>3994</v>
      </c>
      <c r="D79" s="174" t="s">
        <v>841</v>
      </c>
      <c r="E79" s="124">
        <v>70000000</v>
      </c>
    </row>
    <row r="80" spans="1:10" s="123" customFormat="1" x14ac:dyDescent="0.25">
      <c r="A80" s="174">
        <v>65</v>
      </c>
      <c r="B80" s="174" t="s">
        <v>696</v>
      </c>
      <c r="C80" s="174">
        <v>1773</v>
      </c>
      <c r="D80" s="174" t="s">
        <v>839</v>
      </c>
      <c r="E80" s="124">
        <v>20000000</v>
      </c>
    </row>
    <row r="81" spans="1:10" s="123" customFormat="1" x14ac:dyDescent="0.25">
      <c r="A81" s="174" t="s">
        <v>575</v>
      </c>
      <c r="B81"/>
      <c r="C81"/>
      <c r="D81"/>
      <c r="E81" s="124">
        <v>639350000</v>
      </c>
    </row>
    <row r="82" spans="1:10" s="123" customFormat="1" ht="15.75" thickBot="1" x14ac:dyDescent="0.3"/>
    <row r="83" spans="1:10" ht="15.75" thickBot="1" x14ac:dyDescent="0.3">
      <c r="D83" s="38" t="s">
        <v>854</v>
      </c>
      <c r="E83" s="104">
        <f>'Table 1 - Volumes'!H13*1000000</f>
        <v>15509512.965587966</v>
      </c>
      <c r="H83" s="128">
        <f>SUM(I74:I75)/SUM(H74:H75)</f>
        <v>31.964285714285715</v>
      </c>
      <c r="J83" s="158">
        <f>'Constants Pivot'!R10</f>
        <v>34</v>
      </c>
    </row>
    <row r="86" spans="1:10" x14ac:dyDescent="0.25">
      <c r="A86" s="19" t="s">
        <v>692</v>
      </c>
      <c r="B86" s="121">
        <v>44562</v>
      </c>
      <c r="C86" s="123"/>
      <c r="D86" s="123"/>
      <c r="E86" s="123"/>
      <c r="F86" s="124"/>
    </row>
    <row r="87" spans="1:10" x14ac:dyDescent="0.25">
      <c r="A87" s="19" t="s">
        <v>254</v>
      </c>
      <c r="B87" s="174" t="s">
        <v>742</v>
      </c>
      <c r="C87" s="123"/>
      <c r="D87" s="123"/>
      <c r="E87" s="123"/>
      <c r="F87" s="123"/>
    </row>
    <row r="88" spans="1:10" x14ac:dyDescent="0.25">
      <c r="A88" s="123"/>
      <c r="B88" s="123"/>
      <c r="C88" s="123"/>
      <c r="D88" s="123"/>
      <c r="E88" s="123"/>
      <c r="F88" s="123"/>
    </row>
    <row r="89" spans="1:10" x14ac:dyDescent="0.25">
      <c r="A89" s="19" t="s">
        <v>576</v>
      </c>
    </row>
    <row r="90" spans="1:10" x14ac:dyDescent="0.25">
      <c r="A90" s="19" t="s">
        <v>650</v>
      </c>
      <c r="B90" s="19" t="s">
        <v>12</v>
      </c>
      <c r="C90" s="19" t="s">
        <v>577</v>
      </c>
      <c r="D90" s="19" t="s">
        <v>578</v>
      </c>
      <c r="E90" t="s">
        <v>29</v>
      </c>
      <c r="F90" s="176" t="s">
        <v>853</v>
      </c>
    </row>
    <row r="91" spans="1:10" x14ac:dyDescent="0.25">
      <c r="A91" s="174">
        <v>-150</v>
      </c>
      <c r="B91" s="174" t="s">
        <v>842</v>
      </c>
      <c r="C91" s="174">
        <v>5504</v>
      </c>
      <c r="D91" s="174" t="s">
        <v>843</v>
      </c>
      <c r="E91" s="124">
        <v>2680560</v>
      </c>
      <c r="F91" s="124">
        <f>E91/F$101</f>
        <v>21692.643845593593</v>
      </c>
      <c r="H91" s="104">
        <f>IF(SUM(F$91:F91)&lt;E$101,F91,E$101-SUM(F$90:F90))</f>
        <v>21692.643845593593</v>
      </c>
      <c r="I91" s="104">
        <f>H91*A91</f>
        <v>-3253896.5768390391</v>
      </c>
    </row>
    <row r="92" spans="1:10" x14ac:dyDescent="0.25">
      <c r="A92" s="174">
        <v>36.549999999999997</v>
      </c>
      <c r="B92" s="174" t="s">
        <v>844</v>
      </c>
      <c r="C92" s="174">
        <v>6459</v>
      </c>
      <c r="D92" s="174" t="s">
        <v>739</v>
      </c>
      <c r="E92" s="124">
        <v>1730000000</v>
      </c>
      <c r="F92" s="124">
        <f t="shared" ref="F92:F98" si="0">E92/F$101</f>
        <v>14000161.851582101</v>
      </c>
      <c r="H92" s="104">
        <f>IF(SUM(F$91:F92)&lt;E$101,F92,E$101-SUM(F$90:F91))</f>
        <v>4342666.1241544075</v>
      </c>
      <c r="I92" s="104">
        <f>H92*A92</f>
        <v>158724446.8378436</v>
      </c>
    </row>
    <row r="93" spans="1:10" x14ac:dyDescent="0.25">
      <c r="A93" s="174">
        <v>45.3</v>
      </c>
      <c r="B93" s="174" t="s">
        <v>690</v>
      </c>
      <c r="C93" s="174" t="s">
        <v>740</v>
      </c>
      <c r="D93" s="174" t="s">
        <v>741</v>
      </c>
      <c r="E93" s="124">
        <v>525600000</v>
      </c>
      <c r="F93" s="124">
        <f t="shared" si="0"/>
        <v>4253459.5775673706</v>
      </c>
    </row>
    <row r="94" spans="1:10" x14ac:dyDescent="0.25">
      <c r="A94" s="174">
        <v>45.35</v>
      </c>
      <c r="B94" s="174" t="s">
        <v>845</v>
      </c>
      <c r="C94" s="174">
        <v>6222</v>
      </c>
      <c r="D94" s="174" t="s">
        <v>846</v>
      </c>
      <c r="E94" s="124">
        <v>1523953577</v>
      </c>
      <c r="F94" s="124">
        <f t="shared" si="0"/>
        <v>12332714.874160396</v>
      </c>
    </row>
    <row r="95" spans="1:10" x14ac:dyDescent="0.25">
      <c r="A95" s="174">
        <v>45.48</v>
      </c>
      <c r="B95" s="174" t="s">
        <v>682</v>
      </c>
      <c r="C95" s="174">
        <v>5504</v>
      </c>
      <c r="D95" s="174" t="s">
        <v>740</v>
      </c>
      <c r="E95" s="124">
        <v>1229728258</v>
      </c>
      <c r="F95" s="124">
        <f t="shared" si="0"/>
        <v>9951673.2054705843</v>
      </c>
    </row>
    <row r="96" spans="1:10" x14ac:dyDescent="0.25">
      <c r="A96" s="174">
        <v>54.93</v>
      </c>
      <c r="B96" s="174" t="s">
        <v>847</v>
      </c>
      <c r="C96" s="174">
        <v>6523</v>
      </c>
      <c r="D96" s="174" t="s">
        <v>848</v>
      </c>
      <c r="E96" s="124">
        <v>2102000000</v>
      </c>
      <c r="F96" s="124">
        <f t="shared" si="0"/>
        <v>17010601.2786275</v>
      </c>
    </row>
    <row r="97" spans="1:10" ht="15.75" thickBot="1" x14ac:dyDescent="0.3">
      <c r="A97" s="174">
        <v>57.84</v>
      </c>
      <c r="B97" s="174" t="s">
        <v>849</v>
      </c>
      <c r="C97" s="174">
        <v>6320</v>
      </c>
      <c r="D97" s="174" t="s">
        <v>850</v>
      </c>
      <c r="E97" s="124">
        <v>1178801445</v>
      </c>
      <c r="F97" s="124">
        <f t="shared" si="0"/>
        <v>9539543.9427045397</v>
      </c>
    </row>
    <row r="98" spans="1:10" ht="15.75" thickBot="1" x14ac:dyDescent="0.3">
      <c r="A98" s="174">
        <v>68.300000000000011</v>
      </c>
      <c r="B98" s="174" t="s">
        <v>847</v>
      </c>
      <c r="C98" s="174">
        <v>6523</v>
      </c>
      <c r="D98" s="174" t="s">
        <v>851</v>
      </c>
      <c r="E98" s="124">
        <v>2147483647</v>
      </c>
      <c r="F98" s="124">
        <f t="shared" si="0"/>
        <v>17378681.28995711</v>
      </c>
      <c r="H98" s="128">
        <f>SUM(I91:I92)/SUM(H91:H92)</f>
        <v>35.622770382887211</v>
      </c>
      <c r="J98" s="138">
        <f>+'Constants Pivot'!C26</f>
        <v>0</v>
      </c>
    </row>
    <row r="99" spans="1:10" x14ac:dyDescent="0.25">
      <c r="A99" s="174" t="s">
        <v>575</v>
      </c>
      <c r="E99" s="124">
        <v>10440247487</v>
      </c>
    </row>
    <row r="100" spans="1:10" ht="15.75" thickBot="1" x14ac:dyDescent="0.3">
      <c r="F100" t="s">
        <v>852</v>
      </c>
    </row>
    <row r="101" spans="1:10" ht="15.75" thickBot="1" x14ac:dyDescent="0.3">
      <c r="D101" s="38" t="s">
        <v>854</v>
      </c>
      <c r="E101" s="104">
        <f>'Table 1 - Volumes'!I23*1000000</f>
        <v>4364358.7680000011</v>
      </c>
      <c r="F101" s="177">
        <v>123.57</v>
      </c>
    </row>
  </sheetData>
  <mergeCells count="1">
    <mergeCell ref="F1:J2"/>
  </mergeCells>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2"/>
  <sheetViews>
    <sheetView zoomScale="75" zoomScaleNormal="75" workbookViewId="0">
      <pane xSplit="5" ySplit="3" topLeftCell="F70" activePane="bottomRight" state="frozen"/>
      <selection pane="topRight" activeCell="E1" sqref="E1"/>
      <selection pane="bottomLeft" activeCell="A4" sqref="A4"/>
      <selection pane="bottomRight" activeCell="D101" sqref="D101:D102"/>
    </sheetView>
  </sheetViews>
  <sheetFormatPr defaultColWidth="8.85546875" defaultRowHeight="15" x14ac:dyDescent="0.25"/>
  <cols>
    <col min="1" max="1" width="26.42578125" style="4" bestFit="1" customWidth="1"/>
    <col min="2" max="16" width="14.7109375" style="4" customWidth="1"/>
    <col min="17" max="18" width="9.5703125" style="4" customWidth="1"/>
    <col min="19" max="19" width="9.7109375" style="4" customWidth="1"/>
    <col min="20" max="20" width="8.85546875" style="4"/>
    <col min="21" max="21" width="11" style="4" customWidth="1"/>
    <col min="22" max="22" width="16.42578125" style="4" customWidth="1"/>
    <col min="23" max="23" width="24.42578125" style="4" customWidth="1"/>
    <col min="24" max="16384" width="8.85546875" style="4"/>
  </cols>
  <sheetData>
    <row r="1" spans="1:25" x14ac:dyDescent="0.25">
      <c r="A1" s="73" t="s">
        <v>247</v>
      </c>
      <c r="B1" s="74">
        <v>0.04</v>
      </c>
      <c r="C1" s="74"/>
      <c r="D1" s="74"/>
      <c r="E1" s="74">
        <v>0.06</v>
      </c>
      <c r="F1" s="74"/>
      <c r="G1" s="74"/>
      <c r="H1" s="74">
        <v>0.05</v>
      </c>
      <c r="K1"/>
      <c r="L1"/>
      <c r="M1"/>
      <c r="N1"/>
      <c r="O1"/>
      <c r="P1"/>
      <c r="Q1"/>
    </row>
    <row r="2" spans="1:25" x14ac:dyDescent="0.25">
      <c r="E2" s="4">
        <v>10</v>
      </c>
      <c r="K2"/>
      <c r="L2" s="207" t="s">
        <v>634</v>
      </c>
      <c r="M2" s="207"/>
      <c r="N2" s="207"/>
      <c r="O2"/>
      <c r="P2"/>
      <c r="Q2"/>
    </row>
    <row r="3" spans="1:25" ht="30" x14ac:dyDescent="0.25">
      <c r="A3" s="13" t="s">
        <v>217</v>
      </c>
      <c r="B3" s="14" t="s">
        <v>284</v>
      </c>
      <c r="C3" s="14" t="s">
        <v>285</v>
      </c>
      <c r="D3" s="14" t="s">
        <v>286</v>
      </c>
      <c r="E3" s="14" t="s">
        <v>287</v>
      </c>
      <c r="F3" s="14" t="s">
        <v>288</v>
      </c>
      <c r="G3" s="14" t="s">
        <v>289</v>
      </c>
      <c r="H3" s="14" t="s">
        <v>290</v>
      </c>
      <c r="I3" s="14" t="s">
        <v>291</v>
      </c>
      <c r="J3" s="14" t="s">
        <v>292</v>
      </c>
      <c r="K3"/>
      <c r="L3" s="77" t="s">
        <v>28</v>
      </c>
      <c r="M3" s="77" t="s">
        <v>27</v>
      </c>
      <c r="N3" s="77" t="s">
        <v>29</v>
      </c>
      <c r="O3"/>
      <c r="P3"/>
      <c r="Q3"/>
      <c r="R3"/>
      <c r="S3"/>
      <c r="T3"/>
      <c r="U3"/>
      <c r="V3"/>
      <c r="W3"/>
      <c r="X3"/>
      <c r="Y3" s="15"/>
    </row>
    <row r="4" spans="1:25" x14ac:dyDescent="0.25">
      <c r="A4" s="16" t="s">
        <v>218</v>
      </c>
      <c r="B4" s="175">
        <v>851</v>
      </c>
      <c r="C4" s="17"/>
      <c r="D4" s="17"/>
      <c r="E4" s="173">
        <v>1735</v>
      </c>
      <c r="F4" s="17"/>
      <c r="G4" s="17"/>
      <c r="H4" s="17">
        <f>SUM(B4,E4)</f>
        <v>2586</v>
      </c>
      <c r="I4" s="17"/>
      <c r="J4" s="17"/>
      <c r="K4"/>
      <c r="L4"/>
      <c r="M4"/>
      <c r="N4"/>
      <c r="O4"/>
      <c r="P4"/>
      <c r="Q4"/>
      <c r="R4"/>
      <c r="S4"/>
      <c r="T4"/>
      <c r="U4"/>
      <c r="V4"/>
      <c r="W4"/>
      <c r="X4"/>
      <c r="Y4"/>
    </row>
    <row r="5" spans="1:25" x14ac:dyDescent="0.25">
      <c r="A5" s="16" t="s">
        <v>219</v>
      </c>
      <c r="B5" s="175">
        <v>987</v>
      </c>
      <c r="C5" s="17"/>
      <c r="D5" s="17"/>
      <c r="E5" s="173">
        <v>2088</v>
      </c>
      <c r="F5" s="17"/>
      <c r="G5" s="17"/>
      <c r="H5" s="17">
        <f t="shared" ref="H5:H39" si="0">SUM(B5,E5)</f>
        <v>3075</v>
      </c>
      <c r="I5" s="17"/>
      <c r="J5" s="17"/>
      <c r="K5"/>
      <c r="L5"/>
      <c r="M5"/>
      <c r="N5"/>
      <c r="O5"/>
      <c r="P5"/>
      <c r="Q5"/>
      <c r="R5"/>
      <c r="S5"/>
      <c r="T5"/>
      <c r="U5"/>
      <c r="V5"/>
      <c r="W5"/>
      <c r="X5"/>
      <c r="Y5"/>
    </row>
    <row r="6" spans="1:25" x14ac:dyDescent="0.25">
      <c r="A6" s="16" t="s">
        <v>220</v>
      </c>
      <c r="B6" s="175">
        <v>1197</v>
      </c>
      <c r="C6" s="17"/>
      <c r="D6" s="17"/>
      <c r="E6" s="173">
        <v>2480</v>
      </c>
      <c r="F6" s="17"/>
      <c r="G6" s="17"/>
      <c r="H6" s="17">
        <f t="shared" si="0"/>
        <v>3677</v>
      </c>
      <c r="I6" s="17"/>
      <c r="J6" s="17"/>
      <c r="K6"/>
      <c r="L6"/>
      <c r="M6"/>
      <c r="N6"/>
      <c r="O6"/>
      <c r="P6"/>
      <c r="Q6"/>
      <c r="R6"/>
      <c r="S6"/>
      <c r="T6"/>
      <c r="U6"/>
      <c r="V6"/>
      <c r="W6"/>
      <c r="X6"/>
      <c r="Y6"/>
    </row>
    <row r="7" spans="1:25" x14ac:dyDescent="0.25">
      <c r="A7" s="16" t="s">
        <v>221</v>
      </c>
      <c r="B7" s="175">
        <v>1581</v>
      </c>
      <c r="C7" s="17"/>
      <c r="D7" s="17"/>
      <c r="E7" s="173">
        <v>2793</v>
      </c>
      <c r="F7" s="17"/>
      <c r="G7" s="17"/>
      <c r="H7" s="17">
        <f t="shared" si="0"/>
        <v>4374</v>
      </c>
      <c r="I7" s="17"/>
      <c r="J7" s="17"/>
      <c r="K7"/>
      <c r="L7"/>
      <c r="M7"/>
      <c r="N7"/>
      <c r="O7"/>
      <c r="P7"/>
      <c r="Q7"/>
      <c r="R7"/>
      <c r="S7"/>
      <c r="T7"/>
      <c r="U7"/>
      <c r="V7"/>
      <c r="W7"/>
      <c r="X7"/>
      <c r="Y7"/>
    </row>
    <row r="8" spans="1:25" x14ac:dyDescent="0.25">
      <c r="A8" s="16" t="s">
        <v>222</v>
      </c>
      <c r="B8" s="175">
        <v>1734</v>
      </c>
      <c r="C8" s="17"/>
      <c r="D8" s="17"/>
      <c r="E8" s="173">
        <v>3028</v>
      </c>
      <c r="F8" s="17"/>
      <c r="G8" s="17"/>
      <c r="H8" s="17">
        <f t="shared" si="0"/>
        <v>4762</v>
      </c>
      <c r="I8" s="17"/>
      <c r="J8" s="17"/>
      <c r="K8"/>
      <c r="L8" s="78">
        <f>B8/B4-1</f>
        <v>1.0376028202115157</v>
      </c>
      <c r="M8" s="78">
        <f>E8/E4-1</f>
        <v>0.74524495677233427</v>
      </c>
      <c r="N8" s="78">
        <f>H8/H4-1</f>
        <v>0.84145398298530538</v>
      </c>
      <c r="O8"/>
      <c r="P8"/>
      <c r="Q8"/>
      <c r="R8"/>
      <c r="S8"/>
      <c r="T8"/>
      <c r="U8"/>
      <c r="V8"/>
      <c r="W8"/>
      <c r="X8"/>
      <c r="Y8"/>
    </row>
    <row r="9" spans="1:25" x14ac:dyDescent="0.25">
      <c r="A9" s="16" t="s">
        <v>223</v>
      </c>
      <c r="B9" s="175">
        <v>1915</v>
      </c>
      <c r="C9" s="17"/>
      <c r="D9" s="17"/>
      <c r="E9" s="173">
        <v>3317</v>
      </c>
      <c r="F9" s="17"/>
      <c r="G9" s="17"/>
      <c r="H9" s="17">
        <f t="shared" si="0"/>
        <v>5232</v>
      </c>
      <c r="I9" s="17"/>
      <c r="J9" s="17"/>
      <c r="K9"/>
      <c r="L9" s="78">
        <f t="shared" ref="L9:L30" si="1">B9/B5-1</f>
        <v>0.94022289766970624</v>
      </c>
      <c r="M9" s="78">
        <f t="shared" ref="M9:M30" si="2">E9/E5-1</f>
        <v>0.58860153256704972</v>
      </c>
      <c r="N9" s="78">
        <f t="shared" ref="N9:N30" si="3">H9/H5-1</f>
        <v>0.7014634146341463</v>
      </c>
      <c r="O9"/>
      <c r="P9"/>
      <c r="Q9"/>
      <c r="R9"/>
      <c r="S9"/>
      <c r="T9"/>
      <c r="U9"/>
      <c r="V9"/>
      <c r="W9"/>
      <c r="X9"/>
      <c r="Y9"/>
    </row>
    <row r="10" spans="1:25" x14ac:dyDescent="0.25">
      <c r="A10" s="16" t="s">
        <v>224</v>
      </c>
      <c r="B10" s="175">
        <v>2214</v>
      </c>
      <c r="C10" s="17"/>
      <c r="D10" s="17"/>
      <c r="E10" s="173">
        <v>3705</v>
      </c>
      <c r="F10" s="17"/>
      <c r="G10" s="17"/>
      <c r="H10" s="17">
        <f t="shared" si="0"/>
        <v>5919</v>
      </c>
      <c r="I10" s="17"/>
      <c r="J10" s="17"/>
      <c r="K10"/>
      <c r="L10" s="78">
        <f t="shared" si="1"/>
        <v>0.84962406015037595</v>
      </c>
      <c r="M10" s="78">
        <f t="shared" si="2"/>
        <v>0.49395161290322576</v>
      </c>
      <c r="N10" s="78">
        <f t="shared" si="3"/>
        <v>0.60973619798748979</v>
      </c>
      <c r="O10"/>
      <c r="P10"/>
      <c r="Q10"/>
      <c r="R10"/>
      <c r="S10"/>
      <c r="T10"/>
      <c r="U10"/>
      <c r="V10"/>
      <c r="W10"/>
      <c r="X10"/>
      <c r="Y10"/>
    </row>
    <row r="11" spans="1:25" x14ac:dyDescent="0.25">
      <c r="A11" s="16" t="s">
        <v>225</v>
      </c>
      <c r="B11" s="175">
        <v>2462</v>
      </c>
      <c r="C11" s="17"/>
      <c r="D11" s="17"/>
      <c r="E11" s="173">
        <v>4180</v>
      </c>
      <c r="F11" s="17"/>
      <c r="G11" s="17"/>
      <c r="H11" s="17">
        <f t="shared" si="0"/>
        <v>6642</v>
      </c>
      <c r="I11" s="17"/>
      <c r="J11" s="17"/>
      <c r="K11"/>
      <c r="L11" s="78">
        <f t="shared" si="1"/>
        <v>0.55724225173940534</v>
      </c>
      <c r="M11" s="78">
        <f t="shared" si="2"/>
        <v>0.49659863945578242</v>
      </c>
      <c r="N11" s="78">
        <f t="shared" si="3"/>
        <v>0.5185185185185186</v>
      </c>
      <c r="O11"/>
      <c r="P11"/>
      <c r="Q11"/>
      <c r="R11"/>
      <c r="S11"/>
      <c r="T11"/>
      <c r="U11"/>
      <c r="V11"/>
      <c r="W11"/>
      <c r="X11"/>
      <c r="Y11"/>
    </row>
    <row r="12" spans="1:25" x14ac:dyDescent="0.25">
      <c r="A12" s="16" t="s">
        <v>226</v>
      </c>
      <c r="B12" s="175">
        <v>2654</v>
      </c>
      <c r="C12" s="17"/>
      <c r="D12" s="17"/>
      <c r="E12" s="173">
        <v>4538</v>
      </c>
      <c r="F12" s="17"/>
      <c r="G12" s="17"/>
      <c r="H12" s="17">
        <f t="shared" si="0"/>
        <v>7192</v>
      </c>
      <c r="I12" s="17"/>
      <c r="J12" s="17"/>
      <c r="K12"/>
      <c r="L12" s="78">
        <f t="shared" si="1"/>
        <v>0.530565167243368</v>
      </c>
      <c r="M12" s="78">
        <f t="shared" si="2"/>
        <v>0.49867899603698818</v>
      </c>
      <c r="N12" s="78">
        <f t="shared" si="3"/>
        <v>0.51028979420411602</v>
      </c>
      <c r="O12"/>
      <c r="P12"/>
      <c r="Q12"/>
      <c r="R12"/>
      <c r="S12"/>
      <c r="T12"/>
      <c r="U12"/>
      <c r="V12"/>
      <c r="W12"/>
      <c r="X12"/>
      <c r="Y12"/>
    </row>
    <row r="13" spans="1:25" x14ac:dyDescent="0.25">
      <c r="A13" s="16" t="s">
        <v>227</v>
      </c>
      <c r="B13" s="175">
        <v>2890</v>
      </c>
      <c r="C13" s="17"/>
      <c r="D13" s="17"/>
      <c r="E13" s="173">
        <v>4995</v>
      </c>
      <c r="F13" s="17"/>
      <c r="G13" s="17"/>
      <c r="H13" s="17">
        <f t="shared" si="0"/>
        <v>7885</v>
      </c>
      <c r="I13" s="17"/>
      <c r="J13" s="17"/>
      <c r="K13"/>
      <c r="L13" s="78">
        <f t="shared" si="1"/>
        <v>0.50913838120104438</v>
      </c>
      <c r="M13" s="78">
        <f t="shared" si="2"/>
        <v>0.50587880615013558</v>
      </c>
      <c r="N13" s="78">
        <f t="shared" si="3"/>
        <v>0.50707186544342497</v>
      </c>
      <c r="O13"/>
      <c r="P13"/>
      <c r="Q13"/>
      <c r="R13"/>
      <c r="S13"/>
      <c r="T13"/>
      <c r="U13"/>
      <c r="V13"/>
      <c r="W13"/>
      <c r="X13"/>
      <c r="Y13"/>
    </row>
    <row r="14" spans="1:25" x14ac:dyDescent="0.25">
      <c r="A14" s="16" t="s">
        <v>228</v>
      </c>
      <c r="B14" s="175">
        <v>3088</v>
      </c>
      <c r="C14" s="17"/>
      <c r="D14" s="17"/>
      <c r="E14" s="173">
        <v>5532</v>
      </c>
      <c r="F14" s="17"/>
      <c r="G14" s="17"/>
      <c r="H14" s="17">
        <f t="shared" si="0"/>
        <v>8620</v>
      </c>
      <c r="I14" s="17"/>
      <c r="J14" s="17"/>
      <c r="K14"/>
      <c r="L14" s="78">
        <f t="shared" si="1"/>
        <v>0.39476061427280928</v>
      </c>
      <c r="M14" s="78">
        <f t="shared" si="2"/>
        <v>0.4931174089068826</v>
      </c>
      <c r="N14" s="78">
        <f t="shared" si="3"/>
        <v>0.4563270822774117</v>
      </c>
      <c r="O14"/>
      <c r="P14"/>
      <c r="Q14"/>
      <c r="R14"/>
      <c r="S14"/>
      <c r="T14"/>
      <c r="U14"/>
      <c r="V14"/>
      <c r="W14"/>
      <c r="X14"/>
      <c r="Y14"/>
    </row>
    <row r="15" spans="1:25" x14ac:dyDescent="0.25">
      <c r="A15" s="16" t="s">
        <v>229</v>
      </c>
      <c r="B15" s="175">
        <v>3371</v>
      </c>
      <c r="C15" s="17"/>
      <c r="D15" s="17"/>
      <c r="E15" s="173">
        <v>5942</v>
      </c>
      <c r="F15" s="17"/>
      <c r="G15" s="17"/>
      <c r="H15" s="17">
        <f t="shared" si="0"/>
        <v>9313</v>
      </c>
      <c r="I15" s="17"/>
      <c r="J15" s="17"/>
      <c r="K15"/>
      <c r="L15" s="78">
        <f t="shared" si="1"/>
        <v>0.36921202274573517</v>
      </c>
      <c r="M15" s="78">
        <f t="shared" si="2"/>
        <v>0.42153110047846898</v>
      </c>
      <c r="N15" s="78">
        <f t="shared" si="3"/>
        <v>0.40213791026799162</v>
      </c>
      <c r="O15"/>
      <c r="P15"/>
      <c r="Q15"/>
      <c r="R15"/>
      <c r="S15"/>
      <c r="T15"/>
      <c r="U15"/>
      <c r="V15"/>
      <c r="W15"/>
      <c r="X15"/>
      <c r="Y15"/>
    </row>
    <row r="16" spans="1:25" x14ac:dyDescent="0.25">
      <c r="A16" s="16" t="s">
        <v>230</v>
      </c>
      <c r="B16" s="175">
        <v>3725</v>
      </c>
      <c r="C16" s="17"/>
      <c r="D16" s="17"/>
      <c r="E16" s="173">
        <v>6447</v>
      </c>
      <c r="F16" s="17"/>
      <c r="G16" s="17"/>
      <c r="H16" s="17">
        <f t="shared" si="0"/>
        <v>10172</v>
      </c>
      <c r="I16" s="17"/>
      <c r="J16" s="17"/>
      <c r="K16"/>
      <c r="L16" s="78">
        <f t="shared" si="1"/>
        <v>0.40354182366239644</v>
      </c>
      <c r="M16" s="78">
        <f t="shared" si="2"/>
        <v>0.42066989863375936</v>
      </c>
      <c r="N16" s="78">
        <f t="shared" si="3"/>
        <v>0.41434927697441593</v>
      </c>
      <c r="O16"/>
      <c r="P16"/>
      <c r="Q16"/>
      <c r="R16"/>
      <c r="S16"/>
      <c r="T16"/>
      <c r="U16"/>
      <c r="V16"/>
      <c r="W16"/>
      <c r="X16"/>
      <c r="Y16"/>
    </row>
    <row r="17" spans="1:25" x14ac:dyDescent="0.25">
      <c r="A17" s="16" t="s">
        <v>231</v>
      </c>
      <c r="B17" s="175">
        <v>4133</v>
      </c>
      <c r="C17" s="17"/>
      <c r="D17" s="17"/>
      <c r="E17" s="173">
        <v>6989</v>
      </c>
      <c r="F17" s="17"/>
      <c r="G17" s="17"/>
      <c r="H17" s="17">
        <f t="shared" si="0"/>
        <v>11122</v>
      </c>
      <c r="I17" s="17"/>
      <c r="J17" s="17"/>
      <c r="K17"/>
      <c r="L17" s="78">
        <f t="shared" si="1"/>
        <v>0.43010380622837374</v>
      </c>
      <c r="M17" s="78">
        <f t="shared" si="2"/>
        <v>0.39919919919919922</v>
      </c>
      <c r="N17" s="78">
        <f t="shared" si="3"/>
        <v>0.41052631578947363</v>
      </c>
      <c r="O17"/>
      <c r="P17"/>
      <c r="Q17"/>
      <c r="R17"/>
      <c r="S17"/>
      <c r="T17"/>
      <c r="U17"/>
      <c r="V17"/>
      <c r="W17"/>
      <c r="X17"/>
      <c r="Y17"/>
    </row>
    <row r="18" spans="1:25" x14ac:dyDescent="0.25">
      <c r="A18" s="16" t="s">
        <v>232</v>
      </c>
      <c r="B18" s="175">
        <v>4520</v>
      </c>
      <c r="C18" s="17"/>
      <c r="D18" s="17"/>
      <c r="E18" s="173">
        <v>7537</v>
      </c>
      <c r="F18" s="17"/>
      <c r="G18" s="17"/>
      <c r="H18" s="17">
        <f t="shared" si="0"/>
        <v>12057</v>
      </c>
      <c r="I18" s="17"/>
      <c r="J18" s="17"/>
      <c r="K18"/>
      <c r="L18" s="78">
        <f t="shared" si="1"/>
        <v>0.46373056994818662</v>
      </c>
      <c r="M18" s="78">
        <f t="shared" si="2"/>
        <v>0.3624367317425885</v>
      </c>
      <c r="N18" s="78">
        <f t="shared" si="3"/>
        <v>0.39872389791183305</v>
      </c>
      <c r="O18"/>
      <c r="P18"/>
      <c r="Q18"/>
      <c r="R18"/>
      <c r="S18"/>
      <c r="T18"/>
      <c r="U18"/>
      <c r="V18"/>
      <c r="W18"/>
      <c r="X18"/>
      <c r="Y18"/>
    </row>
    <row r="19" spans="1:25" x14ac:dyDescent="0.25">
      <c r="A19" s="16" t="s">
        <v>233</v>
      </c>
      <c r="B19" s="175">
        <v>4972</v>
      </c>
      <c r="C19" s="17"/>
      <c r="D19" s="17"/>
      <c r="E19" s="173">
        <v>8197</v>
      </c>
      <c r="F19" s="17"/>
      <c r="G19" s="17"/>
      <c r="H19" s="17">
        <f t="shared" si="0"/>
        <v>13169</v>
      </c>
      <c r="I19" s="17"/>
      <c r="J19" s="17"/>
      <c r="K19"/>
      <c r="L19" s="78">
        <f t="shared" si="1"/>
        <v>0.4749332542272322</v>
      </c>
      <c r="M19" s="78">
        <f t="shared" si="2"/>
        <v>0.37950185122854263</v>
      </c>
      <c r="N19" s="78">
        <f t="shared" si="3"/>
        <v>0.41404488349618807</v>
      </c>
      <c r="O19"/>
      <c r="P19"/>
      <c r="Q19"/>
      <c r="R19"/>
      <c r="S19"/>
      <c r="T19"/>
      <c r="U19"/>
      <c r="V19"/>
      <c r="W19"/>
      <c r="X19"/>
      <c r="Y19"/>
    </row>
    <row r="20" spans="1:25" x14ac:dyDescent="0.25">
      <c r="A20" s="16" t="s">
        <v>234</v>
      </c>
      <c r="B20" s="175">
        <v>5442</v>
      </c>
      <c r="C20" s="17"/>
      <c r="D20" s="17"/>
      <c r="E20" s="173">
        <v>8877</v>
      </c>
      <c r="F20" s="17"/>
      <c r="G20" s="17"/>
      <c r="H20" s="17">
        <f t="shared" si="0"/>
        <v>14319</v>
      </c>
      <c r="I20" s="17"/>
      <c r="J20" s="17"/>
      <c r="K20"/>
      <c r="L20" s="78">
        <f t="shared" si="1"/>
        <v>0.46093959731543621</v>
      </c>
      <c r="M20" s="78">
        <f t="shared" si="2"/>
        <v>0.37691949744066999</v>
      </c>
      <c r="N20" s="78">
        <f t="shared" si="3"/>
        <v>0.40768777034998038</v>
      </c>
      <c r="O20"/>
      <c r="P20"/>
      <c r="Q20"/>
      <c r="R20"/>
      <c r="S20"/>
      <c r="T20"/>
      <c r="U20"/>
      <c r="V20"/>
      <c r="W20"/>
      <c r="X20"/>
      <c r="Y20"/>
    </row>
    <row r="21" spans="1:25" x14ac:dyDescent="0.25">
      <c r="A21" s="16" t="s">
        <v>235</v>
      </c>
      <c r="B21" s="175">
        <v>5930</v>
      </c>
      <c r="C21" s="17"/>
      <c r="D21" s="17"/>
      <c r="E21" s="173">
        <v>9488</v>
      </c>
      <c r="F21" s="17"/>
      <c r="G21" s="17"/>
      <c r="H21" s="17">
        <f t="shared" si="0"/>
        <v>15418</v>
      </c>
      <c r="I21" s="17"/>
      <c r="J21" s="17"/>
      <c r="K21"/>
      <c r="L21" s="78">
        <f t="shared" si="1"/>
        <v>0.43479312847810303</v>
      </c>
      <c r="M21" s="78">
        <f t="shared" si="2"/>
        <v>0.35756188295893554</v>
      </c>
      <c r="N21" s="78">
        <f t="shared" si="3"/>
        <v>0.38626146376550974</v>
      </c>
      <c r="O21"/>
      <c r="P21"/>
      <c r="Q21"/>
      <c r="R21"/>
      <c r="S21"/>
      <c r="T21"/>
      <c r="U21"/>
      <c r="V21"/>
      <c r="W21"/>
      <c r="X21"/>
      <c r="Y21"/>
    </row>
    <row r="22" spans="1:25" x14ac:dyDescent="0.25">
      <c r="A22" s="16" t="s">
        <v>236</v>
      </c>
      <c r="B22" s="175">
        <v>6383</v>
      </c>
      <c r="C22" s="17"/>
      <c r="D22" s="17"/>
      <c r="E22" s="173">
        <v>9942</v>
      </c>
      <c r="F22" s="17"/>
      <c r="G22" s="17"/>
      <c r="H22" s="17">
        <f t="shared" si="0"/>
        <v>16325</v>
      </c>
      <c r="I22" s="17"/>
      <c r="J22" s="17"/>
      <c r="K22"/>
      <c r="L22" s="78">
        <f t="shared" si="1"/>
        <v>0.41216814159292037</v>
      </c>
      <c r="M22" s="78">
        <f t="shared" si="2"/>
        <v>0.31909247711290956</v>
      </c>
      <c r="N22" s="78">
        <f t="shared" si="3"/>
        <v>0.35398523679190519</v>
      </c>
      <c r="O22"/>
      <c r="P22"/>
      <c r="Q22"/>
      <c r="R22"/>
      <c r="S22"/>
      <c r="T22"/>
      <c r="U22"/>
      <c r="V22"/>
      <c r="W22"/>
      <c r="X22"/>
      <c r="Y22"/>
    </row>
    <row r="23" spans="1:25" x14ac:dyDescent="0.25">
      <c r="A23" s="16" t="s">
        <v>237</v>
      </c>
      <c r="B23" s="175">
        <v>6775</v>
      </c>
      <c r="C23" s="17"/>
      <c r="D23" s="17"/>
      <c r="E23" s="173">
        <v>10538</v>
      </c>
      <c r="F23" s="17"/>
      <c r="G23" s="17"/>
      <c r="H23" s="17">
        <f t="shared" si="0"/>
        <v>17313</v>
      </c>
      <c r="I23" s="17"/>
      <c r="J23" s="17"/>
      <c r="K23"/>
      <c r="L23" s="78">
        <f t="shared" si="1"/>
        <v>0.3626307320997586</v>
      </c>
      <c r="M23" s="78">
        <f t="shared" si="2"/>
        <v>0.28559228986214458</v>
      </c>
      <c r="N23" s="78">
        <f t="shared" si="3"/>
        <v>0.31467841142076081</v>
      </c>
      <c r="O23"/>
      <c r="P23"/>
      <c r="Q23"/>
      <c r="R23"/>
      <c r="S23"/>
      <c r="T23"/>
      <c r="U23"/>
      <c r="V23"/>
      <c r="W23"/>
      <c r="X23"/>
      <c r="Y23"/>
    </row>
    <row r="24" spans="1:25" x14ac:dyDescent="0.25">
      <c r="A24" s="16" t="s">
        <v>238</v>
      </c>
      <c r="B24" s="175">
        <v>7376</v>
      </c>
      <c r="C24" s="17"/>
      <c r="D24" s="17"/>
      <c r="E24" s="173">
        <v>11085</v>
      </c>
      <c r="F24" s="17"/>
      <c r="G24" s="17"/>
      <c r="H24" s="17">
        <f t="shared" si="0"/>
        <v>18461</v>
      </c>
      <c r="I24" s="17"/>
      <c r="J24" s="17"/>
      <c r="K24"/>
      <c r="L24" s="78">
        <f t="shared" si="1"/>
        <v>0.35538404998162432</v>
      </c>
      <c r="M24" s="78">
        <f t="shared" si="2"/>
        <v>0.24873267995944581</v>
      </c>
      <c r="N24" s="78">
        <f t="shared" si="3"/>
        <v>0.28926601019624276</v>
      </c>
      <c r="O24"/>
      <c r="P24"/>
      <c r="Q24"/>
      <c r="R24"/>
      <c r="S24"/>
      <c r="T24"/>
      <c r="U24"/>
      <c r="V24"/>
      <c r="W24"/>
      <c r="X24"/>
      <c r="Y24"/>
    </row>
    <row r="25" spans="1:25" x14ac:dyDescent="0.25">
      <c r="A25" s="16" t="s">
        <v>239</v>
      </c>
      <c r="B25" s="175">
        <v>7958</v>
      </c>
      <c r="C25" s="17"/>
      <c r="D25" s="17"/>
      <c r="E25" s="173">
        <v>11680</v>
      </c>
      <c r="F25" s="17"/>
      <c r="G25" s="17"/>
      <c r="H25" s="17">
        <f t="shared" si="0"/>
        <v>19638</v>
      </c>
      <c r="I25" s="17"/>
      <c r="J25" s="17"/>
      <c r="K25"/>
      <c r="L25" s="78">
        <f t="shared" si="1"/>
        <v>0.3419898819561551</v>
      </c>
      <c r="M25" s="78">
        <f t="shared" si="2"/>
        <v>0.2310286677908937</v>
      </c>
      <c r="N25" s="78">
        <f t="shared" si="3"/>
        <v>0.2737060578544559</v>
      </c>
      <c r="O25"/>
      <c r="P25"/>
      <c r="Q25"/>
      <c r="R25"/>
      <c r="S25"/>
      <c r="T25"/>
      <c r="U25"/>
      <c r="V25"/>
      <c r="W25"/>
      <c r="X25"/>
      <c r="Y25"/>
    </row>
    <row r="26" spans="1:25" x14ac:dyDescent="0.25">
      <c r="A26" s="16" t="s">
        <v>240</v>
      </c>
      <c r="B26" s="175">
        <v>8591</v>
      </c>
      <c r="C26" s="17"/>
      <c r="D26" s="17"/>
      <c r="E26" s="173">
        <v>12276</v>
      </c>
      <c r="F26" s="17"/>
      <c r="G26" s="17"/>
      <c r="H26" s="17">
        <f t="shared" si="0"/>
        <v>20867</v>
      </c>
      <c r="I26" s="17"/>
      <c r="J26" s="17"/>
      <c r="K26"/>
      <c r="L26" s="78">
        <f t="shared" si="1"/>
        <v>0.34591884693717678</v>
      </c>
      <c r="M26" s="78">
        <f t="shared" si="2"/>
        <v>0.2347616173808087</v>
      </c>
      <c r="N26" s="78">
        <f t="shared" si="3"/>
        <v>0.27822358346094944</v>
      </c>
      <c r="O26"/>
      <c r="P26"/>
      <c r="Q26"/>
    </row>
    <row r="27" spans="1:25" x14ac:dyDescent="0.25">
      <c r="A27" s="16" t="s">
        <v>241</v>
      </c>
      <c r="B27" s="175">
        <v>9246</v>
      </c>
      <c r="C27" s="17"/>
      <c r="D27" s="17"/>
      <c r="E27" s="173">
        <v>13601</v>
      </c>
      <c r="F27" s="17"/>
      <c r="G27" s="17"/>
      <c r="H27" s="17">
        <f t="shared" si="0"/>
        <v>22847</v>
      </c>
      <c r="I27" s="17"/>
      <c r="J27" s="17"/>
      <c r="K27"/>
      <c r="L27" s="78">
        <f t="shared" si="1"/>
        <v>0.3647232472324724</v>
      </c>
      <c r="M27" s="78">
        <f t="shared" si="2"/>
        <v>0.29066236477509966</v>
      </c>
      <c r="N27" s="78">
        <f t="shared" si="3"/>
        <v>0.31964419800150168</v>
      </c>
      <c r="O27"/>
      <c r="P27"/>
      <c r="Q27"/>
    </row>
    <row r="28" spans="1:25" x14ac:dyDescent="0.25">
      <c r="A28" s="16" t="s">
        <v>242</v>
      </c>
      <c r="B28" s="175">
        <v>9706</v>
      </c>
      <c r="C28" s="17"/>
      <c r="D28" s="17"/>
      <c r="E28" s="173">
        <v>14971</v>
      </c>
      <c r="F28" s="17"/>
      <c r="G28" s="17"/>
      <c r="H28" s="17">
        <f t="shared" si="0"/>
        <v>24677</v>
      </c>
      <c r="I28" s="17"/>
      <c r="J28" s="17"/>
      <c r="K28"/>
      <c r="L28" s="78">
        <f t="shared" si="1"/>
        <v>0.31588937093275482</v>
      </c>
      <c r="M28" s="78">
        <f t="shared" si="2"/>
        <v>0.35056382498872352</v>
      </c>
      <c r="N28" s="78">
        <f t="shared" si="3"/>
        <v>0.33670982070310385</v>
      </c>
      <c r="O28"/>
      <c r="P28"/>
      <c r="Q28"/>
    </row>
    <row r="29" spans="1:25" x14ac:dyDescent="0.25">
      <c r="A29" s="16" t="s">
        <v>243</v>
      </c>
      <c r="B29" s="175">
        <v>10281</v>
      </c>
      <c r="C29" s="11"/>
      <c r="D29" s="11"/>
      <c r="E29" s="173">
        <v>15918</v>
      </c>
      <c r="F29" s="11"/>
      <c r="G29" s="11"/>
      <c r="H29" s="11">
        <f t="shared" si="0"/>
        <v>26199</v>
      </c>
      <c r="I29" s="11"/>
      <c r="J29" s="11"/>
      <c r="K29"/>
      <c r="L29" s="78">
        <f t="shared" si="1"/>
        <v>0.29190751445086716</v>
      </c>
      <c r="M29" s="78">
        <f t="shared" si="2"/>
        <v>0.3628424657534246</v>
      </c>
      <c r="N29" s="78">
        <f t="shared" si="3"/>
        <v>0.33409715857011912</v>
      </c>
      <c r="O29"/>
      <c r="P29"/>
      <c r="Q29"/>
    </row>
    <row r="30" spans="1:25" x14ac:dyDescent="0.25">
      <c r="A30" s="16" t="s">
        <v>244</v>
      </c>
      <c r="B30" s="175">
        <v>10902</v>
      </c>
      <c r="C30" s="11"/>
      <c r="D30" s="11"/>
      <c r="E30" s="173">
        <v>17359</v>
      </c>
      <c r="F30" s="11"/>
      <c r="G30" s="11"/>
      <c r="H30" s="79">
        <f>SUM(B30,E30)</f>
        <v>28261</v>
      </c>
      <c r="I30" s="17"/>
      <c r="J30" s="17"/>
      <c r="L30" s="78">
        <f t="shared" si="1"/>
        <v>0.26900244441857768</v>
      </c>
      <c r="M30" s="78">
        <f t="shared" si="2"/>
        <v>0.41405995438253496</v>
      </c>
      <c r="N30" s="78">
        <f t="shared" si="3"/>
        <v>0.35433938754971961</v>
      </c>
    </row>
    <row r="31" spans="1:25" x14ac:dyDescent="0.25">
      <c r="A31" s="16" t="s">
        <v>245</v>
      </c>
      <c r="B31" s="175">
        <v>11420</v>
      </c>
      <c r="C31" s="111"/>
      <c r="D31" s="111"/>
      <c r="E31" s="173">
        <v>18643</v>
      </c>
      <c r="F31" s="111"/>
      <c r="G31" s="111"/>
      <c r="H31" s="125">
        <f t="shared" si="0"/>
        <v>30063</v>
      </c>
      <c r="I31" s="111"/>
      <c r="J31" s="111"/>
      <c r="L31" s="78">
        <f>B31/B27-1</f>
        <v>0.23512870430456423</v>
      </c>
      <c r="M31" s="78">
        <f>E31/E27-1</f>
        <v>0.37070803617381065</v>
      </c>
      <c r="N31" s="78">
        <f>H31/H27-1</f>
        <v>0.31584015406836774</v>
      </c>
    </row>
    <row r="32" spans="1:25" x14ac:dyDescent="0.25">
      <c r="A32" s="16" t="s">
        <v>276</v>
      </c>
      <c r="B32" s="175">
        <v>11823</v>
      </c>
      <c r="C32" s="153"/>
      <c r="D32" s="153"/>
      <c r="E32" s="173">
        <v>20150</v>
      </c>
      <c r="F32" s="153"/>
      <c r="G32" s="153"/>
      <c r="H32" s="17">
        <f t="shared" si="0"/>
        <v>31973</v>
      </c>
      <c r="I32" s="17"/>
      <c r="J32" s="17"/>
      <c r="L32" s="78">
        <f>B32/B28-1</f>
        <v>0.21811250772717905</v>
      </c>
      <c r="M32" s="78">
        <f>E32/E28-1</f>
        <v>0.34593547525215418</v>
      </c>
      <c r="N32" s="78">
        <f>H32/H28-1</f>
        <v>0.29565992624711268</v>
      </c>
    </row>
    <row r="33" spans="1:14" x14ac:dyDescent="0.25">
      <c r="A33" s="16" t="s">
        <v>277</v>
      </c>
      <c r="B33" s="175">
        <v>11785</v>
      </c>
      <c r="C33" s="153"/>
      <c r="D33" s="153"/>
      <c r="E33" s="173">
        <v>20379</v>
      </c>
      <c r="F33" s="153"/>
      <c r="G33" s="153"/>
      <c r="H33" s="17">
        <f t="shared" si="0"/>
        <v>32164</v>
      </c>
      <c r="I33" s="17"/>
      <c r="J33" s="17"/>
      <c r="L33" s="78">
        <f>B33/B29-1</f>
        <v>0.14628927147164683</v>
      </c>
      <c r="M33" s="78">
        <f>E33/E29-1</f>
        <v>0.28024877497173017</v>
      </c>
      <c r="N33" s="78">
        <f>H33/H29-1</f>
        <v>0.22768044581854263</v>
      </c>
    </row>
    <row r="34" spans="1:14" x14ac:dyDescent="0.25">
      <c r="A34" s="16" t="s">
        <v>278</v>
      </c>
      <c r="B34" s="175">
        <v>12024</v>
      </c>
      <c r="C34" s="17"/>
      <c r="D34" s="17"/>
      <c r="E34" s="173">
        <v>21214</v>
      </c>
      <c r="F34" s="17"/>
      <c r="G34" s="17"/>
      <c r="H34" s="17">
        <f t="shared" si="0"/>
        <v>33238</v>
      </c>
      <c r="I34" s="17"/>
      <c r="J34" s="17"/>
      <c r="L34" s="78">
        <f t="shared" ref="L34:L43" si="4">B34/B30-1</f>
        <v>0.10291689598238851</v>
      </c>
      <c r="M34" s="78">
        <f t="shared" ref="M34:M43" si="5">E34/E30-1</f>
        <v>0.22207500432052529</v>
      </c>
      <c r="N34" s="78">
        <f t="shared" ref="N34:N43" si="6">H34/H30-1</f>
        <v>0.17610841796114785</v>
      </c>
    </row>
    <row r="35" spans="1:14" x14ac:dyDescent="0.25">
      <c r="A35" s="16" t="s">
        <v>279</v>
      </c>
      <c r="B35" s="175">
        <v>12426</v>
      </c>
      <c r="C35" s="17"/>
      <c r="D35" s="17"/>
      <c r="E35" s="173">
        <v>22714</v>
      </c>
      <c r="F35" s="17"/>
      <c r="G35" s="17"/>
      <c r="H35" s="17">
        <f t="shared" si="0"/>
        <v>35140</v>
      </c>
      <c r="I35" s="17"/>
      <c r="J35" s="17"/>
      <c r="L35" s="78">
        <f t="shared" si="4"/>
        <v>8.8091068301225928E-2</v>
      </c>
      <c r="M35" s="78">
        <f t="shared" si="5"/>
        <v>0.21836614278817779</v>
      </c>
      <c r="N35" s="78">
        <f t="shared" si="6"/>
        <v>0.16887868808834772</v>
      </c>
    </row>
    <row r="36" spans="1:14" x14ac:dyDescent="0.25">
      <c r="A36" s="16" t="s">
        <v>280</v>
      </c>
      <c r="B36" s="175">
        <v>12964</v>
      </c>
      <c r="C36" s="152"/>
      <c r="D36" s="152"/>
      <c r="E36" s="173">
        <v>24292</v>
      </c>
      <c r="F36" s="152"/>
      <c r="G36" s="152"/>
      <c r="H36" s="153">
        <f t="shared" si="0"/>
        <v>37256</v>
      </c>
      <c r="I36" s="153"/>
      <c r="J36" s="153"/>
      <c r="L36" s="78">
        <f t="shared" si="4"/>
        <v>9.6506808762581331E-2</v>
      </c>
      <c r="M36" s="78">
        <f t="shared" si="5"/>
        <v>0.20555831265508684</v>
      </c>
      <c r="N36" s="78">
        <f t="shared" si="6"/>
        <v>0.16523316548337652</v>
      </c>
    </row>
    <row r="37" spans="1:14" x14ac:dyDescent="0.25">
      <c r="A37" s="16" t="s">
        <v>281</v>
      </c>
      <c r="B37" s="175">
        <v>13857</v>
      </c>
      <c r="C37" s="175"/>
      <c r="D37" s="175"/>
      <c r="E37" s="173">
        <v>25754</v>
      </c>
      <c r="F37" s="175"/>
      <c r="G37" s="175"/>
      <c r="H37" s="153">
        <f t="shared" si="0"/>
        <v>39611</v>
      </c>
      <c r="I37" s="153"/>
      <c r="J37" s="153"/>
      <c r="L37" s="78">
        <f t="shared" si="4"/>
        <v>0.17581671616461603</v>
      </c>
      <c r="M37" s="78">
        <f t="shared" si="5"/>
        <v>0.26375190146719651</v>
      </c>
      <c r="N37" s="78">
        <f t="shared" si="6"/>
        <v>0.23153214774281805</v>
      </c>
    </row>
    <row r="38" spans="1:14" x14ac:dyDescent="0.25">
      <c r="A38" s="16" t="s">
        <v>282</v>
      </c>
      <c r="B38" s="175">
        <v>15056</v>
      </c>
      <c r="C38" s="175"/>
      <c r="D38" s="175"/>
      <c r="E38" s="173">
        <v>27904</v>
      </c>
      <c r="F38" s="175"/>
      <c r="G38" s="175"/>
      <c r="H38" s="153">
        <f t="shared" si="0"/>
        <v>42960</v>
      </c>
      <c r="I38" s="153"/>
      <c r="J38" s="153"/>
      <c r="L38" s="78">
        <f t="shared" si="4"/>
        <v>0.25216234198270127</v>
      </c>
      <c r="M38" s="78">
        <f t="shared" si="5"/>
        <v>0.31535778259639868</v>
      </c>
      <c r="N38" s="78">
        <f t="shared" si="6"/>
        <v>0.2924965401046995</v>
      </c>
    </row>
    <row r="39" spans="1:14" x14ac:dyDescent="0.25">
      <c r="A39" s="16" t="s">
        <v>283</v>
      </c>
      <c r="B39" s="175">
        <v>16454</v>
      </c>
      <c r="C39" s="175"/>
      <c r="D39" s="175"/>
      <c r="E39" s="173">
        <v>30210</v>
      </c>
      <c r="F39" s="175"/>
      <c r="G39" s="175"/>
      <c r="H39" s="153">
        <f t="shared" si="0"/>
        <v>46664</v>
      </c>
      <c r="I39" s="153"/>
      <c r="J39" s="153"/>
      <c r="L39" s="78">
        <f t="shared" si="4"/>
        <v>0.32415902140672781</v>
      </c>
      <c r="M39" s="78">
        <f t="shared" si="5"/>
        <v>0.3300167297701857</v>
      </c>
      <c r="N39" s="78">
        <f t="shared" si="6"/>
        <v>0.32794536141149688</v>
      </c>
    </row>
    <row r="40" spans="1:14" x14ac:dyDescent="0.25">
      <c r="A40" s="151" t="s">
        <v>618</v>
      </c>
      <c r="B40" s="160">
        <v>17346</v>
      </c>
      <c r="C40" s="175"/>
      <c r="D40" s="175"/>
      <c r="E40" s="160">
        <v>32290</v>
      </c>
      <c r="F40" s="175"/>
      <c r="G40" s="175"/>
      <c r="H40" s="150">
        <f t="shared" ref="H40:J43" si="7">SUM(B40,E40)</f>
        <v>49636</v>
      </c>
      <c r="I40" s="169"/>
      <c r="J40" s="169"/>
      <c r="L40" s="78">
        <f t="shared" si="4"/>
        <v>0.33801295896328298</v>
      </c>
      <c r="M40" s="78">
        <f t="shared" si="5"/>
        <v>0.32924419561995721</v>
      </c>
      <c r="N40" s="78">
        <f t="shared" si="6"/>
        <v>0.33229546918617126</v>
      </c>
    </row>
    <row r="41" spans="1:14" x14ac:dyDescent="0.25">
      <c r="A41" s="151" t="s">
        <v>619</v>
      </c>
      <c r="B41" s="160">
        <v>19072.205900718076</v>
      </c>
      <c r="C41" s="175">
        <f>B41</f>
        <v>19072.205900718076</v>
      </c>
      <c r="D41" s="175">
        <f>B41</f>
        <v>19072.205900718076</v>
      </c>
      <c r="E41" s="160">
        <v>35088.053540643399</v>
      </c>
      <c r="F41" s="175">
        <f>E41</f>
        <v>35088.053540643399</v>
      </c>
      <c r="G41" s="175">
        <f>E41</f>
        <v>35088.053540643399</v>
      </c>
      <c r="H41" s="150">
        <f t="shared" si="7"/>
        <v>54160.259441361472</v>
      </c>
      <c r="I41" s="150">
        <f t="shared" si="7"/>
        <v>54160.259441361472</v>
      </c>
      <c r="J41" s="150">
        <f t="shared" si="7"/>
        <v>54160.259441361472</v>
      </c>
      <c r="L41" s="78">
        <f t="shared" si="4"/>
        <v>0.37635894498939715</v>
      </c>
      <c r="M41" s="78">
        <f t="shared" si="5"/>
        <v>0.36243121614675</v>
      </c>
      <c r="N41" s="78">
        <f t="shared" si="6"/>
        <v>0.36730351269499573</v>
      </c>
    </row>
    <row r="42" spans="1:14" x14ac:dyDescent="0.25">
      <c r="A42" s="151" t="s">
        <v>620</v>
      </c>
      <c r="B42" s="160">
        <v>20770.318646581327</v>
      </c>
      <c r="C42" s="150">
        <f t="shared" ref="C42:C51" si="8">C41*((B42/B41)+(B$1/4))</f>
        <v>20961.040705588508</v>
      </c>
      <c r="D42" s="150">
        <f t="shared" ref="D42:D51" si="9">D41*((B42/B41)-(B$1/4))</f>
        <v>20579.596587574146</v>
      </c>
      <c r="E42" s="160">
        <v>37768.821303494566</v>
      </c>
      <c r="F42" s="150">
        <f t="shared" ref="F42:F51" si="10">F41*((E42/E41)+(E$1/4))</f>
        <v>38295.142106604217</v>
      </c>
      <c r="G42" s="150">
        <f t="shared" ref="G42:G51" si="11">G41*((E42/E41)-(E$1/4))</f>
        <v>37242.500500384922</v>
      </c>
      <c r="H42" s="150">
        <f t="shared" si="7"/>
        <v>58539.139950075893</v>
      </c>
      <c r="I42" s="150">
        <f t="shared" si="7"/>
        <v>59256.182812192725</v>
      </c>
      <c r="J42" s="150">
        <f t="shared" si="7"/>
        <v>57822.097087959068</v>
      </c>
      <c r="L42" s="78">
        <f t="shared" si="4"/>
        <v>0.37953763593127832</v>
      </c>
      <c r="M42" s="78">
        <f t="shared" si="5"/>
        <v>0.35352713960344628</v>
      </c>
      <c r="N42" s="78">
        <f t="shared" si="6"/>
        <v>0.36264292248780006</v>
      </c>
    </row>
    <row r="43" spans="1:14" x14ac:dyDescent="0.25">
      <c r="A43" s="151" t="s">
        <v>621</v>
      </c>
      <c r="B43" s="160">
        <v>22330.673392132372</v>
      </c>
      <c r="C43" s="150">
        <f t="shared" si="8"/>
        <v>22745.33371107612</v>
      </c>
      <c r="D43" s="150">
        <f t="shared" si="9"/>
        <v>21919.827514368764</v>
      </c>
      <c r="E43" s="160">
        <v>40021.058343904842</v>
      </c>
      <c r="F43" s="150">
        <f t="shared" si="10"/>
        <v>41153.191933950176</v>
      </c>
      <c r="G43" s="150">
        <f t="shared" si="11"/>
        <v>38904.714377952805</v>
      </c>
      <c r="H43" s="150">
        <f t="shared" si="7"/>
        <v>62351.731736037211</v>
      </c>
      <c r="I43" s="150">
        <f t="shared" si="7"/>
        <v>63898.525645026297</v>
      </c>
      <c r="J43" s="150">
        <f t="shared" si="7"/>
        <v>60824.541892321569</v>
      </c>
      <c r="L43" s="78">
        <f t="shared" si="4"/>
        <v>0.35715773624239522</v>
      </c>
      <c r="M43" s="78">
        <f t="shared" si="5"/>
        <v>0.32476194451853169</v>
      </c>
      <c r="N43" s="78">
        <f t="shared" si="6"/>
        <v>0.33618489062311863</v>
      </c>
    </row>
    <row r="44" spans="1:14" x14ac:dyDescent="0.25">
      <c r="A44" s="16" t="s">
        <v>622</v>
      </c>
      <c r="B44" s="11">
        <v>23918.105877302525</v>
      </c>
      <c r="C44" s="17">
        <f t="shared" si="8"/>
        <v>24589.696712528632</v>
      </c>
      <c r="D44" s="17">
        <f t="shared" si="9"/>
        <v>23258.855704437497</v>
      </c>
      <c r="E44" s="11">
        <v>42462.353055980224</v>
      </c>
      <c r="F44" s="17">
        <f>F43*((E44/E43)+(E$1/4))</f>
        <v>44280.844961242925</v>
      </c>
      <c r="G44" s="17">
        <f t="shared" si="11"/>
        <v>40694.341109226203</v>
      </c>
      <c r="H44" s="17">
        <f t="shared" ref="H44:H51" si="12">SUM(B44,E44)</f>
        <v>66380.458933282745</v>
      </c>
      <c r="I44" s="17">
        <f t="shared" ref="I44:I51" si="13">SUM(C44,F44)</f>
        <v>68870.541673771557</v>
      </c>
      <c r="J44" s="17">
        <f t="shared" ref="J44:J51" si="14">SUM(D44,G44)</f>
        <v>63953.196813663701</v>
      </c>
      <c r="L44" s="78">
        <f t="shared" ref="L44:L63" si="15">B44/B40-1</f>
        <v>0.37888307836403357</v>
      </c>
      <c r="M44" s="78">
        <f t="shared" ref="M44:M63" si="16">E44/E40-1</f>
        <v>0.31503106398204461</v>
      </c>
      <c r="N44" s="78">
        <f t="shared" ref="N44:N63" si="17">H44/H40-1</f>
        <v>0.33734505063427234</v>
      </c>
    </row>
    <row r="45" spans="1:14" x14ac:dyDescent="0.25">
      <c r="A45" s="16" t="s">
        <v>623</v>
      </c>
      <c r="B45" s="11">
        <v>25691.020878863561</v>
      </c>
      <c r="C45" s="17">
        <f t="shared" si="8"/>
        <v>26658.28994202178</v>
      </c>
      <c r="D45" s="17">
        <f t="shared" si="9"/>
        <v>24750.315632213664</v>
      </c>
      <c r="E45" s="11">
        <v>45579.703997657998</v>
      </c>
      <c r="F45" s="17">
        <f t="shared" si="10"/>
        <v>48195.912188074959</v>
      </c>
      <c r="G45" s="17">
        <f t="shared" si="11"/>
        <v>43071.47928268832</v>
      </c>
      <c r="H45" s="17">
        <f t="shared" si="12"/>
        <v>71270.724876521563</v>
      </c>
      <c r="I45" s="17">
        <f t="shared" si="13"/>
        <v>74854.202130096732</v>
      </c>
      <c r="J45" s="17">
        <f t="shared" si="14"/>
        <v>67821.794914901984</v>
      </c>
      <c r="L45" s="78">
        <f t="shared" si="15"/>
        <v>0.34703982395116051</v>
      </c>
      <c r="M45" s="78">
        <f t="shared" si="16"/>
        <v>0.29900918969078316</v>
      </c>
      <c r="N45" s="78">
        <f t="shared" si="17"/>
        <v>0.31592288537105961</v>
      </c>
    </row>
    <row r="46" spans="1:14" x14ac:dyDescent="0.25">
      <c r="A46" s="16" t="s">
        <v>624</v>
      </c>
      <c r="B46" s="11">
        <v>27394.210700905394</v>
      </c>
      <c r="C46" s="17">
        <f t="shared" si="8"/>
        <v>28692.187901298046</v>
      </c>
      <c r="D46" s="17">
        <f t="shared" si="9"/>
        <v>26143.638112049506</v>
      </c>
      <c r="E46" s="11">
        <v>48402.265014257988</v>
      </c>
      <c r="F46" s="17">
        <f t="shared" si="10"/>
        <v>51903.422752023842</v>
      </c>
      <c r="G46" s="17">
        <f t="shared" si="11"/>
        <v>45092.644211900042</v>
      </c>
      <c r="H46" s="159">
        <f t="shared" si="12"/>
        <v>75796.475715163382</v>
      </c>
      <c r="I46" s="17">
        <f t="shared" si="13"/>
        <v>80595.610653321884</v>
      </c>
      <c r="J46" s="17">
        <f t="shared" si="14"/>
        <v>71236.282323949548</v>
      </c>
      <c r="L46" s="78">
        <f t="shared" si="15"/>
        <v>0.31891143159781632</v>
      </c>
      <c r="M46" s="78">
        <f t="shared" si="16"/>
        <v>0.28154025844008967</v>
      </c>
      <c r="N46" s="78">
        <f t="shared" si="17"/>
        <v>0.29479995401034453</v>
      </c>
    </row>
    <row r="47" spans="1:14" x14ac:dyDescent="0.25">
      <c r="A47" s="16" t="s">
        <v>625</v>
      </c>
      <c r="B47" s="11">
        <v>29075.061387761471</v>
      </c>
      <c r="C47" s="17">
        <f t="shared" si="8"/>
        <v>30739.601596186072</v>
      </c>
      <c r="D47" s="17">
        <f t="shared" si="9"/>
        <v>27486.319935221818</v>
      </c>
      <c r="E47" s="11">
        <v>51190.165457719369</v>
      </c>
      <c r="F47" s="17">
        <f t="shared" si="10"/>
        <v>55671.536157494898</v>
      </c>
      <c r="G47" s="17">
        <f t="shared" si="11"/>
        <v>47013.5256218453</v>
      </c>
      <c r="H47" s="17">
        <f t="shared" si="12"/>
        <v>80265.226845480836</v>
      </c>
      <c r="I47" s="17">
        <f t="shared" si="13"/>
        <v>86411.137753680974</v>
      </c>
      <c r="J47" s="17">
        <f t="shared" si="14"/>
        <v>74499.845557067121</v>
      </c>
      <c r="L47" s="78">
        <f t="shared" si="15"/>
        <v>0.30202349374763182</v>
      </c>
      <c r="M47" s="78">
        <f t="shared" si="16"/>
        <v>0.27908075338331395</v>
      </c>
      <c r="N47" s="78">
        <f t="shared" si="17"/>
        <v>0.28729747531759764</v>
      </c>
    </row>
    <row r="48" spans="1:14" x14ac:dyDescent="0.25">
      <c r="A48" s="16" t="s">
        <v>626</v>
      </c>
      <c r="B48" s="11">
        <v>30758.281376834213</v>
      </c>
      <c r="C48" s="17">
        <f t="shared" si="8"/>
        <v>32826.581537106118</v>
      </c>
      <c r="D48" s="17">
        <f t="shared" si="9"/>
        <v>28802.700947669902</v>
      </c>
      <c r="E48" s="11">
        <v>54060.691105834383</v>
      </c>
      <c r="F48" s="17">
        <f t="shared" si="10"/>
        <v>59628.430959586622</v>
      </c>
      <c r="G48" s="17">
        <f t="shared" si="11"/>
        <v>48944.640278184386</v>
      </c>
      <c r="H48" s="17">
        <f t="shared" si="12"/>
        <v>84818.9724826686</v>
      </c>
      <c r="I48" s="17">
        <f t="shared" si="13"/>
        <v>92455.01249669274</v>
      </c>
      <c r="J48" s="17">
        <f t="shared" si="14"/>
        <v>77747.341225854296</v>
      </c>
      <c r="L48" s="78">
        <f t="shared" si="15"/>
        <v>0.28598315998018831</v>
      </c>
      <c r="M48" s="78">
        <f t="shared" si="16"/>
        <v>0.27314402559282325</v>
      </c>
      <c r="N48" s="78">
        <f t="shared" si="17"/>
        <v>0.2777702029435789</v>
      </c>
    </row>
    <row r="49" spans="1:14" x14ac:dyDescent="0.25">
      <c r="A49" s="16" t="s">
        <v>627</v>
      </c>
      <c r="B49" s="11">
        <v>32632.060958476424</v>
      </c>
      <c r="C49" s="17">
        <f t="shared" si="8"/>
        <v>35154.626776618519</v>
      </c>
      <c r="D49" s="17">
        <f t="shared" si="9"/>
        <v>30269.32050867872</v>
      </c>
      <c r="E49" s="11">
        <v>57402.460505914627</v>
      </c>
      <c r="F49" s="17">
        <f t="shared" si="10"/>
        <v>64208.797464322204</v>
      </c>
      <c r="G49" s="17">
        <f t="shared" si="11"/>
        <v>51235.990655977221</v>
      </c>
      <c r="H49" s="17">
        <f t="shared" si="12"/>
        <v>90034.521464391059</v>
      </c>
      <c r="I49" s="17">
        <f t="shared" si="13"/>
        <v>99363.424240940716</v>
      </c>
      <c r="J49" s="17">
        <f t="shared" si="14"/>
        <v>81505.311164655941</v>
      </c>
      <c r="L49" s="78">
        <f t="shared" si="15"/>
        <v>0.27017377442261847</v>
      </c>
      <c r="M49" s="78">
        <f t="shared" si="16"/>
        <v>0.25938642578425064</v>
      </c>
      <c r="N49" s="78">
        <f t="shared" si="17"/>
        <v>0.26327495083539953</v>
      </c>
    </row>
    <row r="50" spans="1:14" x14ac:dyDescent="0.25">
      <c r="A50" s="16" t="s">
        <v>628</v>
      </c>
      <c r="B50" s="11">
        <v>34492.978613799562</v>
      </c>
      <c r="C50" s="17">
        <f t="shared" si="8"/>
        <v>37510.945765241966</v>
      </c>
      <c r="D50" s="17">
        <f t="shared" si="9"/>
        <v>31692.804299305193</v>
      </c>
      <c r="E50" s="11">
        <v>60724.974032028964</v>
      </c>
      <c r="F50" s="17">
        <f t="shared" si="10"/>
        <v>68888.400744598635</v>
      </c>
      <c r="G50" s="17">
        <f t="shared" si="11"/>
        <v>53433.042697216646</v>
      </c>
      <c r="H50" s="17">
        <f t="shared" si="12"/>
        <v>95217.952645828525</v>
      </c>
      <c r="I50" s="17">
        <f t="shared" si="13"/>
        <v>106399.3465098406</v>
      </c>
      <c r="J50" s="17">
        <f t="shared" si="14"/>
        <v>85125.846996521839</v>
      </c>
      <c r="L50" s="78">
        <f t="shared" si="15"/>
        <v>0.25913387286093803</v>
      </c>
      <c r="M50" s="78">
        <f t="shared" si="16"/>
        <v>0.25458951175406863</v>
      </c>
      <c r="N50" s="78">
        <f t="shared" si="17"/>
        <v>0.25623192565904218</v>
      </c>
    </row>
    <row r="51" spans="1:14" x14ac:dyDescent="0.25">
      <c r="A51" s="16" t="s">
        <v>629</v>
      </c>
      <c r="B51" s="11">
        <v>36239.492819231964</v>
      </c>
      <c r="C51" s="17">
        <f t="shared" si="8"/>
        <v>39785.380890640277</v>
      </c>
      <c r="D51" s="17">
        <f t="shared" si="9"/>
        <v>32980.606701266559</v>
      </c>
      <c r="E51" s="11">
        <v>63609.503952119179</v>
      </c>
      <c r="F51" s="17">
        <f t="shared" si="10"/>
        <v>73194.032034813936</v>
      </c>
      <c r="G51" s="17">
        <f t="shared" si="11"/>
        <v>55169.698992406571</v>
      </c>
      <c r="H51" s="17">
        <f t="shared" si="12"/>
        <v>99848.996771351143</v>
      </c>
      <c r="I51" s="17">
        <f t="shared" si="13"/>
        <v>112979.41292545421</v>
      </c>
      <c r="J51" s="17">
        <f t="shared" si="14"/>
        <v>88150.30569367313</v>
      </c>
      <c r="L51" s="78">
        <f t="shared" si="15"/>
        <v>0.24641156680364595</v>
      </c>
      <c r="M51" s="78">
        <f t="shared" si="16"/>
        <v>0.24261180606375632</v>
      </c>
      <c r="N51" s="78">
        <f t="shared" si="17"/>
        <v>0.24398822124518715</v>
      </c>
    </row>
    <row r="52" spans="1:14" x14ac:dyDescent="0.25">
      <c r="A52" s="16" t="s">
        <v>630</v>
      </c>
      <c r="B52" s="11">
        <v>37864.157196378394</v>
      </c>
      <c r="C52" s="17">
        <f>C51*((B52/B51)+(B$1/4))</f>
        <v>41966.865927131716</v>
      </c>
      <c r="D52" s="17">
        <f>D51*((B52/B51)-(B$1/4))</f>
        <v>34129.364837994319</v>
      </c>
      <c r="E52" s="11">
        <v>66577.359290461784</v>
      </c>
      <c r="F52" s="17">
        <f>F51*((E52/E51)+(E$1/4))</f>
        <v>77706.987205400961</v>
      </c>
      <c r="G52" s="17">
        <f>G51*((E52/E51)-(E$1/4))</f>
        <v>56916.22932160979</v>
      </c>
      <c r="H52" s="17">
        <f t="shared" ref="H52:J55" si="18">SUM(B52,E52)</f>
        <v>104441.51648684018</v>
      </c>
      <c r="I52" s="17">
        <f t="shared" si="18"/>
        <v>119673.85313253268</v>
      </c>
      <c r="J52" s="17">
        <f t="shared" si="18"/>
        <v>91045.594159604108</v>
      </c>
      <c r="L52" s="78">
        <f t="shared" si="15"/>
        <v>0.23102317494552915</v>
      </c>
      <c r="M52" s="78">
        <f t="shared" si="16"/>
        <v>0.23152993290676904</v>
      </c>
      <c r="N52" s="78">
        <f t="shared" si="17"/>
        <v>0.23134616501256411</v>
      </c>
    </row>
    <row r="53" spans="1:14" x14ac:dyDescent="0.25">
      <c r="A53" s="16" t="s">
        <v>631</v>
      </c>
      <c r="B53" s="11">
        <v>39575.808812051197</v>
      </c>
      <c r="C53" s="17">
        <f>C52*((B53/B52)+(B$1/4))</f>
        <v>44283.649409171878</v>
      </c>
      <c r="D53" s="17">
        <f>D52*((B53/B52)-(B$1/4))</f>
        <v>35330.891281023331</v>
      </c>
      <c r="E53" s="11">
        <v>70222.321178804923</v>
      </c>
      <c r="F53" s="17">
        <f>F52*((E53/E52)+(E$1/4))</f>
        <v>83126.876200181941</v>
      </c>
      <c r="G53" s="17">
        <f>G52*((E53/E52)-(E$1/4))</f>
        <v>59178.522458129512</v>
      </c>
      <c r="H53" s="17">
        <f t="shared" si="18"/>
        <v>109798.12999085612</v>
      </c>
      <c r="I53" s="17">
        <f t="shared" si="18"/>
        <v>127410.52560935382</v>
      </c>
      <c r="J53" s="17">
        <f t="shared" si="18"/>
        <v>94509.413739152835</v>
      </c>
      <c r="L53" s="78">
        <f t="shared" si="15"/>
        <v>0.21278912975832376</v>
      </c>
      <c r="M53" s="78">
        <f t="shared" si="16"/>
        <v>0.22333294705319062</v>
      </c>
      <c r="N53" s="78">
        <f t="shared" si="17"/>
        <v>0.21951145188550414</v>
      </c>
    </row>
    <row r="54" spans="1:14" x14ac:dyDescent="0.25">
      <c r="A54" s="16" t="s">
        <v>632</v>
      </c>
      <c r="B54" s="11">
        <v>41284.414182016852</v>
      </c>
      <c r="C54" s="17">
        <f>C53*((B54/B53)+(B$1/4))</f>
        <v>46638.342753530858</v>
      </c>
      <c r="D54" s="17">
        <f>D53*((B54/B53)-(B$1/4))</f>
        <v>36502.922023433159</v>
      </c>
      <c r="E54" s="11">
        <v>73506.322956987497</v>
      </c>
      <c r="F54" s="17">
        <f>F53*((E54/E53)+(E$1/4))</f>
        <v>88261.27273095031</v>
      </c>
      <c r="G54" s="17">
        <f>G53*((E54/E53)-(E$1/4))</f>
        <v>61058.374513752395</v>
      </c>
      <c r="H54" s="17">
        <f t="shared" si="18"/>
        <v>114790.73713900434</v>
      </c>
      <c r="I54" s="17">
        <f t="shared" si="18"/>
        <v>134899.61548448115</v>
      </c>
      <c r="J54" s="17">
        <f t="shared" si="18"/>
        <v>97561.296537185553</v>
      </c>
      <c r="L54" s="78">
        <f t="shared" si="15"/>
        <v>0.1968932762884168</v>
      </c>
      <c r="M54" s="78">
        <f t="shared" si="16"/>
        <v>0.21047928185555254</v>
      </c>
      <c r="N54" s="78">
        <f t="shared" si="17"/>
        <v>0.20555771206275031</v>
      </c>
    </row>
    <row r="55" spans="1:14" x14ac:dyDescent="0.25">
      <c r="A55" s="16" t="s">
        <v>633</v>
      </c>
      <c r="B55" s="11">
        <v>42931.756166094281</v>
      </c>
      <c r="C55" s="17">
        <f>C54*((B55/B54)+(B$1/4))</f>
        <v>48965.702087057121</v>
      </c>
      <c r="D55" s="17">
        <f>D54*((B55/B54)-(B$1/4))</f>
        <v>37594.442379646476</v>
      </c>
      <c r="E55" s="11">
        <v>76775.970356395497</v>
      </c>
      <c r="F55" s="17">
        <f>F54*((E55/E54)+(E$1/4))</f>
        <v>93511.156681047243</v>
      </c>
      <c r="G55" s="17">
        <f>G54*((E55/E54)-(E$1/4))</f>
        <v>62858.446958878609</v>
      </c>
      <c r="H55" s="17">
        <f t="shared" si="18"/>
        <v>119707.72652248977</v>
      </c>
      <c r="I55" s="17">
        <f t="shared" si="18"/>
        <v>142476.85876810437</v>
      </c>
      <c r="J55" s="17">
        <f t="shared" si="18"/>
        <v>100452.88933852508</v>
      </c>
      <c r="L55" s="78">
        <f t="shared" si="15"/>
        <v>0.18466768782456011</v>
      </c>
      <c r="M55" s="78">
        <f t="shared" si="16"/>
        <v>0.20698898098917917</v>
      </c>
      <c r="N55" s="78">
        <f t="shared" si="17"/>
        <v>0.19888762424537987</v>
      </c>
    </row>
    <row r="56" spans="1:14" x14ac:dyDescent="0.25">
      <c r="A56" s="110" t="s">
        <v>672</v>
      </c>
      <c r="B56" s="111">
        <v>44467.064002497653</v>
      </c>
      <c r="C56" s="109">
        <f t="shared" ref="C56:C63" si="19">C55*((B56/B55)+(B$1/4))</f>
        <v>51206.450440842324</v>
      </c>
      <c r="D56" s="109">
        <f t="shared" ref="D56:D63" si="20">D55*((B56/B55)-(B$1/4))</f>
        <v>38562.934968102272</v>
      </c>
      <c r="E56" s="111">
        <v>79958.091055958532</v>
      </c>
      <c r="F56" s="109">
        <f t="shared" ref="F56:F63" si="21">F55*((E56/E55)+(E$1/4))</f>
        <v>98789.565177008757</v>
      </c>
      <c r="G56" s="109">
        <f t="shared" ref="G56:G63" si="22">G55*((E56/E55)-(E$1/4))</f>
        <v>64520.853708181814</v>
      </c>
      <c r="H56" s="109">
        <f t="shared" ref="H56:H63" si="23">SUM(B56,E56)</f>
        <v>124425.15505845618</v>
      </c>
      <c r="I56" s="109">
        <f t="shared" ref="I56:I63" si="24">SUM(C56,F56)</f>
        <v>149996.01561785108</v>
      </c>
      <c r="J56" s="109">
        <f t="shared" ref="J56:J63" si="25">SUM(D56,G56)</f>
        <v>103083.78867628408</v>
      </c>
      <c r="L56" s="78">
        <f t="shared" si="15"/>
        <v>0.17438409554117351</v>
      </c>
      <c r="M56" s="78">
        <f t="shared" si="16"/>
        <v>0.2009802117131092</v>
      </c>
      <c r="N56" s="78">
        <f t="shared" si="17"/>
        <v>0.19133807363026922</v>
      </c>
    </row>
    <row r="57" spans="1:14" x14ac:dyDescent="0.25">
      <c r="A57" s="110" t="s">
        <v>673</v>
      </c>
      <c r="B57" s="111">
        <v>46136.745121760847</v>
      </c>
      <c r="C57" s="109">
        <f t="shared" si="19"/>
        <v>53641.251366093791</v>
      </c>
      <c r="D57" s="109">
        <f t="shared" si="20"/>
        <v>39625.294278432579</v>
      </c>
      <c r="E57" s="111">
        <v>83468.962040139217</v>
      </c>
      <c r="F57" s="109">
        <f t="shared" si="21"/>
        <v>104609.14875500035</v>
      </c>
      <c r="G57" s="109">
        <f t="shared" si="22"/>
        <v>66386.079937971896</v>
      </c>
      <c r="H57" s="109">
        <f t="shared" si="23"/>
        <v>129605.70716190006</v>
      </c>
      <c r="I57" s="109">
        <f t="shared" si="24"/>
        <v>158250.40012109414</v>
      </c>
      <c r="J57" s="109">
        <f t="shared" si="25"/>
        <v>106011.37421640448</v>
      </c>
      <c r="L57" s="78">
        <f t="shared" si="15"/>
        <v>0.1657814838571734</v>
      </c>
      <c r="M57" s="78">
        <f t="shared" si="16"/>
        <v>0.18863860719734382</v>
      </c>
      <c r="N57" s="78">
        <f t="shared" si="17"/>
        <v>0.18039995009654075</v>
      </c>
    </row>
    <row r="58" spans="1:14" x14ac:dyDescent="0.25">
      <c r="A58" s="110" t="s">
        <v>674</v>
      </c>
      <c r="B58" s="111">
        <v>47843.996604745538</v>
      </c>
      <c r="C58" s="109">
        <f t="shared" si="19"/>
        <v>56162.613310024011</v>
      </c>
      <c r="D58" s="109">
        <f t="shared" si="20"/>
        <v>40695.342051964952</v>
      </c>
      <c r="E58" s="111">
        <v>86956.725975560839</v>
      </c>
      <c r="F58" s="109">
        <f t="shared" si="21"/>
        <v>110549.39600644748</v>
      </c>
      <c r="G58" s="109">
        <f t="shared" si="22"/>
        <v>68164.241712108473</v>
      </c>
      <c r="H58" s="109">
        <f t="shared" si="23"/>
        <v>134800.72258030638</v>
      </c>
      <c r="I58" s="109">
        <f t="shared" si="24"/>
        <v>166712.00931647149</v>
      </c>
      <c r="J58" s="109">
        <f t="shared" si="25"/>
        <v>108859.58376407342</v>
      </c>
      <c r="L58" s="78">
        <f t="shared" si="15"/>
        <v>0.15888762267059087</v>
      </c>
      <c r="M58" s="78">
        <f t="shared" si="16"/>
        <v>0.18298293911999775</v>
      </c>
      <c r="N58" s="78">
        <f t="shared" si="17"/>
        <v>0.17431707418231146</v>
      </c>
    </row>
    <row r="59" spans="1:14" x14ac:dyDescent="0.25">
      <c r="A59" s="110" t="s">
        <v>675</v>
      </c>
      <c r="B59" s="111">
        <v>49418.905635341856</v>
      </c>
      <c r="C59" s="109">
        <f t="shared" si="19"/>
        <v>58572.977281950036</v>
      </c>
      <c r="D59" s="109">
        <f t="shared" si="20"/>
        <v>41627.981187441939</v>
      </c>
      <c r="E59" s="111">
        <v>90041.516984896298</v>
      </c>
      <c r="F59" s="109">
        <f t="shared" si="21"/>
        <v>116129.37823868987</v>
      </c>
      <c r="G59" s="109">
        <f t="shared" si="22"/>
        <v>69559.905466829587</v>
      </c>
      <c r="H59" s="109">
        <f t="shared" si="23"/>
        <v>139460.42262023815</v>
      </c>
      <c r="I59" s="109">
        <f t="shared" si="24"/>
        <v>174702.35552063992</v>
      </c>
      <c r="J59" s="109">
        <f t="shared" si="25"/>
        <v>111187.88665427153</v>
      </c>
      <c r="L59" s="78">
        <f t="shared" si="15"/>
        <v>0.1511037527593817</v>
      </c>
      <c r="M59" s="78">
        <f t="shared" si="16"/>
        <v>0.17278253295818846</v>
      </c>
      <c r="N59" s="78">
        <f t="shared" si="17"/>
        <v>0.16500769558961936</v>
      </c>
    </row>
    <row r="60" spans="1:14" x14ac:dyDescent="0.25">
      <c r="A60" s="110" t="s">
        <v>676</v>
      </c>
      <c r="B60" s="111">
        <v>50942.705432407114</v>
      </c>
      <c r="C60" s="109">
        <f t="shared" si="19"/>
        <v>60964.766694259284</v>
      </c>
      <c r="D60" s="109">
        <f t="shared" si="20"/>
        <v>42495.273087044203</v>
      </c>
      <c r="E60" s="111">
        <v>93087.0960327012</v>
      </c>
      <c r="F60" s="109">
        <f t="shared" si="21"/>
        <v>121799.29806057454</v>
      </c>
      <c r="G60" s="109">
        <f t="shared" si="22"/>
        <v>70869.312543272477</v>
      </c>
      <c r="H60" s="109">
        <f t="shared" si="23"/>
        <v>144029.80146510832</v>
      </c>
      <c r="I60" s="109">
        <f t="shared" si="24"/>
        <v>182764.06475483382</v>
      </c>
      <c r="J60" s="109">
        <f t="shared" si="25"/>
        <v>113364.58563031668</v>
      </c>
      <c r="L60" s="78">
        <f t="shared" si="15"/>
        <v>0.14562781634392885</v>
      </c>
      <c r="M60" s="78">
        <f t="shared" si="16"/>
        <v>0.16419857957282091</v>
      </c>
      <c r="N60" s="78">
        <f t="shared" si="17"/>
        <v>0.1575617598984842</v>
      </c>
    </row>
    <row r="61" spans="1:14" x14ac:dyDescent="0.25">
      <c r="A61" s="110" t="s">
        <v>677</v>
      </c>
      <c r="B61" s="111">
        <v>52648.603028410856</v>
      </c>
      <c r="C61" s="109">
        <f t="shared" si="19"/>
        <v>63615.916634430316</v>
      </c>
      <c r="D61" s="109">
        <f t="shared" si="20"/>
        <v>43493.342231148526</v>
      </c>
      <c r="E61" s="111">
        <v>96659.935920372111</v>
      </c>
      <c r="F61" s="109">
        <f t="shared" si="21"/>
        <v>128301.15020254838</v>
      </c>
      <c r="G61" s="109">
        <f t="shared" si="22"/>
        <v>72526.356706245686</v>
      </c>
      <c r="H61" s="109">
        <f t="shared" si="23"/>
        <v>149308.53894878295</v>
      </c>
      <c r="I61" s="109">
        <f t="shared" si="24"/>
        <v>191917.06683697869</v>
      </c>
      <c r="J61" s="109">
        <f t="shared" si="25"/>
        <v>116019.69893739422</v>
      </c>
      <c r="L61" s="78">
        <f t="shared" si="15"/>
        <v>0.14114255111548024</v>
      </c>
      <c r="M61" s="78">
        <f t="shared" si="16"/>
        <v>0.15803447841952933</v>
      </c>
      <c r="N61" s="78">
        <f t="shared" si="17"/>
        <v>0.15202132852275274</v>
      </c>
    </row>
    <row r="62" spans="1:14" x14ac:dyDescent="0.25">
      <c r="A62" s="110" t="s">
        <v>678</v>
      </c>
      <c r="B62" s="111">
        <v>54431.333710583822</v>
      </c>
      <c r="C62" s="109">
        <f t="shared" si="19"/>
        <v>66406.169925504902</v>
      </c>
      <c r="D62" s="109">
        <f t="shared" si="20"/>
        <v>44531.133842469484</v>
      </c>
      <c r="E62" s="111">
        <v>100246.78008001822</v>
      </c>
      <c r="F62" s="109">
        <f t="shared" si="21"/>
        <v>134986.64962361736</v>
      </c>
      <c r="G62" s="109">
        <f t="shared" si="22"/>
        <v>74129.75983930206</v>
      </c>
      <c r="H62" s="109">
        <f t="shared" si="23"/>
        <v>154678.11379060204</v>
      </c>
      <c r="I62" s="109">
        <f t="shared" si="24"/>
        <v>201392.81954912224</v>
      </c>
      <c r="J62" s="109">
        <f t="shared" si="25"/>
        <v>118660.89368177154</v>
      </c>
      <c r="L62" s="78">
        <f t="shared" si="15"/>
        <v>0.1376836713759173</v>
      </c>
      <c r="M62" s="78">
        <f t="shared" si="16"/>
        <v>0.15283526323418095</v>
      </c>
      <c r="N62" s="78">
        <f t="shared" si="17"/>
        <v>0.14745760133781105</v>
      </c>
    </row>
    <row r="63" spans="1:14" x14ac:dyDescent="0.25">
      <c r="A63" s="110" t="s">
        <v>679</v>
      </c>
      <c r="B63" s="111">
        <v>56262.1273805807</v>
      </c>
      <c r="C63" s="109">
        <f t="shared" si="19"/>
        <v>69303.797978191273</v>
      </c>
      <c r="D63" s="109">
        <f t="shared" si="20"/>
        <v>45583.623722550015</v>
      </c>
      <c r="E63" s="111">
        <v>103665.22286916262</v>
      </c>
      <c r="F63" s="109">
        <f t="shared" si="21"/>
        <v>141614.5312691388</v>
      </c>
      <c r="G63" s="109">
        <f t="shared" si="22"/>
        <v>75545.658653113802</v>
      </c>
      <c r="H63" s="109">
        <f t="shared" si="23"/>
        <v>159927.35024974332</v>
      </c>
      <c r="I63" s="109">
        <f t="shared" si="24"/>
        <v>210918.32924733008</v>
      </c>
      <c r="J63" s="109">
        <f t="shared" si="25"/>
        <v>121129.28237566381</v>
      </c>
      <c r="L63" s="78">
        <f t="shared" si="15"/>
        <v>0.13847376135227329</v>
      </c>
      <c r="M63" s="78">
        <f t="shared" si="16"/>
        <v>0.15130471298647241</v>
      </c>
      <c r="N63" s="78">
        <f t="shared" si="17"/>
        <v>0.14675796362125082</v>
      </c>
    </row>
    <row r="64" spans="1:14" x14ac:dyDescent="0.25">
      <c r="A64" s="110" t="s">
        <v>767</v>
      </c>
      <c r="B64" s="23"/>
      <c r="C64" s="22"/>
      <c r="D64" s="22"/>
      <c r="E64" s="23"/>
      <c r="F64" s="22"/>
      <c r="G64" s="22"/>
      <c r="H64" s="22"/>
      <c r="I64" s="22"/>
      <c r="J64" s="22"/>
    </row>
    <row r="65" spans="1:10" x14ac:dyDescent="0.25">
      <c r="A65" s="110" t="s">
        <v>768</v>
      </c>
      <c r="B65" s="23"/>
      <c r="C65" s="22"/>
      <c r="D65" s="22"/>
      <c r="E65" s="23"/>
      <c r="F65" s="22"/>
      <c r="G65" s="22"/>
      <c r="H65" s="22"/>
      <c r="I65" s="22"/>
      <c r="J65" s="22"/>
    </row>
    <row r="66" spans="1:10" x14ac:dyDescent="0.25">
      <c r="A66" s="110" t="s">
        <v>769</v>
      </c>
      <c r="B66" s="23"/>
      <c r="C66" s="22"/>
      <c r="D66" s="22"/>
      <c r="E66" s="23"/>
      <c r="F66" s="22"/>
      <c r="G66" s="22"/>
      <c r="H66" s="22"/>
      <c r="I66" s="22"/>
      <c r="J66" s="22"/>
    </row>
    <row r="67" spans="1:10" x14ac:dyDescent="0.25">
      <c r="A67" s="110" t="s">
        <v>770</v>
      </c>
      <c r="B67" s="23"/>
      <c r="C67" s="22"/>
      <c r="D67" s="22"/>
      <c r="E67" s="23"/>
      <c r="F67" s="22"/>
      <c r="G67" s="22"/>
      <c r="H67" s="22"/>
      <c r="I67" s="22"/>
      <c r="J67" s="22"/>
    </row>
    <row r="68" spans="1:10" x14ac:dyDescent="0.25">
      <c r="A68" s="21"/>
      <c r="B68" s="22"/>
      <c r="C68" s="22"/>
      <c r="D68" s="22"/>
      <c r="E68" s="22"/>
      <c r="F68" s="22"/>
      <c r="G68" s="22"/>
      <c r="H68" s="22"/>
      <c r="I68" s="22"/>
      <c r="J68" s="22"/>
    </row>
    <row r="69" spans="1:10" x14ac:dyDescent="0.25">
      <c r="H69" s="6">
        <f>H36/H32-1</f>
        <v>0.16523316548337652</v>
      </c>
    </row>
    <row r="70" spans="1:10" x14ac:dyDescent="0.25">
      <c r="A70" s="4" t="s">
        <v>246</v>
      </c>
      <c r="H70" s="4">
        <v>72000</v>
      </c>
    </row>
    <row r="71" spans="1:10" x14ac:dyDescent="0.25">
      <c r="A71" s="4">
        <v>2013</v>
      </c>
      <c r="H71" s="4">
        <f>(H70/AVERAGE(H32:H35))^(1/2)-1</f>
        <v>0.4742248360742134</v>
      </c>
    </row>
    <row r="72" spans="1:10" x14ac:dyDescent="0.25">
      <c r="A72" s="4">
        <v>2014</v>
      </c>
      <c r="B72" s="6">
        <f>AVERAGE(B8:B11)/AVERAGE(B4:B7)-1</f>
        <v>0.80350953206239173</v>
      </c>
      <c r="C72" s="6"/>
      <c r="D72" s="6"/>
      <c r="E72" s="6">
        <f>AVERAGE(E8:E11)/AVERAGE(E4:E7)-1</f>
        <v>0.56442392260334207</v>
      </c>
      <c r="F72" s="6"/>
      <c r="G72" s="6"/>
      <c r="H72" s="6">
        <f>AVERAGE(H8:H11)/AVERAGE(H4:H7)-1</f>
        <v>0.6449095682613768</v>
      </c>
      <c r="I72" s="6"/>
      <c r="J72" s="6"/>
    </row>
    <row r="73" spans="1:10" x14ac:dyDescent="0.25">
      <c r="A73" s="75">
        <v>2015</v>
      </c>
      <c r="B73" s="76">
        <f>AVERAGE(B12:B15)/AVERAGE(B8:B11)-1</f>
        <v>0.44180180180180173</v>
      </c>
      <c r="C73" s="76"/>
      <c r="D73" s="76"/>
      <c r="E73" s="76">
        <f>AVERAGE(E12:E15)/AVERAGE(E8:E11)-1</f>
        <v>0.47624736472241747</v>
      </c>
      <c r="F73" s="76"/>
      <c r="G73" s="76"/>
      <c r="H73" s="76">
        <f>AVERAGE(H12:H15)/AVERAGE(H8:H11)-1</f>
        <v>0.46353358457104865</v>
      </c>
      <c r="I73" s="6"/>
      <c r="J73" s="6"/>
    </row>
    <row r="74" spans="1:10" x14ac:dyDescent="0.25">
      <c r="A74" s="75">
        <v>2016</v>
      </c>
      <c r="B74" s="76">
        <f>AVERAGE(B16:B19)/AVERAGE(B12:B15)-1</f>
        <v>0.44547196534199784</v>
      </c>
      <c r="C74" s="76"/>
      <c r="D74" s="76"/>
      <c r="E74" s="76">
        <f>AVERAGE(E16:E19)/AVERAGE(E12:E15)-1</f>
        <v>0.38858475746179844</v>
      </c>
      <c r="F74" s="76"/>
      <c r="G74" s="76"/>
      <c r="H74" s="76">
        <f>AVERAGE(H16:H19)/AVERAGE(H12:H15)-1</f>
        <v>0.40926991820660397</v>
      </c>
      <c r="I74" s="6"/>
      <c r="J74" s="6"/>
    </row>
    <row r="75" spans="1:10" x14ac:dyDescent="0.25">
      <c r="A75" s="75">
        <v>2017</v>
      </c>
      <c r="B75" s="76">
        <f>AVERAGE(B20:B23)/AVERAGE(B16:B19)-1</f>
        <v>0.41383285302593653</v>
      </c>
      <c r="C75" s="76"/>
      <c r="D75" s="76"/>
      <c r="E75" s="76">
        <f>AVERAGE(E20:E23)/AVERAGE(E16:E19)-1</f>
        <v>0.33167637984230369</v>
      </c>
      <c r="F75" s="76"/>
      <c r="G75" s="76"/>
      <c r="H75" s="76">
        <f>AVERAGE(H20:H23)/AVERAGE(H16:H19)-1</f>
        <v>0.36231728288907994</v>
      </c>
      <c r="I75" s="6"/>
      <c r="J75" s="6"/>
    </row>
    <row r="76" spans="1:10" x14ac:dyDescent="0.25">
      <c r="A76" s="75">
        <v>2018</v>
      </c>
      <c r="B76" s="76">
        <f>AVERAGE(B24:B27)/AVERAGE(B20:B23)-1</f>
        <v>0.3522625356706075</v>
      </c>
      <c r="C76" s="76"/>
      <c r="D76" s="76"/>
      <c r="E76" s="76">
        <f>AVERAGE(E24:E27)/AVERAGE(E20:E23)-1</f>
        <v>0.25220749131162301</v>
      </c>
      <c r="F76" s="76"/>
      <c r="G76" s="76"/>
      <c r="H76" s="76">
        <f>AVERAGE(H24:H27)/AVERAGE(H20:H23)-1</f>
        <v>0.29093491124260362</v>
      </c>
      <c r="I76" s="6"/>
      <c r="J76" s="6"/>
    </row>
    <row r="77" spans="1:10" x14ac:dyDescent="0.25">
      <c r="A77" s="108">
        <v>2019</v>
      </c>
      <c r="B77" s="76">
        <f>AVERAGE(B28:B31)/AVERAGE(B24:B27)-1</f>
        <v>0.27548159536944916</v>
      </c>
      <c r="C77" s="76"/>
      <c r="D77" s="76"/>
      <c r="E77" s="76">
        <f>AVERAGE(E28:E31)/AVERAGE(E24:E27)-1</f>
        <v>0.37516960651289</v>
      </c>
      <c r="F77" s="76"/>
      <c r="G77" s="76"/>
      <c r="H77" s="76">
        <f>AVERAGE(H28:H30)/AVERAGE(H24:H26)-1</f>
        <v>0.34207848590713308</v>
      </c>
      <c r="I77" s="6"/>
      <c r="J77" s="6"/>
    </row>
    <row r="78" spans="1:10" x14ac:dyDescent="0.25">
      <c r="A78" s="75">
        <v>2020</v>
      </c>
      <c r="B78" s="76">
        <f>AVERAGE(B32:B35)/AVERAGE(B28:B31)-1</f>
        <v>0.13588125457940392</v>
      </c>
      <c r="C78" s="115"/>
      <c r="D78" s="76"/>
      <c r="E78" s="76">
        <f>AVERAGE(E32:E35)/AVERAGE(E28:E31)-1</f>
        <v>0.26260632970055764</v>
      </c>
      <c r="F78" s="115"/>
      <c r="G78" s="76"/>
      <c r="H78" s="76">
        <f>AVERAGE(H32:H35)/AVERAGE(H28:H31)-1</f>
        <v>0.21350732600732591</v>
      </c>
      <c r="I78" s="68"/>
    </row>
    <row r="79" spans="1:10" x14ac:dyDescent="0.25">
      <c r="A79" s="4">
        <v>2021</v>
      </c>
      <c r="B79" s="6">
        <f>SUM(B36:B39)/SUM(B32:B35)-1</f>
        <v>0.21376253693453751</v>
      </c>
      <c r="C79"/>
      <c r="D79" s="6"/>
      <c r="E79" s="6">
        <f>SUM(E36:E39)/SUM(E32:E35)-1</f>
        <v>0.28065169257728795</v>
      </c>
      <c r="F79"/>
      <c r="G79" s="6"/>
      <c r="H79" s="6">
        <f>SUM(H36:H39)/SUM(H32:H35)-1</f>
        <v>0.2563936158170772</v>
      </c>
      <c r="I79" s="6"/>
      <c r="J79" s="6"/>
    </row>
    <row r="80" spans="1:10" x14ac:dyDescent="0.25">
      <c r="A80" s="4">
        <v>2022</v>
      </c>
      <c r="B80" s="6">
        <f>SUM(B40:B43)/SUM(B36:B39)-1</f>
        <v>0.36324078002145987</v>
      </c>
      <c r="C80"/>
      <c r="D80" s="6"/>
      <c r="E80" s="6">
        <f>SUM(E40:E43)/SUM(E36:E39)-1</f>
        <v>0.34215914559950811</v>
      </c>
      <c r="F80"/>
      <c r="G80" s="6"/>
      <c r="H80" s="6">
        <f>SUM(H40:H43)/SUM(H36:H39)-1</f>
        <v>0.34954520741346129</v>
      </c>
    </row>
    <row r="81" spans="1:10" x14ac:dyDescent="0.25">
      <c r="A81" s="4">
        <v>2023</v>
      </c>
      <c r="B81" s="6">
        <f>SUM(B44:B47)/SUM(B40:B43)-1</f>
        <v>0.33399734395750325</v>
      </c>
      <c r="C81"/>
      <c r="E81" s="6">
        <f>SUM(E44:E47)/SUM(E40:E43)-1</f>
        <v>0.29253398739626491</v>
      </c>
      <c r="F81"/>
      <c r="H81" s="6">
        <f>SUM(H44:H47)/SUM(H40:H43)-1</f>
        <v>0.30720831627785916</v>
      </c>
    </row>
    <row r="82" spans="1:10" x14ac:dyDescent="0.25">
      <c r="A82" s="4">
        <v>2024</v>
      </c>
      <c r="B82" s="6">
        <f>SUM(B48:B51)/SUM(B44:B47)-1</f>
        <v>0.26437441768452241</v>
      </c>
      <c r="C82"/>
      <c r="E82" s="6">
        <f>SUM(E48:E51)/SUM(E44:E47)-1</f>
        <v>0.25668597871010501</v>
      </c>
      <c r="F82"/>
      <c r="H82" s="6">
        <f>SUM(H48:H51)/SUM(H44:H47)-1</f>
        <v>0.25946276288903847</v>
      </c>
    </row>
    <row r="83" spans="1:10" x14ac:dyDescent="0.25">
      <c r="A83" s="4">
        <v>2025</v>
      </c>
      <c r="B83" s="6">
        <f>SUM(B52:B55)/SUM(B48:B51)-1</f>
        <v>0.20528440922626556</v>
      </c>
      <c r="C83"/>
      <c r="E83" s="6">
        <f>SUM(E52:E55)/SUM(E48:E51)-1</f>
        <v>0.21749304382169621</v>
      </c>
      <c r="F83"/>
      <c r="H83" s="6">
        <f>SUM(H52:H55)/SUM(H48:H51)-1</f>
        <v>0.21306653413946064</v>
      </c>
    </row>
    <row r="84" spans="1:10" x14ac:dyDescent="0.25">
      <c r="A84" s="4">
        <v>2026</v>
      </c>
      <c r="B84" s="6">
        <f>SUM(B56:B59)/SUM(B52:B55)-1</f>
        <v>0.16213782908924923</v>
      </c>
      <c r="C84"/>
      <c r="E84" s="6">
        <f>SUM(E56:E59)/SUM(E52:E55)-1</f>
        <v>0.18581216218853047</v>
      </c>
      <c r="F84"/>
      <c r="H84" s="6">
        <f>SUM(H56:H59)/SUM(H52:H55)-1</f>
        <v>0.17728357695546326</v>
      </c>
      <c r="I84" s="6"/>
      <c r="J84" s="6"/>
    </row>
    <row r="85" spans="1:10" x14ac:dyDescent="0.25">
      <c r="A85" s="4">
        <v>2027</v>
      </c>
      <c r="B85" s="6">
        <f>SUM(B60:B63)/SUM(B56:B59)-1</f>
        <v>0.14062128407837937</v>
      </c>
      <c r="C85"/>
      <c r="E85" s="6">
        <f>SUM(E60:E63)/SUM(E56:E59)-1</f>
        <v>0.156374216200595</v>
      </c>
      <c r="F85"/>
      <c r="H85" s="6">
        <f>SUM(H60:H63)/SUM(H56:H59)-1</f>
        <v>0.1507722924338617</v>
      </c>
    </row>
    <row r="89" spans="1:10" x14ac:dyDescent="0.25">
      <c r="A89"/>
      <c r="B89">
        <v>2016</v>
      </c>
      <c r="C89">
        <v>2017</v>
      </c>
      <c r="D89">
        <v>2018</v>
      </c>
      <c r="E89" s="4">
        <v>2019</v>
      </c>
      <c r="F89" s="123">
        <v>2020</v>
      </c>
      <c r="G89" s="4">
        <v>2021</v>
      </c>
      <c r="H89" s="123">
        <v>2022</v>
      </c>
      <c r="I89" s="4">
        <v>2023</v>
      </c>
      <c r="J89" s="123">
        <v>2024</v>
      </c>
    </row>
    <row r="90" spans="1:10" x14ac:dyDescent="0.25">
      <c r="A90" t="s">
        <v>635</v>
      </c>
      <c r="B90" s="10">
        <v>41254921</v>
      </c>
      <c r="C90" s="10">
        <v>50421830</v>
      </c>
      <c r="D90" s="10">
        <v>68100000</v>
      </c>
      <c r="E90" s="10">
        <v>86851000</v>
      </c>
      <c r="F90" s="124">
        <v>117091452.5</v>
      </c>
      <c r="G90" s="124">
        <v>142995968</v>
      </c>
    </row>
    <row r="91" spans="1:10" x14ac:dyDescent="0.25">
      <c r="A91" t="s">
        <v>639</v>
      </c>
      <c r="B91" s="25">
        <f>B90*3.6/116.09/1000000</f>
        <v>1.279332548884486</v>
      </c>
      <c r="C91" s="25">
        <f>C90*3.6/116.09/1000000</f>
        <v>1.5636022740976827</v>
      </c>
      <c r="D91" s="25">
        <f>D90*3.6/116.09/1000000</f>
        <v>2.1118098027392538</v>
      </c>
      <c r="E91" s="25">
        <f>E90*ED_eon_T2/ED_gas_T2/1000000</f>
        <v>2.5527726975832787</v>
      </c>
      <c r="F91" s="25">
        <f>F90*ED_eon_T2/ED_gas_T2/1000000</f>
        <v>3.4416168272370999</v>
      </c>
      <c r="G91" s="25">
        <f>G90*ED_eon_T1/ED_gas_T1/1000000</f>
        <v>4.203016694970608</v>
      </c>
    </row>
    <row r="92" spans="1:10" x14ac:dyDescent="0.25">
      <c r="A92" t="s">
        <v>640</v>
      </c>
      <c r="B92" s="25">
        <f>B91+SUM(Forecast_Main!H90:K90)/1000000</f>
        <v>1.3264875488844861</v>
      </c>
      <c r="C92" s="25">
        <f>C91+SUM(Forecast_Main!L90:O90)/1000000</f>
        <v>1.6431522740976827</v>
      </c>
      <c r="D92" s="25">
        <f>D91+SUM(Forecast_Main!P90:S90)/1000000</f>
        <v>2.2355978027392536</v>
      </c>
      <c r="E92" s="25">
        <f>E91+SUM(Forecast_Main!T90:W90)/1000000</f>
        <v>2.7895996975832786</v>
      </c>
      <c r="F92" s="25">
        <f>F91+SUM(Forecast_Main!X90:AA90)/1000000</f>
        <v>3.6727678272371</v>
      </c>
      <c r="G92" s="25">
        <f>G91+SUM(Forecast_Main!AB90:AE90)/1000000</f>
        <v>4.6745316949706082</v>
      </c>
    </row>
    <row r="93" spans="1:10" x14ac:dyDescent="0.25">
      <c r="A93"/>
      <c r="B93"/>
      <c r="C93"/>
      <c r="D93"/>
    </row>
    <row r="94" spans="1:10" x14ac:dyDescent="0.25">
      <c r="A94"/>
      <c r="B94" t="s">
        <v>636</v>
      </c>
      <c r="C94" t="s">
        <v>637</v>
      </c>
      <c r="D94" t="s">
        <v>638</v>
      </c>
    </row>
    <row r="95" spans="1:10" x14ac:dyDescent="0.25">
      <c r="A95">
        <v>2016</v>
      </c>
      <c r="B95" s="10">
        <f>B90*(B92/B91)</f>
        <v>42775538.763888896</v>
      </c>
      <c r="C95" s="10">
        <f>AVERAGE(H16:H19)</f>
        <v>11630</v>
      </c>
      <c r="D95" s="10">
        <f t="shared" ref="D95:D102" si="26">B95/C95</f>
        <v>3678.0342875226911</v>
      </c>
    </row>
    <row r="96" spans="1:10" x14ac:dyDescent="0.25">
      <c r="A96">
        <v>2017</v>
      </c>
      <c r="B96" s="10">
        <f>C90*(C92/C91)</f>
        <v>52987096.527777784</v>
      </c>
      <c r="C96" s="10">
        <f>AVERAGE(H20:H23)</f>
        <v>15843.75</v>
      </c>
      <c r="D96" s="10">
        <f t="shared" si="26"/>
        <v>3344.3532325224637</v>
      </c>
    </row>
    <row r="97" spans="1:6" x14ac:dyDescent="0.25">
      <c r="A97">
        <v>2018</v>
      </c>
      <c r="B97" s="10">
        <f>D90*(D92/D91)</f>
        <v>72091819.144444436</v>
      </c>
      <c r="C97" s="10">
        <f>AVERAGE(H24:H27)</f>
        <v>20453.25</v>
      </c>
      <c r="D97" s="10">
        <f t="shared" si="26"/>
        <v>3524.712167721239</v>
      </c>
    </row>
    <row r="98" spans="1:6" x14ac:dyDescent="0.25">
      <c r="A98">
        <v>2019</v>
      </c>
      <c r="B98" s="10">
        <f>E90*E92/E91</f>
        <v>94908380.822222218</v>
      </c>
      <c r="C98" s="10">
        <f>AVERAGE(H28:H31)</f>
        <v>27300</v>
      </c>
      <c r="D98" s="10">
        <f t="shared" si="26"/>
        <v>3476.4974660154658</v>
      </c>
    </row>
    <row r="99" spans="1:6" x14ac:dyDescent="0.25">
      <c r="A99">
        <v>2020</v>
      </c>
      <c r="B99" s="124">
        <f>F90*F92/F91</f>
        <v>124955723.18888889</v>
      </c>
      <c r="C99" s="10">
        <f>AVERAGE(H32:H35)</f>
        <v>33128.75</v>
      </c>
      <c r="D99" s="124">
        <f t="shared" si="26"/>
        <v>3771.8212485798254</v>
      </c>
      <c r="F99" s="4">
        <f>F90/C99/365</f>
        <v>9.6833867864015382</v>
      </c>
    </row>
    <row r="100" spans="1:6" x14ac:dyDescent="0.25">
      <c r="A100">
        <v>2021</v>
      </c>
      <c r="B100" s="124">
        <f>G90*G92/G91</f>
        <v>159037956.11111113</v>
      </c>
      <c r="C100" s="10">
        <f>AVERAGE(H36:H39)</f>
        <v>41622.75</v>
      </c>
      <c r="D100" s="124">
        <f t="shared" si="26"/>
        <v>3820.9382155458525</v>
      </c>
    </row>
    <row r="101" spans="1:6" x14ac:dyDescent="0.25">
      <c r="A101">
        <v>2022</v>
      </c>
      <c r="B101" s="124">
        <f>SUM(Forecast_Main!AF93:AI93)*ED_gas_T1/ED_eon_T1</f>
        <v>201400561.39385679</v>
      </c>
      <c r="C101" s="10">
        <f>AVERAGE(H40:H43)</f>
        <v>56171.782781868642</v>
      </c>
      <c r="D101" s="124">
        <f t="shared" si="26"/>
        <v>3585.4400807600091</v>
      </c>
    </row>
    <row r="102" spans="1:6" x14ac:dyDescent="0.25">
      <c r="A102" s="174">
        <v>2023</v>
      </c>
      <c r="B102" s="124">
        <f>SUM(Forecast_Main!AJ93:AM93)*ED_gas_T0/ED_eon_T0</f>
        <v>265842505.85413098</v>
      </c>
      <c r="C102" s="124">
        <f>AVERAGE(H44:H47)</f>
        <v>73428.221592612143</v>
      </c>
      <c r="D102" s="124">
        <f t="shared" si="26"/>
        <v>3620.4404803517436</v>
      </c>
    </row>
  </sheetData>
  <mergeCells count="1">
    <mergeCell ref="L2:N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148"/>
  <sheetViews>
    <sheetView zoomScale="85" zoomScaleNormal="85" workbookViewId="0">
      <pane xSplit="4" ySplit="6" topLeftCell="E40" activePane="bottomRight" state="frozen"/>
      <selection pane="topRight" activeCell="E1" sqref="E1"/>
      <selection pane="bottomLeft" activeCell="A7" sqref="A7"/>
      <selection pane="bottomRight" activeCell="L7" sqref="L7:AO148"/>
    </sheetView>
  </sheetViews>
  <sheetFormatPr defaultRowHeight="15" x14ac:dyDescent="0.25"/>
  <cols>
    <col min="1" max="1" width="47.28515625" customWidth="1"/>
    <col min="2" max="2" width="90.5703125" bestFit="1" customWidth="1"/>
    <col min="3" max="3" width="26.5703125" customWidth="1"/>
    <col min="4" max="4" width="15.85546875" customWidth="1"/>
    <col min="5" max="16" width="8.5703125" customWidth="1"/>
  </cols>
  <sheetData>
    <row r="1" spans="1:42" x14ac:dyDescent="0.25">
      <c r="A1" t="s">
        <v>654</v>
      </c>
    </row>
    <row r="2" spans="1:42" x14ac:dyDescent="0.25">
      <c r="A2" s="90" t="s">
        <v>655</v>
      </c>
    </row>
    <row r="3" spans="1:42" x14ac:dyDescent="0.25">
      <c r="A3" s="123" t="s">
        <v>733</v>
      </c>
    </row>
    <row r="4" spans="1:42" x14ac:dyDescent="0.25">
      <c r="A4" t="s">
        <v>216</v>
      </c>
    </row>
    <row r="5" spans="1:42" x14ac:dyDescent="0.25">
      <c r="B5" t="s">
        <v>215</v>
      </c>
      <c r="C5" t="s">
        <v>214</v>
      </c>
      <c r="D5" t="s">
        <v>9</v>
      </c>
      <c r="E5">
        <v>2014</v>
      </c>
      <c r="F5">
        <v>2015</v>
      </c>
      <c r="G5">
        <v>2016</v>
      </c>
      <c r="H5">
        <v>2017</v>
      </c>
      <c r="I5">
        <v>2018</v>
      </c>
      <c r="J5">
        <v>2019</v>
      </c>
      <c r="K5">
        <v>2020</v>
      </c>
      <c r="L5">
        <v>2021</v>
      </c>
      <c r="M5">
        <v>2022</v>
      </c>
      <c r="N5">
        <v>2023</v>
      </c>
      <c r="O5">
        <v>2024</v>
      </c>
      <c r="P5">
        <v>2025</v>
      </c>
      <c r="Q5">
        <v>2026</v>
      </c>
      <c r="R5">
        <v>2027</v>
      </c>
      <c r="S5">
        <v>2028</v>
      </c>
      <c r="T5">
        <v>2029</v>
      </c>
      <c r="U5">
        <v>2030</v>
      </c>
      <c r="V5">
        <v>2031</v>
      </c>
      <c r="W5">
        <v>2032</v>
      </c>
      <c r="X5">
        <v>2033</v>
      </c>
      <c r="Y5">
        <v>2034</v>
      </c>
      <c r="Z5">
        <v>2035</v>
      </c>
      <c r="AA5">
        <v>2036</v>
      </c>
      <c r="AB5">
        <v>2037</v>
      </c>
      <c r="AC5">
        <v>2038</v>
      </c>
      <c r="AD5">
        <v>2039</v>
      </c>
      <c r="AE5">
        <v>2040</v>
      </c>
      <c r="AF5">
        <v>2041</v>
      </c>
      <c r="AG5">
        <v>2042</v>
      </c>
      <c r="AH5">
        <v>2043</v>
      </c>
      <c r="AI5">
        <v>2044</v>
      </c>
      <c r="AJ5">
        <v>2045</v>
      </c>
      <c r="AK5">
        <v>2046</v>
      </c>
      <c r="AL5">
        <v>2047</v>
      </c>
      <c r="AM5">
        <v>2048</v>
      </c>
      <c r="AN5">
        <v>2049</v>
      </c>
      <c r="AO5">
        <v>2050</v>
      </c>
      <c r="AP5" t="s">
        <v>436</v>
      </c>
    </row>
    <row r="6" spans="1:42" x14ac:dyDescent="0.25">
      <c r="A6" t="s">
        <v>213</v>
      </c>
      <c r="C6" t="s">
        <v>435</v>
      </c>
    </row>
    <row r="7" spans="1:42" x14ac:dyDescent="0.25">
      <c r="A7" t="s">
        <v>11</v>
      </c>
      <c r="B7" t="s">
        <v>212</v>
      </c>
      <c r="C7" t="s">
        <v>434</v>
      </c>
      <c r="D7" t="s">
        <v>42</v>
      </c>
      <c r="H7">
        <v>2.7188E-2</v>
      </c>
      <c r="I7">
        <v>3.0984000000000001E-2</v>
      </c>
      <c r="J7">
        <v>3.7754999999999997E-2</v>
      </c>
      <c r="K7">
        <v>3.6566000000000001E-2</v>
      </c>
      <c r="L7">
        <v>3.8239000000000002E-2</v>
      </c>
      <c r="M7">
        <v>3.8084E-2</v>
      </c>
      <c r="N7">
        <v>3.5705000000000001E-2</v>
      </c>
      <c r="O7">
        <v>3.5458000000000003E-2</v>
      </c>
      <c r="P7">
        <v>3.5300999999999999E-2</v>
      </c>
      <c r="Q7">
        <v>3.5125000000000003E-2</v>
      </c>
      <c r="R7">
        <v>3.4923999999999997E-2</v>
      </c>
      <c r="S7">
        <v>3.4698E-2</v>
      </c>
      <c r="T7">
        <v>3.4484000000000001E-2</v>
      </c>
      <c r="U7">
        <v>3.4293999999999998E-2</v>
      </c>
      <c r="V7">
        <v>3.3869999999999997E-2</v>
      </c>
      <c r="W7">
        <v>3.3531999999999999E-2</v>
      </c>
      <c r="X7">
        <v>3.3267999999999999E-2</v>
      </c>
      <c r="Y7">
        <v>3.3096E-2</v>
      </c>
      <c r="Z7">
        <v>3.2960999999999997E-2</v>
      </c>
      <c r="AA7">
        <v>3.2848000000000002E-2</v>
      </c>
      <c r="AB7">
        <v>3.2752000000000003E-2</v>
      </c>
      <c r="AC7">
        <v>3.2662999999999998E-2</v>
      </c>
      <c r="AD7">
        <v>3.2580999999999999E-2</v>
      </c>
      <c r="AE7">
        <v>3.2510999999999998E-2</v>
      </c>
      <c r="AF7">
        <v>3.2451000000000001E-2</v>
      </c>
      <c r="AG7">
        <v>3.2398999999999997E-2</v>
      </c>
      <c r="AH7">
        <v>3.2363000000000003E-2</v>
      </c>
      <c r="AI7">
        <v>3.2333000000000001E-2</v>
      </c>
      <c r="AJ7">
        <v>3.2314000000000002E-2</v>
      </c>
      <c r="AK7">
        <v>3.2315000000000003E-2</v>
      </c>
      <c r="AL7">
        <v>3.2329999999999998E-2</v>
      </c>
      <c r="AM7">
        <v>3.2350999999999998E-2</v>
      </c>
      <c r="AN7">
        <v>3.2393999999999999E-2</v>
      </c>
      <c r="AO7">
        <v>3.2451000000000001E-2</v>
      </c>
      <c r="AP7" s="7">
        <v>-0.01</v>
      </c>
    </row>
    <row r="8" spans="1:42" x14ac:dyDescent="0.25">
      <c r="A8" t="s">
        <v>91</v>
      </c>
      <c r="B8" t="s">
        <v>211</v>
      </c>
      <c r="C8" t="s">
        <v>433</v>
      </c>
      <c r="D8" t="s">
        <v>42</v>
      </c>
      <c r="H8">
        <v>4.803E-3</v>
      </c>
      <c r="I8">
        <v>9.5560000000000003E-3</v>
      </c>
      <c r="J8">
        <v>1.7166000000000001E-2</v>
      </c>
      <c r="K8">
        <v>1.4893E-2</v>
      </c>
      <c r="L8">
        <v>1.3161000000000001E-2</v>
      </c>
      <c r="M8">
        <v>1.3108E-2</v>
      </c>
      <c r="N8">
        <v>1.1775000000000001E-2</v>
      </c>
      <c r="O8">
        <v>1.1481E-2</v>
      </c>
      <c r="P8">
        <v>1.1202999999999999E-2</v>
      </c>
      <c r="Q8">
        <v>1.0935E-2</v>
      </c>
      <c r="R8">
        <v>1.0688E-2</v>
      </c>
      <c r="S8">
        <v>1.0463E-2</v>
      </c>
      <c r="T8">
        <v>1.0262E-2</v>
      </c>
      <c r="U8">
        <v>1.0085E-2</v>
      </c>
      <c r="V8">
        <v>9.887E-3</v>
      </c>
      <c r="W8">
        <v>9.698E-3</v>
      </c>
      <c r="X8">
        <v>9.5180000000000004E-3</v>
      </c>
      <c r="Y8">
        <v>9.3480000000000004E-3</v>
      </c>
      <c r="Z8">
        <v>9.1800000000000007E-3</v>
      </c>
      <c r="AA8">
        <v>9.0080000000000004E-3</v>
      </c>
      <c r="AB8">
        <v>8.8409999999999999E-3</v>
      </c>
      <c r="AC8">
        <v>8.6789999999999992E-3</v>
      </c>
      <c r="AD8">
        <v>8.5210000000000008E-3</v>
      </c>
      <c r="AE8">
        <v>8.3689999999999997E-3</v>
      </c>
      <c r="AF8">
        <v>8.2209999999999991E-3</v>
      </c>
      <c r="AG8">
        <v>8.0730000000000003E-3</v>
      </c>
      <c r="AH8">
        <v>7.927E-3</v>
      </c>
      <c r="AI8">
        <v>7.7809999999999997E-3</v>
      </c>
      <c r="AJ8">
        <v>7.6379999999999998E-3</v>
      </c>
      <c r="AK8">
        <v>7.4999999999999997E-3</v>
      </c>
      <c r="AL8">
        <v>7.3670000000000003E-3</v>
      </c>
      <c r="AM8">
        <v>7.2370000000000004E-3</v>
      </c>
      <c r="AN8">
        <v>7.1139999999999997E-3</v>
      </c>
      <c r="AO8">
        <v>6.9959999999999996E-3</v>
      </c>
      <c r="AP8" s="7">
        <v>-2.5000000000000001E-2</v>
      </c>
    </row>
    <row r="9" spans="1:42" x14ac:dyDescent="0.25">
      <c r="A9" t="s">
        <v>83</v>
      </c>
      <c r="B9" t="s">
        <v>210</v>
      </c>
      <c r="C9" t="s">
        <v>432</v>
      </c>
      <c r="D9" t="s">
        <v>42</v>
      </c>
      <c r="H9">
        <v>3.1990999999999999E-2</v>
      </c>
      <c r="I9">
        <v>4.054E-2</v>
      </c>
      <c r="J9">
        <v>5.4920999999999998E-2</v>
      </c>
      <c r="K9">
        <v>5.1458999999999998E-2</v>
      </c>
      <c r="L9">
        <v>5.1400000000000001E-2</v>
      </c>
      <c r="M9">
        <v>5.1192000000000001E-2</v>
      </c>
      <c r="N9">
        <v>4.7481000000000002E-2</v>
      </c>
      <c r="O9">
        <v>4.6939000000000002E-2</v>
      </c>
      <c r="P9">
        <v>4.6503999999999997E-2</v>
      </c>
      <c r="Q9">
        <v>4.6060999999999998E-2</v>
      </c>
      <c r="R9">
        <v>4.5612E-2</v>
      </c>
      <c r="S9">
        <v>4.5161E-2</v>
      </c>
      <c r="T9">
        <v>4.4746000000000001E-2</v>
      </c>
      <c r="U9">
        <v>4.4379000000000002E-2</v>
      </c>
      <c r="V9">
        <v>4.3756999999999997E-2</v>
      </c>
      <c r="W9">
        <v>4.3229999999999998E-2</v>
      </c>
      <c r="X9">
        <v>4.2785999999999998E-2</v>
      </c>
      <c r="Y9">
        <v>4.2443000000000002E-2</v>
      </c>
      <c r="Z9">
        <v>4.2140999999999998E-2</v>
      </c>
      <c r="AA9">
        <v>4.1855999999999997E-2</v>
      </c>
      <c r="AB9">
        <v>4.1592999999999998E-2</v>
      </c>
      <c r="AC9">
        <v>4.1341999999999997E-2</v>
      </c>
      <c r="AD9">
        <v>4.1102E-2</v>
      </c>
      <c r="AE9">
        <v>4.088E-2</v>
      </c>
      <c r="AF9">
        <v>4.0672E-2</v>
      </c>
      <c r="AG9">
        <v>4.0471E-2</v>
      </c>
      <c r="AH9">
        <v>4.0289999999999999E-2</v>
      </c>
      <c r="AI9">
        <v>4.0113999999999997E-2</v>
      </c>
      <c r="AJ9">
        <v>3.9951E-2</v>
      </c>
      <c r="AK9">
        <v>3.9815000000000003E-2</v>
      </c>
      <c r="AL9">
        <v>3.9696000000000002E-2</v>
      </c>
      <c r="AM9">
        <v>3.9587999999999998E-2</v>
      </c>
      <c r="AN9">
        <v>3.9508000000000001E-2</v>
      </c>
      <c r="AO9">
        <v>3.9447000000000003E-2</v>
      </c>
      <c r="AP9" s="7">
        <v>-1.2999999999999999E-2</v>
      </c>
    </row>
    <row r="10" spans="1:42" x14ac:dyDescent="0.25">
      <c r="A10" t="s">
        <v>10</v>
      </c>
      <c r="B10" t="s">
        <v>209</v>
      </c>
      <c r="C10" t="s">
        <v>431</v>
      </c>
      <c r="D10" t="s">
        <v>42</v>
      </c>
      <c r="H10">
        <v>0.61254799999999998</v>
      </c>
      <c r="I10">
        <v>0.61928000000000005</v>
      </c>
      <c r="J10">
        <v>0.68108400000000002</v>
      </c>
      <c r="K10">
        <v>0.657304</v>
      </c>
      <c r="L10">
        <v>0.67023699999999997</v>
      </c>
      <c r="M10">
        <v>0.74996600000000002</v>
      </c>
      <c r="N10">
        <v>0.63416300000000003</v>
      </c>
      <c r="O10">
        <v>0.63698999999999995</v>
      </c>
      <c r="P10">
        <v>0.64372499999999999</v>
      </c>
      <c r="Q10">
        <v>0.65212300000000001</v>
      </c>
      <c r="R10">
        <v>0.66061899999999996</v>
      </c>
      <c r="S10">
        <v>0.66551899999999997</v>
      </c>
      <c r="T10">
        <v>0.66733299999999995</v>
      </c>
      <c r="U10">
        <v>0.66815500000000005</v>
      </c>
      <c r="V10">
        <v>0.66083800000000004</v>
      </c>
      <c r="W10">
        <v>0.65587600000000001</v>
      </c>
      <c r="X10">
        <v>0.65268800000000005</v>
      </c>
      <c r="Y10">
        <v>0.65205800000000003</v>
      </c>
      <c r="Z10">
        <v>0.65225200000000005</v>
      </c>
      <c r="AA10">
        <v>0.65259599999999995</v>
      </c>
      <c r="AB10">
        <v>0.65287899999999999</v>
      </c>
      <c r="AC10">
        <v>0.65309600000000001</v>
      </c>
      <c r="AD10">
        <v>0.65306200000000003</v>
      </c>
      <c r="AE10">
        <v>0.65317499999999995</v>
      </c>
      <c r="AF10">
        <v>0.65307400000000004</v>
      </c>
      <c r="AG10">
        <v>0.65290000000000004</v>
      </c>
      <c r="AH10">
        <v>0.65300400000000003</v>
      </c>
      <c r="AI10">
        <v>0.65310800000000002</v>
      </c>
      <c r="AJ10">
        <v>0.65298299999999998</v>
      </c>
      <c r="AK10">
        <v>0.65304300000000004</v>
      </c>
      <c r="AL10">
        <v>0.65310500000000005</v>
      </c>
      <c r="AM10">
        <v>0.65326499999999998</v>
      </c>
      <c r="AN10">
        <v>0.65351800000000004</v>
      </c>
      <c r="AO10">
        <v>0.65372799999999998</v>
      </c>
      <c r="AP10" s="7">
        <v>0</v>
      </c>
    </row>
    <row r="11" spans="1:42" x14ac:dyDescent="0.25">
      <c r="A11" t="s">
        <v>56</v>
      </c>
      <c r="B11" t="s">
        <v>208</v>
      </c>
      <c r="C11" t="s">
        <v>430</v>
      </c>
      <c r="D11" t="s">
        <v>42</v>
      </c>
      <c r="H11">
        <v>6.4128000000000004E-2</v>
      </c>
      <c r="I11">
        <v>6.8844000000000002E-2</v>
      </c>
      <c r="J11">
        <v>9.0633000000000005E-2</v>
      </c>
      <c r="K11">
        <v>7.7910999999999994E-2</v>
      </c>
      <c r="L11">
        <v>8.0072000000000004E-2</v>
      </c>
      <c r="M11">
        <v>8.2186999999999996E-2</v>
      </c>
      <c r="N11">
        <v>7.2803000000000007E-2</v>
      </c>
      <c r="O11">
        <v>7.2242000000000001E-2</v>
      </c>
      <c r="P11">
        <v>7.1857000000000004E-2</v>
      </c>
      <c r="Q11">
        <v>7.1421999999999999E-2</v>
      </c>
      <c r="R11">
        <v>7.0843000000000003E-2</v>
      </c>
      <c r="S11">
        <v>6.9955000000000003E-2</v>
      </c>
      <c r="T11">
        <v>6.8738999999999995E-2</v>
      </c>
      <c r="U11">
        <v>6.7223000000000005E-2</v>
      </c>
      <c r="V11">
        <v>6.5789E-2</v>
      </c>
      <c r="W11">
        <v>6.4391000000000004E-2</v>
      </c>
      <c r="X11">
        <v>6.2909999999999994E-2</v>
      </c>
      <c r="Y11">
        <v>6.1380999999999998E-2</v>
      </c>
      <c r="Z11">
        <v>5.9875999999999999E-2</v>
      </c>
      <c r="AA11">
        <v>5.8402000000000003E-2</v>
      </c>
      <c r="AB11">
        <v>5.7072999999999999E-2</v>
      </c>
      <c r="AC11">
        <v>5.5786000000000002E-2</v>
      </c>
      <c r="AD11">
        <v>5.4442999999999998E-2</v>
      </c>
      <c r="AE11">
        <v>5.3154E-2</v>
      </c>
      <c r="AF11">
        <v>5.1915000000000003E-2</v>
      </c>
      <c r="AG11">
        <v>5.0700000000000002E-2</v>
      </c>
      <c r="AH11">
        <v>4.9627999999999999E-2</v>
      </c>
      <c r="AI11">
        <v>4.8670999999999999E-2</v>
      </c>
      <c r="AJ11">
        <v>4.7702000000000001E-2</v>
      </c>
      <c r="AK11">
        <v>4.6815000000000002E-2</v>
      </c>
      <c r="AL11">
        <v>4.5887999999999998E-2</v>
      </c>
      <c r="AM11">
        <v>4.4864000000000001E-2</v>
      </c>
      <c r="AN11">
        <v>4.3826999999999998E-2</v>
      </c>
      <c r="AO11">
        <v>4.2763000000000002E-2</v>
      </c>
      <c r="AP11" s="7">
        <v>-1.2999999999999999E-2</v>
      </c>
    </row>
    <row r="12" spans="1:42" x14ac:dyDescent="0.25">
      <c r="A12" t="s">
        <v>8</v>
      </c>
      <c r="B12" t="s">
        <v>207</v>
      </c>
      <c r="C12" t="s">
        <v>429</v>
      </c>
      <c r="D12" t="s">
        <v>42</v>
      </c>
      <c r="H12">
        <v>0.51865300000000003</v>
      </c>
      <c r="I12">
        <v>0.51068800000000003</v>
      </c>
      <c r="J12">
        <v>0.50126199999999999</v>
      </c>
      <c r="K12">
        <v>0.54883400000000004</v>
      </c>
      <c r="L12">
        <v>0.53361499999999995</v>
      </c>
      <c r="M12">
        <v>0.50665499999999997</v>
      </c>
      <c r="N12">
        <v>0.51903699999999997</v>
      </c>
      <c r="O12">
        <v>0.52677799999999997</v>
      </c>
      <c r="P12">
        <v>0.53114499999999998</v>
      </c>
      <c r="Q12">
        <v>0.53054800000000002</v>
      </c>
      <c r="R12">
        <v>0.52845299999999995</v>
      </c>
      <c r="S12">
        <v>0.52707800000000005</v>
      </c>
      <c r="T12">
        <v>0.52666500000000005</v>
      </c>
      <c r="U12">
        <v>0.52623799999999998</v>
      </c>
      <c r="V12">
        <v>0.52477399999999996</v>
      </c>
      <c r="W12">
        <v>0.52344900000000005</v>
      </c>
      <c r="X12">
        <v>0.52280199999999999</v>
      </c>
      <c r="Y12">
        <v>0.52249800000000002</v>
      </c>
      <c r="Z12">
        <v>0.52307400000000004</v>
      </c>
      <c r="AA12">
        <v>0.52418500000000001</v>
      </c>
      <c r="AB12">
        <v>0.52562699999999996</v>
      </c>
      <c r="AC12">
        <v>0.52722199999999997</v>
      </c>
      <c r="AD12">
        <v>0.52836700000000003</v>
      </c>
      <c r="AE12">
        <v>0.52911799999999998</v>
      </c>
      <c r="AF12">
        <v>0.52987700000000004</v>
      </c>
      <c r="AG12">
        <v>0.53012400000000004</v>
      </c>
      <c r="AH12">
        <v>0.53011299999999995</v>
      </c>
      <c r="AI12">
        <v>0.53035699999999997</v>
      </c>
      <c r="AJ12">
        <v>0.53054999999999997</v>
      </c>
      <c r="AK12">
        <v>0.53080700000000003</v>
      </c>
      <c r="AL12">
        <v>0.53115100000000004</v>
      </c>
      <c r="AM12">
        <v>0.53139800000000004</v>
      </c>
      <c r="AN12">
        <v>0.53157900000000002</v>
      </c>
      <c r="AO12">
        <v>0.53224899999999997</v>
      </c>
      <c r="AP12" s="7">
        <v>-8.0000000000000002E-3</v>
      </c>
    </row>
    <row r="13" spans="1:42" x14ac:dyDescent="0.25">
      <c r="A13" t="s">
        <v>117</v>
      </c>
      <c r="B13" t="s">
        <v>206</v>
      </c>
      <c r="C13" t="s">
        <v>428</v>
      </c>
      <c r="D13" t="s">
        <v>42</v>
      </c>
      <c r="H13">
        <v>1.22732</v>
      </c>
      <c r="I13">
        <v>1.2393529999999999</v>
      </c>
      <c r="J13">
        <v>1.3279000000000001</v>
      </c>
      <c r="K13">
        <v>1.3355090000000001</v>
      </c>
      <c r="L13">
        <v>1.335324</v>
      </c>
      <c r="M13">
        <v>1.39</v>
      </c>
      <c r="N13">
        <v>1.2734829999999999</v>
      </c>
      <c r="O13">
        <v>1.2829489999999999</v>
      </c>
      <c r="P13">
        <v>1.2932300000000001</v>
      </c>
      <c r="Q13">
        <v>1.3001529999999999</v>
      </c>
      <c r="R13">
        <v>1.3055270000000001</v>
      </c>
      <c r="S13">
        <v>1.3077129999999999</v>
      </c>
      <c r="T13">
        <v>1.307483</v>
      </c>
      <c r="U13">
        <v>1.305995</v>
      </c>
      <c r="V13">
        <v>1.2951569999999999</v>
      </c>
      <c r="W13">
        <v>1.2869459999999999</v>
      </c>
      <c r="X13">
        <v>1.281185</v>
      </c>
      <c r="Y13">
        <v>1.278381</v>
      </c>
      <c r="Z13">
        <v>1.2773429999999999</v>
      </c>
      <c r="AA13">
        <v>1.277039</v>
      </c>
      <c r="AB13">
        <v>1.277172</v>
      </c>
      <c r="AC13">
        <v>1.2774460000000001</v>
      </c>
      <c r="AD13">
        <v>1.2769740000000001</v>
      </c>
      <c r="AE13">
        <v>1.276327</v>
      </c>
      <c r="AF13">
        <v>1.2755369999999999</v>
      </c>
      <c r="AG13">
        <v>1.274195</v>
      </c>
      <c r="AH13">
        <v>1.2730349999999999</v>
      </c>
      <c r="AI13">
        <v>1.2722500000000001</v>
      </c>
      <c r="AJ13">
        <v>1.2711859999999999</v>
      </c>
      <c r="AK13">
        <v>1.2704800000000001</v>
      </c>
      <c r="AL13">
        <v>1.2698400000000001</v>
      </c>
      <c r="AM13">
        <v>1.2691159999999999</v>
      </c>
      <c r="AN13">
        <v>1.268432</v>
      </c>
      <c r="AO13">
        <v>1.268186</v>
      </c>
      <c r="AP13" s="7">
        <v>-4.0000000000000001E-3</v>
      </c>
    </row>
    <row r="14" spans="1:42" x14ac:dyDescent="0.25">
      <c r="A14" t="s">
        <v>115</v>
      </c>
      <c r="B14" t="s">
        <v>205</v>
      </c>
      <c r="C14" t="s">
        <v>427</v>
      </c>
      <c r="D14" t="s">
        <v>42</v>
      </c>
      <c r="H14">
        <v>0.78537800000000002</v>
      </c>
      <c r="I14">
        <v>0.79279900000000003</v>
      </c>
      <c r="J14">
        <v>0.74478</v>
      </c>
      <c r="K14">
        <v>0.77737199999999995</v>
      </c>
      <c r="L14">
        <v>0.71596099999999996</v>
      </c>
      <c r="M14">
        <v>0.71152700000000002</v>
      </c>
      <c r="N14">
        <v>0.74477199999999999</v>
      </c>
      <c r="O14">
        <v>0.74871699999999997</v>
      </c>
      <c r="P14">
        <v>0.70977400000000002</v>
      </c>
      <c r="Q14">
        <v>0.66472299999999995</v>
      </c>
      <c r="R14">
        <v>0.65638600000000002</v>
      </c>
      <c r="S14">
        <v>0.64602300000000001</v>
      </c>
      <c r="T14">
        <v>0.64291799999999999</v>
      </c>
      <c r="U14">
        <v>0.65380300000000002</v>
      </c>
      <c r="V14">
        <v>0.63674699999999995</v>
      </c>
      <c r="W14">
        <v>0.62710900000000003</v>
      </c>
      <c r="X14">
        <v>0.615618</v>
      </c>
      <c r="Y14">
        <v>0.61267700000000003</v>
      </c>
      <c r="Z14">
        <v>0.60933199999999998</v>
      </c>
      <c r="AA14">
        <v>0.61144399999999999</v>
      </c>
      <c r="AB14">
        <v>0.60646900000000004</v>
      </c>
      <c r="AC14">
        <v>0.596244</v>
      </c>
      <c r="AD14">
        <v>0.587399</v>
      </c>
      <c r="AE14">
        <v>0.58377699999999999</v>
      </c>
      <c r="AF14">
        <v>0.57599900000000004</v>
      </c>
      <c r="AG14">
        <v>0.58566499999999999</v>
      </c>
      <c r="AH14">
        <v>0.60411599999999999</v>
      </c>
      <c r="AI14">
        <v>0.60086700000000004</v>
      </c>
      <c r="AJ14">
        <v>0.603935</v>
      </c>
      <c r="AK14">
        <v>0.60977400000000004</v>
      </c>
      <c r="AL14">
        <v>0.61956699999999998</v>
      </c>
      <c r="AM14">
        <v>0.609985</v>
      </c>
      <c r="AN14">
        <v>0.61101499999999997</v>
      </c>
      <c r="AO14">
        <v>0.61519800000000002</v>
      </c>
      <c r="AP14" s="7">
        <v>-0.01</v>
      </c>
    </row>
    <row r="15" spans="1:42" x14ac:dyDescent="0.25">
      <c r="A15" t="s">
        <v>29</v>
      </c>
      <c r="B15" t="s">
        <v>204</v>
      </c>
      <c r="C15" t="s">
        <v>426</v>
      </c>
      <c r="D15" t="s">
        <v>42</v>
      </c>
      <c r="H15">
        <v>2.0126970000000002</v>
      </c>
      <c r="I15">
        <v>2.0321509999999998</v>
      </c>
      <c r="J15">
        <v>2.0726800000000001</v>
      </c>
      <c r="K15">
        <v>2.1128809999999998</v>
      </c>
      <c r="L15">
        <v>2.051285</v>
      </c>
      <c r="M15">
        <v>2.1015259999999998</v>
      </c>
      <c r="N15">
        <v>2.0182540000000002</v>
      </c>
      <c r="O15">
        <v>2.031666</v>
      </c>
      <c r="P15">
        <v>2.0030030000000001</v>
      </c>
      <c r="Q15">
        <v>1.9648749999999999</v>
      </c>
      <c r="R15">
        <v>1.961913</v>
      </c>
      <c r="S15">
        <v>1.9537359999999999</v>
      </c>
      <c r="T15">
        <v>1.950402</v>
      </c>
      <c r="U15">
        <v>1.9597979999999999</v>
      </c>
      <c r="V15">
        <v>1.931905</v>
      </c>
      <c r="W15">
        <v>1.9140550000000001</v>
      </c>
      <c r="X15">
        <v>1.896803</v>
      </c>
      <c r="Y15">
        <v>1.8910579999999999</v>
      </c>
      <c r="Z15">
        <v>1.886674</v>
      </c>
      <c r="AA15">
        <v>1.8884829999999999</v>
      </c>
      <c r="AB15">
        <v>1.8836409999999999</v>
      </c>
      <c r="AC15">
        <v>1.8736900000000001</v>
      </c>
      <c r="AD15">
        <v>1.8643730000000001</v>
      </c>
      <c r="AE15">
        <v>1.860104</v>
      </c>
      <c r="AF15">
        <v>1.8515360000000001</v>
      </c>
      <c r="AG15">
        <v>1.8598600000000001</v>
      </c>
      <c r="AH15">
        <v>1.8771519999999999</v>
      </c>
      <c r="AI15">
        <v>1.8731169999999999</v>
      </c>
      <c r="AJ15">
        <v>1.875121</v>
      </c>
      <c r="AK15">
        <v>1.8802540000000001</v>
      </c>
      <c r="AL15">
        <v>1.889408</v>
      </c>
      <c r="AM15">
        <v>1.8791009999999999</v>
      </c>
      <c r="AN15">
        <v>1.8794470000000001</v>
      </c>
      <c r="AO15">
        <v>1.8833839999999999</v>
      </c>
      <c r="AP15" s="7">
        <v>-6.0000000000000001E-3</v>
      </c>
    </row>
    <row r="16" spans="1:42" x14ac:dyDescent="0.25">
      <c r="A16" t="s">
        <v>203</v>
      </c>
      <c r="C16" t="s">
        <v>425</v>
      </c>
    </row>
    <row r="17" spans="1:42" x14ac:dyDescent="0.25">
      <c r="A17" t="s">
        <v>11</v>
      </c>
      <c r="B17" t="s">
        <v>202</v>
      </c>
      <c r="C17" t="s">
        <v>424</v>
      </c>
      <c r="D17" t="s">
        <v>42</v>
      </c>
      <c r="H17">
        <v>1.9130000000000001E-2</v>
      </c>
      <c r="I17">
        <v>1.7760999999999999E-2</v>
      </c>
      <c r="J17">
        <v>2.3542E-2</v>
      </c>
      <c r="K17">
        <v>2.3633999999999999E-2</v>
      </c>
      <c r="L17">
        <v>2.521E-2</v>
      </c>
      <c r="M17">
        <v>2.6513999999999999E-2</v>
      </c>
      <c r="N17">
        <v>2.6012E-2</v>
      </c>
      <c r="O17">
        <v>2.5411E-2</v>
      </c>
      <c r="P17">
        <v>2.4815E-2</v>
      </c>
      <c r="Q17">
        <v>2.4204E-2</v>
      </c>
      <c r="R17">
        <v>2.4327000000000001E-2</v>
      </c>
      <c r="S17">
        <v>2.4438000000000001E-2</v>
      </c>
      <c r="T17">
        <v>2.4559999999999998E-2</v>
      </c>
      <c r="U17">
        <v>2.4681999999999999E-2</v>
      </c>
      <c r="V17">
        <v>2.4677999999999999E-2</v>
      </c>
      <c r="W17">
        <v>2.4806999999999999E-2</v>
      </c>
      <c r="X17">
        <v>2.4919E-2</v>
      </c>
      <c r="Y17">
        <v>2.5054E-2</v>
      </c>
      <c r="Z17">
        <v>2.5191000000000002E-2</v>
      </c>
      <c r="AA17">
        <v>2.5323999999999999E-2</v>
      </c>
      <c r="AB17">
        <v>2.5451999999999999E-2</v>
      </c>
      <c r="AC17">
        <v>2.5579999999999999E-2</v>
      </c>
      <c r="AD17">
        <v>2.5714999999999998E-2</v>
      </c>
      <c r="AE17">
        <v>2.5836999999999999E-2</v>
      </c>
      <c r="AF17">
        <v>2.5967E-2</v>
      </c>
      <c r="AG17">
        <v>2.6106000000000001E-2</v>
      </c>
      <c r="AH17">
        <v>2.6235999999999999E-2</v>
      </c>
      <c r="AI17">
        <v>2.6362E-2</v>
      </c>
      <c r="AJ17">
        <v>2.6499999999999999E-2</v>
      </c>
      <c r="AK17">
        <v>2.6634999999999999E-2</v>
      </c>
      <c r="AL17">
        <v>2.6772000000000001E-2</v>
      </c>
      <c r="AM17">
        <v>2.6911000000000001E-2</v>
      </c>
      <c r="AN17">
        <v>2.7054999999999999E-2</v>
      </c>
      <c r="AO17">
        <v>2.7200999999999999E-2</v>
      </c>
      <c r="AP17" s="7">
        <v>7.0000000000000001E-3</v>
      </c>
    </row>
    <row r="18" spans="1:42" x14ac:dyDescent="0.25">
      <c r="A18" t="s">
        <v>2</v>
      </c>
      <c r="B18" t="s">
        <v>201</v>
      </c>
      <c r="C18" t="s">
        <v>423</v>
      </c>
      <c r="D18" t="s">
        <v>42</v>
      </c>
      <c r="H18">
        <v>6.6919999999999993E-2</v>
      </c>
      <c r="I18">
        <v>6.6022999999999998E-2</v>
      </c>
      <c r="J18">
        <v>6.6027000000000002E-2</v>
      </c>
      <c r="K18">
        <v>5.9612999999999999E-2</v>
      </c>
      <c r="L18">
        <v>6.4541000000000001E-2</v>
      </c>
      <c r="M18">
        <v>6.4715999999999996E-2</v>
      </c>
      <c r="N18">
        <v>6.4902000000000001E-2</v>
      </c>
      <c r="O18">
        <v>6.4951999999999996E-2</v>
      </c>
      <c r="P18">
        <v>6.5048999999999996E-2</v>
      </c>
      <c r="Q18">
        <v>6.5132999999999996E-2</v>
      </c>
      <c r="R18">
        <v>6.5214999999999995E-2</v>
      </c>
      <c r="S18">
        <v>6.5282000000000007E-2</v>
      </c>
      <c r="T18">
        <v>6.5353999999999995E-2</v>
      </c>
      <c r="U18">
        <v>6.5406000000000006E-2</v>
      </c>
      <c r="V18">
        <v>6.5209000000000003E-2</v>
      </c>
      <c r="W18">
        <v>6.5278000000000003E-2</v>
      </c>
      <c r="X18">
        <v>6.5313999999999997E-2</v>
      </c>
      <c r="Y18">
        <v>6.5386E-2</v>
      </c>
      <c r="Z18">
        <v>6.5459000000000003E-2</v>
      </c>
      <c r="AA18">
        <v>6.5529000000000004E-2</v>
      </c>
      <c r="AB18">
        <v>6.5599000000000005E-2</v>
      </c>
      <c r="AC18">
        <v>6.5654000000000004E-2</v>
      </c>
      <c r="AD18">
        <v>6.5731999999999999E-2</v>
      </c>
      <c r="AE18">
        <v>6.5790000000000001E-2</v>
      </c>
      <c r="AF18">
        <v>6.5855999999999998E-2</v>
      </c>
      <c r="AG18">
        <v>6.5929000000000001E-2</v>
      </c>
      <c r="AH18">
        <v>6.5987000000000004E-2</v>
      </c>
      <c r="AI18">
        <v>6.6046999999999995E-2</v>
      </c>
      <c r="AJ18">
        <v>6.6114999999999993E-2</v>
      </c>
      <c r="AK18">
        <v>6.6175999999999999E-2</v>
      </c>
      <c r="AL18">
        <v>6.6249000000000002E-2</v>
      </c>
      <c r="AM18">
        <v>6.6328999999999999E-2</v>
      </c>
      <c r="AN18">
        <v>6.6406000000000007E-2</v>
      </c>
      <c r="AO18">
        <v>6.6477999999999995E-2</v>
      </c>
      <c r="AP18" s="7">
        <v>0</v>
      </c>
    </row>
    <row r="19" spans="1:42" x14ac:dyDescent="0.25">
      <c r="A19" t="s">
        <v>21</v>
      </c>
      <c r="B19" t="s">
        <v>200</v>
      </c>
      <c r="C19" t="s">
        <v>422</v>
      </c>
      <c r="D19" t="s">
        <v>42</v>
      </c>
      <c r="H19">
        <v>6.3E-5</v>
      </c>
      <c r="I19">
        <v>0</v>
      </c>
      <c r="J19">
        <v>9.2999999999999997E-5</v>
      </c>
      <c r="K19">
        <v>6.2000000000000003E-5</v>
      </c>
      <c r="L19">
        <v>6.9999999999999994E-5</v>
      </c>
      <c r="M19">
        <v>6.4999999999999994E-5</v>
      </c>
      <c r="N19">
        <v>1.55E-4</v>
      </c>
      <c r="O19">
        <v>1.2799999999999999E-4</v>
      </c>
      <c r="P19">
        <v>1.2300000000000001E-4</v>
      </c>
      <c r="Q19">
        <v>1.18E-4</v>
      </c>
      <c r="R19">
        <v>1.12E-4</v>
      </c>
      <c r="S19">
        <v>1.07E-4</v>
      </c>
      <c r="T19">
        <v>1.0399999999999999E-4</v>
      </c>
      <c r="U19">
        <v>1.05E-4</v>
      </c>
      <c r="V19">
        <v>5.1E-5</v>
      </c>
      <c r="W19">
        <v>4.8999999999999998E-5</v>
      </c>
      <c r="X19">
        <v>4.1999999999999998E-5</v>
      </c>
      <c r="Y19">
        <v>4.0000000000000003E-5</v>
      </c>
      <c r="Z19">
        <v>3.8000000000000002E-5</v>
      </c>
      <c r="AA19">
        <v>3.6000000000000001E-5</v>
      </c>
      <c r="AB19">
        <v>3.1999999999999999E-5</v>
      </c>
      <c r="AC19">
        <v>3.0000000000000001E-5</v>
      </c>
      <c r="AD19">
        <v>2.9E-5</v>
      </c>
      <c r="AE19">
        <v>2.6999999999999999E-5</v>
      </c>
      <c r="AF19">
        <v>2.5000000000000001E-5</v>
      </c>
      <c r="AG19">
        <v>2.5000000000000001E-5</v>
      </c>
      <c r="AH19">
        <v>2.0999999999999999E-5</v>
      </c>
      <c r="AI19">
        <v>1.8E-5</v>
      </c>
      <c r="AJ19">
        <v>1.5999999999999999E-5</v>
      </c>
      <c r="AK19">
        <v>1.4E-5</v>
      </c>
      <c r="AL19">
        <v>1.2999999999999999E-5</v>
      </c>
      <c r="AM19">
        <v>1.2999999999999999E-5</v>
      </c>
      <c r="AN19">
        <v>1.2999999999999999E-5</v>
      </c>
      <c r="AO19">
        <v>1.2999999999999999E-5</v>
      </c>
      <c r="AP19" t="s">
        <v>0</v>
      </c>
    </row>
    <row r="20" spans="1:42" x14ac:dyDescent="0.25">
      <c r="A20" t="s">
        <v>91</v>
      </c>
      <c r="B20" t="s">
        <v>199</v>
      </c>
      <c r="C20" t="s">
        <v>421</v>
      </c>
      <c r="D20" t="s">
        <v>42</v>
      </c>
      <c r="H20">
        <v>3.8406000000000003E-2</v>
      </c>
      <c r="I20">
        <v>3.8477999999999998E-2</v>
      </c>
      <c r="J20">
        <v>3.7568999999999998E-2</v>
      </c>
      <c r="K20">
        <v>3.8855000000000001E-2</v>
      </c>
      <c r="L20">
        <v>3.4474999999999999E-2</v>
      </c>
      <c r="M20">
        <v>3.5568000000000002E-2</v>
      </c>
      <c r="N20">
        <v>3.8768999999999998E-2</v>
      </c>
      <c r="O20">
        <v>3.9168000000000001E-2</v>
      </c>
      <c r="P20">
        <v>3.9620000000000002E-2</v>
      </c>
      <c r="Q20">
        <v>4.0096E-2</v>
      </c>
      <c r="R20">
        <v>4.0343999999999998E-2</v>
      </c>
      <c r="S20">
        <v>4.0432999999999997E-2</v>
      </c>
      <c r="T20">
        <v>4.0441999999999999E-2</v>
      </c>
      <c r="U20">
        <v>4.045E-2</v>
      </c>
      <c r="V20">
        <v>3.9876000000000002E-2</v>
      </c>
      <c r="W20">
        <v>3.9474000000000002E-2</v>
      </c>
      <c r="X20">
        <v>3.9230000000000001E-2</v>
      </c>
      <c r="Y20">
        <v>3.9185999999999999E-2</v>
      </c>
      <c r="Z20">
        <v>3.9164999999999998E-2</v>
      </c>
      <c r="AA20">
        <v>3.9143999999999998E-2</v>
      </c>
      <c r="AB20">
        <v>3.9093999999999997E-2</v>
      </c>
      <c r="AC20">
        <v>3.9054999999999999E-2</v>
      </c>
      <c r="AD20">
        <v>3.9039999999999998E-2</v>
      </c>
      <c r="AE20">
        <v>3.9018999999999998E-2</v>
      </c>
      <c r="AF20">
        <v>3.8997999999999998E-2</v>
      </c>
      <c r="AG20">
        <v>3.8993E-2</v>
      </c>
      <c r="AH20">
        <v>3.8961999999999997E-2</v>
      </c>
      <c r="AI20">
        <v>3.8896E-2</v>
      </c>
      <c r="AJ20">
        <v>3.8838999999999999E-2</v>
      </c>
      <c r="AK20">
        <v>3.8796999999999998E-2</v>
      </c>
      <c r="AL20">
        <v>3.8781999999999997E-2</v>
      </c>
      <c r="AM20">
        <v>3.8795000000000003E-2</v>
      </c>
      <c r="AN20">
        <v>3.8822000000000002E-2</v>
      </c>
      <c r="AO20">
        <v>3.8868E-2</v>
      </c>
      <c r="AP20" s="7">
        <v>1E-3</v>
      </c>
    </row>
    <row r="21" spans="1:42" x14ac:dyDescent="0.25">
      <c r="A21" t="s">
        <v>89</v>
      </c>
      <c r="B21" t="s">
        <v>198</v>
      </c>
      <c r="C21" t="s">
        <v>420</v>
      </c>
      <c r="D21" t="s">
        <v>42</v>
      </c>
      <c r="H21">
        <v>6.0000000000000002E-6</v>
      </c>
      <c r="I21">
        <v>0</v>
      </c>
      <c r="J21">
        <v>0</v>
      </c>
      <c r="K21">
        <v>0</v>
      </c>
      <c r="L21">
        <v>0</v>
      </c>
      <c r="M21">
        <v>0</v>
      </c>
      <c r="N21">
        <v>5.1E-5</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7.9999999999999996E-6</v>
      </c>
      <c r="AP21" t="s">
        <v>0</v>
      </c>
    </row>
    <row r="22" spans="1:42" x14ac:dyDescent="0.25">
      <c r="A22" t="s">
        <v>83</v>
      </c>
      <c r="B22" t="s">
        <v>197</v>
      </c>
      <c r="C22" t="s">
        <v>419</v>
      </c>
      <c r="D22" t="s">
        <v>42</v>
      </c>
      <c r="H22">
        <v>0.124526</v>
      </c>
      <c r="I22">
        <v>0.12226099999999999</v>
      </c>
      <c r="J22">
        <v>0.12723000000000001</v>
      </c>
      <c r="K22">
        <v>0.12216399999999999</v>
      </c>
      <c r="L22">
        <v>0.124296</v>
      </c>
      <c r="M22">
        <v>0.126864</v>
      </c>
      <c r="N22">
        <v>0.129889</v>
      </c>
      <c r="O22">
        <v>0.129659</v>
      </c>
      <c r="P22">
        <v>0.129607</v>
      </c>
      <c r="Q22">
        <v>0.129551</v>
      </c>
      <c r="R22">
        <v>0.129998</v>
      </c>
      <c r="S22">
        <v>0.13025999999999999</v>
      </c>
      <c r="T22">
        <v>0.13045999999999999</v>
      </c>
      <c r="U22">
        <v>0.13064300000000001</v>
      </c>
      <c r="V22">
        <v>0.12981400000000001</v>
      </c>
      <c r="W22">
        <v>0.129608</v>
      </c>
      <c r="X22">
        <v>0.12950500000000001</v>
      </c>
      <c r="Y22">
        <v>0.129666</v>
      </c>
      <c r="Z22">
        <v>0.129853</v>
      </c>
      <c r="AA22">
        <v>0.13003300000000001</v>
      </c>
      <c r="AB22">
        <v>0.13017699999999999</v>
      </c>
      <c r="AC22">
        <v>0.13031899999999999</v>
      </c>
      <c r="AD22">
        <v>0.13051599999999999</v>
      </c>
      <c r="AE22">
        <v>0.13067200000000001</v>
      </c>
      <c r="AF22">
        <v>0.13084599999999999</v>
      </c>
      <c r="AG22">
        <v>0.131053</v>
      </c>
      <c r="AH22">
        <v>0.13120499999999999</v>
      </c>
      <c r="AI22">
        <v>0.131323</v>
      </c>
      <c r="AJ22">
        <v>0.131471</v>
      </c>
      <c r="AK22">
        <v>0.13162199999999999</v>
      </c>
      <c r="AL22">
        <v>0.13181499999999999</v>
      </c>
      <c r="AM22">
        <v>0.132048</v>
      </c>
      <c r="AN22">
        <v>0.132296</v>
      </c>
      <c r="AO22">
        <v>0.13256699999999999</v>
      </c>
      <c r="AP22" s="7">
        <v>2E-3</v>
      </c>
    </row>
    <row r="23" spans="1:42" x14ac:dyDescent="0.25">
      <c r="A23" t="s">
        <v>10</v>
      </c>
      <c r="B23" t="s">
        <v>196</v>
      </c>
      <c r="C23" t="s">
        <v>418</v>
      </c>
      <c r="D23" t="s">
        <v>42</v>
      </c>
      <c r="H23">
        <v>0.35290100000000002</v>
      </c>
      <c r="I23">
        <v>0.36779499999999998</v>
      </c>
      <c r="J23">
        <v>0.40032899999999999</v>
      </c>
      <c r="K23">
        <v>0.35959099999999999</v>
      </c>
      <c r="L23">
        <v>0.35849799999999998</v>
      </c>
      <c r="M23">
        <v>0.364589</v>
      </c>
      <c r="N23">
        <v>0.359796</v>
      </c>
      <c r="O23">
        <v>0.36559700000000001</v>
      </c>
      <c r="P23">
        <v>0.37024099999999999</v>
      </c>
      <c r="Q23">
        <v>0.37347399999999997</v>
      </c>
      <c r="R23">
        <v>0.374948</v>
      </c>
      <c r="S23">
        <v>0.37606800000000001</v>
      </c>
      <c r="T23">
        <v>0.37658399999999997</v>
      </c>
      <c r="U23">
        <v>0.37733</v>
      </c>
      <c r="V23">
        <v>0.37080999999999997</v>
      </c>
      <c r="W23">
        <v>0.36708400000000002</v>
      </c>
      <c r="X23">
        <v>0.36509200000000003</v>
      </c>
      <c r="Y23">
        <v>0.36548599999999998</v>
      </c>
      <c r="Z23">
        <v>0.366504</v>
      </c>
      <c r="AA23">
        <v>0.367703</v>
      </c>
      <c r="AB23">
        <v>0.36873699999999998</v>
      </c>
      <c r="AC23">
        <v>0.36973899999999998</v>
      </c>
      <c r="AD23">
        <v>0.37062099999999998</v>
      </c>
      <c r="AE23">
        <v>0.371535</v>
      </c>
      <c r="AF23">
        <v>0.37242399999999998</v>
      </c>
      <c r="AG23">
        <v>0.37339600000000001</v>
      </c>
      <c r="AH23">
        <v>0.374502</v>
      </c>
      <c r="AI23">
        <v>0.37551200000000001</v>
      </c>
      <c r="AJ23">
        <v>0.37626999999999999</v>
      </c>
      <c r="AK23">
        <v>0.37704500000000002</v>
      </c>
      <c r="AL23">
        <v>0.37777100000000002</v>
      </c>
      <c r="AM23">
        <v>0.37868299999999999</v>
      </c>
      <c r="AN23">
        <v>0.37953999999999999</v>
      </c>
      <c r="AO23">
        <v>0.38031300000000001</v>
      </c>
      <c r="AP23" s="7">
        <v>1.0999999999999999E-2</v>
      </c>
    </row>
    <row r="24" spans="1:42" x14ac:dyDescent="0.25">
      <c r="A24" t="s">
        <v>195</v>
      </c>
      <c r="B24" t="s">
        <v>194</v>
      </c>
      <c r="C24" t="s">
        <v>417</v>
      </c>
      <c r="D24" t="s">
        <v>42</v>
      </c>
      <c r="H24">
        <v>5.9779999999999998E-3</v>
      </c>
      <c r="I24">
        <v>5.3010000000000002E-3</v>
      </c>
      <c r="J24">
        <v>5.6959999999999997E-3</v>
      </c>
      <c r="K24">
        <v>6.3610000000000003E-3</v>
      </c>
      <c r="L24">
        <v>6.1890000000000001E-3</v>
      </c>
      <c r="M24">
        <v>5.6940000000000003E-3</v>
      </c>
      <c r="N24">
        <v>5.6940000000000003E-3</v>
      </c>
      <c r="O24">
        <v>5.6940000000000003E-3</v>
      </c>
      <c r="P24">
        <v>5.6940000000000003E-3</v>
      </c>
      <c r="Q24">
        <v>5.6940000000000003E-3</v>
      </c>
      <c r="R24">
        <v>5.6940000000000003E-3</v>
      </c>
      <c r="S24">
        <v>5.6940000000000003E-3</v>
      </c>
      <c r="T24">
        <v>5.6940000000000003E-3</v>
      </c>
      <c r="U24">
        <v>5.6940000000000003E-3</v>
      </c>
      <c r="V24">
        <v>5.6940000000000003E-3</v>
      </c>
      <c r="W24">
        <v>5.6940000000000003E-3</v>
      </c>
      <c r="X24">
        <v>5.6940000000000003E-3</v>
      </c>
      <c r="Y24">
        <v>5.6940000000000003E-3</v>
      </c>
      <c r="Z24">
        <v>5.6940000000000003E-3</v>
      </c>
      <c r="AA24">
        <v>5.6940000000000003E-3</v>
      </c>
      <c r="AB24">
        <v>5.6940000000000003E-3</v>
      </c>
      <c r="AC24">
        <v>5.6940000000000003E-3</v>
      </c>
      <c r="AD24">
        <v>5.6940000000000003E-3</v>
      </c>
      <c r="AE24">
        <v>5.6940000000000003E-3</v>
      </c>
      <c r="AF24">
        <v>5.6940000000000003E-3</v>
      </c>
      <c r="AG24">
        <v>5.6940000000000003E-3</v>
      </c>
      <c r="AH24">
        <v>5.6940000000000003E-3</v>
      </c>
      <c r="AI24">
        <v>5.6940000000000003E-3</v>
      </c>
      <c r="AJ24">
        <v>5.6940000000000003E-3</v>
      </c>
      <c r="AK24">
        <v>5.6940000000000003E-3</v>
      </c>
      <c r="AL24">
        <v>5.6940000000000003E-3</v>
      </c>
      <c r="AM24">
        <v>5.6940000000000003E-3</v>
      </c>
      <c r="AN24">
        <v>5.6940000000000003E-3</v>
      </c>
      <c r="AO24">
        <v>5.6940000000000003E-3</v>
      </c>
      <c r="AP24" s="7">
        <v>0</v>
      </c>
    </row>
    <row r="25" spans="1:42" x14ac:dyDescent="0.25">
      <c r="A25" t="s">
        <v>56</v>
      </c>
      <c r="B25" t="s">
        <v>193</v>
      </c>
      <c r="C25" t="s">
        <v>416</v>
      </c>
      <c r="D25" t="s">
        <v>42</v>
      </c>
      <c r="H25">
        <v>3.0356999999999999E-2</v>
      </c>
      <c r="I25">
        <v>3.0356999999999999E-2</v>
      </c>
      <c r="J25">
        <v>3.0058999999999999E-2</v>
      </c>
      <c r="K25">
        <v>2.8903999999999999E-2</v>
      </c>
      <c r="L25">
        <v>2.6765000000000001E-2</v>
      </c>
      <c r="M25">
        <v>2.6765000000000001E-2</v>
      </c>
      <c r="N25">
        <v>2.6765000000000001E-2</v>
      </c>
      <c r="O25">
        <v>2.6765000000000001E-2</v>
      </c>
      <c r="P25">
        <v>2.6765000000000001E-2</v>
      </c>
      <c r="Q25">
        <v>2.6765000000000001E-2</v>
      </c>
      <c r="R25">
        <v>2.6765000000000001E-2</v>
      </c>
      <c r="S25">
        <v>2.6765000000000001E-2</v>
      </c>
      <c r="T25">
        <v>2.6765000000000001E-2</v>
      </c>
      <c r="U25">
        <v>2.6765000000000001E-2</v>
      </c>
      <c r="V25">
        <v>2.6765000000000001E-2</v>
      </c>
      <c r="W25">
        <v>2.6765000000000001E-2</v>
      </c>
      <c r="X25">
        <v>2.6765000000000001E-2</v>
      </c>
      <c r="Y25">
        <v>2.6765000000000001E-2</v>
      </c>
      <c r="Z25">
        <v>2.6765000000000001E-2</v>
      </c>
      <c r="AA25">
        <v>2.6765000000000001E-2</v>
      </c>
      <c r="AB25">
        <v>2.6765000000000001E-2</v>
      </c>
      <c r="AC25">
        <v>2.6765000000000001E-2</v>
      </c>
      <c r="AD25">
        <v>2.6765000000000001E-2</v>
      </c>
      <c r="AE25">
        <v>2.6765000000000001E-2</v>
      </c>
      <c r="AF25">
        <v>2.6765000000000001E-2</v>
      </c>
      <c r="AG25">
        <v>2.6765000000000001E-2</v>
      </c>
      <c r="AH25">
        <v>2.6765000000000001E-2</v>
      </c>
      <c r="AI25">
        <v>2.6765000000000001E-2</v>
      </c>
      <c r="AJ25">
        <v>2.6765000000000001E-2</v>
      </c>
      <c r="AK25">
        <v>2.6765000000000001E-2</v>
      </c>
      <c r="AL25">
        <v>2.6765000000000001E-2</v>
      </c>
      <c r="AM25">
        <v>2.6765000000000001E-2</v>
      </c>
      <c r="AN25">
        <v>2.6765000000000001E-2</v>
      </c>
      <c r="AO25">
        <v>2.6765000000000001E-2</v>
      </c>
      <c r="AP25" s="7">
        <v>0</v>
      </c>
    </row>
    <row r="26" spans="1:42" x14ac:dyDescent="0.25">
      <c r="A26" t="s">
        <v>8</v>
      </c>
      <c r="B26" t="s">
        <v>192</v>
      </c>
      <c r="C26" t="s">
        <v>415</v>
      </c>
      <c r="D26" t="s">
        <v>42</v>
      </c>
      <c r="H26">
        <v>0.57441699999999996</v>
      </c>
      <c r="I26">
        <v>0.57111699999999999</v>
      </c>
      <c r="J26">
        <v>0.55896599999999996</v>
      </c>
      <c r="K26">
        <v>0.52147100000000002</v>
      </c>
      <c r="L26">
        <v>0.53114600000000001</v>
      </c>
      <c r="M26">
        <v>0.52799099999999999</v>
      </c>
      <c r="N26">
        <v>0.53234400000000004</v>
      </c>
      <c r="O26">
        <v>0.53288800000000003</v>
      </c>
      <c r="P26">
        <v>0.53186699999999998</v>
      </c>
      <c r="Q26">
        <v>0.52872200000000003</v>
      </c>
      <c r="R26">
        <v>0.52692300000000003</v>
      </c>
      <c r="S26">
        <v>0.52635600000000005</v>
      </c>
      <c r="T26">
        <v>0.526806</v>
      </c>
      <c r="U26">
        <v>0.52504200000000001</v>
      </c>
      <c r="V26">
        <v>0.52303999999999995</v>
      </c>
      <c r="W26">
        <v>0.52200999999999997</v>
      </c>
      <c r="X26">
        <v>0.52265700000000004</v>
      </c>
      <c r="Y26">
        <v>0.52398299999999998</v>
      </c>
      <c r="Z26">
        <v>0.52644500000000005</v>
      </c>
      <c r="AA26">
        <v>0.52932400000000002</v>
      </c>
      <c r="AB26">
        <v>0.531968</v>
      </c>
      <c r="AC26">
        <v>0.53498500000000004</v>
      </c>
      <c r="AD26">
        <v>0.53827800000000003</v>
      </c>
      <c r="AE26">
        <v>0.54133299999999995</v>
      </c>
      <c r="AF26">
        <v>0.54507000000000005</v>
      </c>
      <c r="AG26">
        <v>0.54901699999999998</v>
      </c>
      <c r="AH26">
        <v>0.55330100000000004</v>
      </c>
      <c r="AI26">
        <v>0.55720400000000003</v>
      </c>
      <c r="AJ26">
        <v>0.56144400000000005</v>
      </c>
      <c r="AK26">
        <v>0.56537400000000004</v>
      </c>
      <c r="AL26">
        <v>0.56984599999999996</v>
      </c>
      <c r="AM26">
        <v>0.57488899999999998</v>
      </c>
      <c r="AN26">
        <v>0.57994299999999999</v>
      </c>
      <c r="AO26">
        <v>0.58508199999999999</v>
      </c>
      <c r="AP26" s="7">
        <v>3.0000000000000001E-3</v>
      </c>
    </row>
    <row r="27" spans="1:42" x14ac:dyDescent="0.25">
      <c r="A27" t="s">
        <v>117</v>
      </c>
      <c r="B27" t="s">
        <v>191</v>
      </c>
      <c r="C27" t="s">
        <v>414</v>
      </c>
      <c r="D27" t="s">
        <v>42</v>
      </c>
      <c r="H27">
        <v>1.088179</v>
      </c>
      <c r="I27">
        <v>1.096832</v>
      </c>
      <c r="J27">
        <v>1.1222799999999999</v>
      </c>
      <c r="K27">
        <v>1.0384910000000001</v>
      </c>
      <c r="L27">
        <v>1.046894</v>
      </c>
      <c r="M27">
        <v>1.0519019999999999</v>
      </c>
      <c r="N27">
        <v>1.054487</v>
      </c>
      <c r="O27">
        <v>1.060602</v>
      </c>
      <c r="P27">
        <v>1.064174</v>
      </c>
      <c r="Q27">
        <v>1.0642069999999999</v>
      </c>
      <c r="R27">
        <v>1.064327</v>
      </c>
      <c r="S27">
        <v>1.065142</v>
      </c>
      <c r="T27">
        <v>1.066309</v>
      </c>
      <c r="U27">
        <v>1.0654729999999999</v>
      </c>
      <c r="V27">
        <v>1.0561229999999999</v>
      </c>
      <c r="W27">
        <v>1.0511600000000001</v>
      </c>
      <c r="X27">
        <v>1.049712</v>
      </c>
      <c r="Y27">
        <v>1.0515950000000001</v>
      </c>
      <c r="Z27">
        <v>1.0552600000000001</v>
      </c>
      <c r="AA27">
        <v>1.059518</v>
      </c>
      <c r="AB27">
        <v>1.06334</v>
      </c>
      <c r="AC27">
        <v>1.067502</v>
      </c>
      <c r="AD27">
        <v>1.071874</v>
      </c>
      <c r="AE27">
        <v>1.0760000000000001</v>
      </c>
      <c r="AF27">
        <v>1.0807979999999999</v>
      </c>
      <c r="AG27">
        <v>1.085925</v>
      </c>
      <c r="AH27">
        <v>1.091467</v>
      </c>
      <c r="AI27">
        <v>1.0964970000000001</v>
      </c>
      <c r="AJ27">
        <v>1.1016440000000001</v>
      </c>
      <c r="AK27">
        <v>1.1065</v>
      </c>
      <c r="AL27">
        <v>1.11189</v>
      </c>
      <c r="AM27">
        <v>1.1180779999999999</v>
      </c>
      <c r="AN27">
        <v>1.1242369999999999</v>
      </c>
      <c r="AO27">
        <v>1.1304209999999999</v>
      </c>
      <c r="AP27" s="7">
        <v>6.0000000000000001E-3</v>
      </c>
    </row>
    <row r="28" spans="1:42" x14ac:dyDescent="0.25">
      <c r="A28" t="s">
        <v>115</v>
      </c>
      <c r="B28" t="s">
        <v>190</v>
      </c>
      <c r="C28" t="s">
        <v>413</v>
      </c>
      <c r="D28" t="s">
        <v>42</v>
      </c>
      <c r="H28">
        <v>0.86982000000000004</v>
      </c>
      <c r="I28">
        <v>0.88661000000000001</v>
      </c>
      <c r="J28">
        <v>0.83051799999999998</v>
      </c>
      <c r="K28">
        <v>0.73861500000000002</v>
      </c>
      <c r="L28">
        <v>0.71264899999999998</v>
      </c>
      <c r="M28">
        <v>0.74148999999999998</v>
      </c>
      <c r="N28">
        <v>0.76386600000000004</v>
      </c>
      <c r="O28">
        <v>0.75739999999999996</v>
      </c>
      <c r="P28">
        <v>0.71073900000000001</v>
      </c>
      <c r="Q28">
        <v>0.662435</v>
      </c>
      <c r="R28">
        <v>0.65448499999999998</v>
      </c>
      <c r="S28">
        <v>0.64513799999999999</v>
      </c>
      <c r="T28">
        <v>0.64309099999999997</v>
      </c>
      <c r="U28">
        <v>0.65231600000000001</v>
      </c>
      <c r="V28">
        <v>0.63464399999999999</v>
      </c>
      <c r="W28">
        <v>0.62538400000000005</v>
      </c>
      <c r="X28">
        <v>0.615448</v>
      </c>
      <c r="Y28">
        <v>0.61441900000000005</v>
      </c>
      <c r="Z28">
        <v>0.61325799999999997</v>
      </c>
      <c r="AA28">
        <v>0.61743800000000004</v>
      </c>
      <c r="AB28">
        <v>0.61378500000000003</v>
      </c>
      <c r="AC28">
        <v>0.60502299999999998</v>
      </c>
      <c r="AD28">
        <v>0.59841699999999998</v>
      </c>
      <c r="AE28">
        <v>0.59725499999999998</v>
      </c>
      <c r="AF28">
        <v>0.59251399999999999</v>
      </c>
      <c r="AG28">
        <v>0.60653699999999999</v>
      </c>
      <c r="AH28">
        <v>0.63054100000000002</v>
      </c>
      <c r="AI28">
        <v>0.63128200000000001</v>
      </c>
      <c r="AJ28">
        <v>0.63910199999999995</v>
      </c>
      <c r="AK28">
        <v>0.64948300000000003</v>
      </c>
      <c r="AL28">
        <v>0.66470300000000004</v>
      </c>
      <c r="AM28">
        <v>0.65990800000000005</v>
      </c>
      <c r="AN28">
        <v>0.66660600000000003</v>
      </c>
      <c r="AO28">
        <v>0.67626500000000001</v>
      </c>
      <c r="AP28" s="7">
        <v>1E-3</v>
      </c>
    </row>
    <row r="29" spans="1:42" x14ac:dyDescent="0.25">
      <c r="A29" t="s">
        <v>29</v>
      </c>
      <c r="B29" t="s">
        <v>189</v>
      </c>
      <c r="C29" t="s">
        <v>412</v>
      </c>
      <c r="D29" t="s">
        <v>42</v>
      </c>
      <c r="H29">
        <v>1.958</v>
      </c>
      <c r="I29">
        <v>1.9834419999999999</v>
      </c>
      <c r="J29">
        <v>1.952798</v>
      </c>
      <c r="K29">
        <v>1.7771060000000001</v>
      </c>
      <c r="L29">
        <v>1.7595430000000001</v>
      </c>
      <c r="M29">
        <v>1.7933920000000001</v>
      </c>
      <c r="N29">
        <v>1.8183530000000001</v>
      </c>
      <c r="O29">
        <v>1.8180019999999999</v>
      </c>
      <c r="P29">
        <v>1.774913</v>
      </c>
      <c r="Q29">
        <v>1.726642</v>
      </c>
      <c r="R29">
        <v>1.718812</v>
      </c>
      <c r="S29">
        <v>1.71028</v>
      </c>
      <c r="T29">
        <v>1.7094</v>
      </c>
      <c r="U29">
        <v>1.717789</v>
      </c>
      <c r="V29">
        <v>1.6907669999999999</v>
      </c>
      <c r="W29">
        <v>1.676544</v>
      </c>
      <c r="X29">
        <v>1.66516</v>
      </c>
      <c r="Y29">
        <v>1.666013</v>
      </c>
      <c r="Z29">
        <v>1.6685190000000001</v>
      </c>
      <c r="AA29">
        <v>1.676957</v>
      </c>
      <c r="AB29">
        <v>1.677125</v>
      </c>
      <c r="AC29">
        <v>1.672525</v>
      </c>
      <c r="AD29">
        <v>1.670291</v>
      </c>
      <c r="AE29">
        <v>1.673254</v>
      </c>
      <c r="AF29">
        <v>1.673311</v>
      </c>
      <c r="AG29">
        <v>1.6924619999999999</v>
      </c>
      <c r="AH29">
        <v>1.722008</v>
      </c>
      <c r="AI29">
        <v>1.7277800000000001</v>
      </c>
      <c r="AJ29">
        <v>1.7407459999999999</v>
      </c>
      <c r="AK29">
        <v>1.7559830000000001</v>
      </c>
      <c r="AL29">
        <v>1.7765919999999999</v>
      </c>
      <c r="AM29">
        <v>1.7779860000000001</v>
      </c>
      <c r="AN29">
        <v>1.790843</v>
      </c>
      <c r="AO29">
        <v>1.806686</v>
      </c>
      <c r="AP29" s="7">
        <v>4.0000000000000001E-3</v>
      </c>
    </row>
    <row r="30" spans="1:42" x14ac:dyDescent="0.25">
      <c r="A30" t="s">
        <v>188</v>
      </c>
      <c r="C30" t="s">
        <v>411</v>
      </c>
    </row>
    <row r="31" spans="1:42" x14ac:dyDescent="0.25">
      <c r="A31" t="s">
        <v>99</v>
      </c>
      <c r="B31" t="s">
        <v>187</v>
      </c>
      <c r="C31" t="s">
        <v>410</v>
      </c>
      <c r="D31" t="s">
        <v>42</v>
      </c>
      <c r="H31">
        <v>3.6222999999999998E-2</v>
      </c>
      <c r="I31">
        <v>4.2604999999999997E-2</v>
      </c>
      <c r="J31">
        <v>4.1168999999999997E-2</v>
      </c>
      <c r="K31">
        <v>3.7649000000000002E-2</v>
      </c>
      <c r="L31">
        <v>2.0271000000000001E-2</v>
      </c>
      <c r="M31">
        <v>1.2246999999999999E-2</v>
      </c>
      <c r="N31">
        <v>6.7409999999999996E-3</v>
      </c>
      <c r="O31">
        <v>3.7929999999999999E-3</v>
      </c>
      <c r="P31">
        <v>3.8270000000000001E-3</v>
      </c>
      <c r="Q31">
        <v>3.859E-3</v>
      </c>
      <c r="R31">
        <v>3.872E-3</v>
      </c>
      <c r="S31">
        <v>3.885E-3</v>
      </c>
      <c r="T31">
        <v>3.9029999999999998E-3</v>
      </c>
      <c r="U31">
        <v>3.9240000000000004E-3</v>
      </c>
      <c r="V31">
        <v>3.9420000000000002E-3</v>
      </c>
      <c r="W31">
        <v>3.96E-3</v>
      </c>
      <c r="X31">
        <v>3.986E-3</v>
      </c>
      <c r="Y31">
        <v>4.0099999999999997E-3</v>
      </c>
      <c r="Z31">
        <v>4.0289999999999996E-3</v>
      </c>
      <c r="AA31">
        <v>4.0480000000000004E-3</v>
      </c>
      <c r="AB31">
        <v>4.0679999999999996E-3</v>
      </c>
      <c r="AC31">
        <v>4.0870000000000004E-3</v>
      </c>
      <c r="AD31">
        <v>4.1070000000000004E-3</v>
      </c>
      <c r="AE31">
        <v>4.1279999999999997E-3</v>
      </c>
      <c r="AF31">
        <v>4.1469999999999996E-3</v>
      </c>
      <c r="AG31">
        <v>4.1619999999999999E-3</v>
      </c>
      <c r="AH31">
        <v>4.1780000000000003E-3</v>
      </c>
      <c r="AI31">
        <v>4.1920000000000004E-3</v>
      </c>
      <c r="AJ31">
        <v>4.2059999999999997E-3</v>
      </c>
      <c r="AK31">
        <v>4.2209999999999999E-3</v>
      </c>
      <c r="AL31">
        <v>4.2319999999999997E-3</v>
      </c>
      <c r="AM31">
        <v>4.2420000000000001E-3</v>
      </c>
      <c r="AN31">
        <v>4.254E-3</v>
      </c>
      <c r="AO31">
        <v>4.2700000000000004E-3</v>
      </c>
      <c r="AP31" s="7">
        <v>-1.4999999999999999E-2</v>
      </c>
    </row>
    <row r="32" spans="1:42" x14ac:dyDescent="0.25">
      <c r="A32" t="s">
        <v>2</v>
      </c>
      <c r="B32" t="s">
        <v>186</v>
      </c>
      <c r="C32" t="s">
        <v>409</v>
      </c>
      <c r="D32" t="s">
        <v>42</v>
      </c>
      <c r="H32">
        <v>3.9670999999999998E-2</v>
      </c>
      <c r="I32">
        <v>3.9092000000000002E-2</v>
      </c>
      <c r="J32">
        <v>4.0122999999999999E-2</v>
      </c>
      <c r="K32">
        <v>3.6609999999999997E-2</v>
      </c>
      <c r="L32">
        <v>3.9254999999999998E-2</v>
      </c>
      <c r="M32">
        <v>4.0141999999999997E-2</v>
      </c>
      <c r="N32">
        <v>4.0708000000000001E-2</v>
      </c>
      <c r="O32">
        <v>4.1417000000000002E-2</v>
      </c>
      <c r="P32">
        <v>4.2061000000000001E-2</v>
      </c>
      <c r="Q32">
        <v>4.2569000000000003E-2</v>
      </c>
      <c r="R32">
        <v>4.2752999999999999E-2</v>
      </c>
      <c r="S32">
        <v>4.3001999999999999E-2</v>
      </c>
      <c r="T32">
        <v>4.3354999999999998E-2</v>
      </c>
      <c r="U32">
        <v>4.3749999999999997E-2</v>
      </c>
      <c r="V32">
        <v>4.4090999999999998E-2</v>
      </c>
      <c r="W32">
        <v>4.4437999999999998E-2</v>
      </c>
      <c r="X32">
        <v>4.4886000000000002E-2</v>
      </c>
      <c r="Y32">
        <v>4.5222999999999999E-2</v>
      </c>
      <c r="Z32">
        <v>4.5543E-2</v>
      </c>
      <c r="AA32">
        <v>4.5870000000000001E-2</v>
      </c>
      <c r="AB32">
        <v>4.6247999999999997E-2</v>
      </c>
      <c r="AC32">
        <v>4.6679999999999999E-2</v>
      </c>
      <c r="AD32">
        <v>4.7123999999999999E-2</v>
      </c>
      <c r="AE32">
        <v>4.7638E-2</v>
      </c>
      <c r="AF32">
        <v>4.8131E-2</v>
      </c>
      <c r="AG32">
        <v>4.8543999999999997E-2</v>
      </c>
      <c r="AH32">
        <v>4.8981999999999998E-2</v>
      </c>
      <c r="AI32">
        <v>4.9438000000000003E-2</v>
      </c>
      <c r="AJ32">
        <v>4.9904999999999998E-2</v>
      </c>
      <c r="AK32">
        <v>5.0379E-2</v>
      </c>
      <c r="AL32">
        <v>5.0777999999999997E-2</v>
      </c>
      <c r="AM32">
        <v>5.1171000000000001E-2</v>
      </c>
      <c r="AN32">
        <v>5.1639999999999998E-2</v>
      </c>
      <c r="AO32">
        <v>5.2200999999999997E-2</v>
      </c>
      <c r="AP32" s="7">
        <v>7.0000000000000001E-3</v>
      </c>
    </row>
    <row r="33" spans="1:42" x14ac:dyDescent="0.25">
      <c r="A33" t="s">
        <v>91</v>
      </c>
      <c r="B33" t="s">
        <v>185</v>
      </c>
      <c r="C33" t="s">
        <v>408</v>
      </c>
      <c r="D33" t="s">
        <v>42</v>
      </c>
      <c r="H33">
        <v>0.13319300000000001</v>
      </c>
      <c r="I33">
        <v>0.13950399999999999</v>
      </c>
      <c r="J33">
        <v>0.131635</v>
      </c>
      <c r="K33">
        <v>0.110994</v>
      </c>
      <c r="L33">
        <v>0.11297699999999999</v>
      </c>
      <c r="M33">
        <v>0.116563</v>
      </c>
      <c r="N33">
        <v>0.11692900000000001</v>
      </c>
      <c r="O33">
        <v>0.11761199999999999</v>
      </c>
      <c r="P33">
        <v>0.118495</v>
      </c>
      <c r="Q33">
        <v>0.11928999999999999</v>
      </c>
      <c r="R33">
        <v>0.119211</v>
      </c>
      <c r="S33">
        <v>0.11932</v>
      </c>
      <c r="T33">
        <v>0.119729</v>
      </c>
      <c r="U33">
        <v>0.120327</v>
      </c>
      <c r="V33">
        <v>0.120883</v>
      </c>
      <c r="W33">
        <v>0.12149699999999999</v>
      </c>
      <c r="X33">
        <v>0.122436</v>
      </c>
      <c r="Y33">
        <v>0.12306499999999999</v>
      </c>
      <c r="Z33">
        <v>0.12374499999999999</v>
      </c>
      <c r="AA33">
        <v>0.124418</v>
      </c>
      <c r="AB33">
        <v>0.125246</v>
      </c>
      <c r="AC33">
        <v>0.126223</v>
      </c>
      <c r="AD33">
        <v>0.12719900000000001</v>
      </c>
      <c r="AE33">
        <v>0.12833700000000001</v>
      </c>
      <c r="AF33">
        <v>0.129465</v>
      </c>
      <c r="AG33">
        <v>0.130407</v>
      </c>
      <c r="AH33">
        <v>0.13139000000000001</v>
      </c>
      <c r="AI33">
        <v>0.13237099999999999</v>
      </c>
      <c r="AJ33">
        <v>0.13336400000000001</v>
      </c>
      <c r="AK33">
        <v>0.134381</v>
      </c>
      <c r="AL33">
        <v>0.135209</v>
      </c>
      <c r="AM33">
        <v>0.13600599999999999</v>
      </c>
      <c r="AN33">
        <v>0.13699</v>
      </c>
      <c r="AO33">
        <v>0.13824700000000001</v>
      </c>
      <c r="AP33" s="7">
        <v>1.0999999999999999E-2</v>
      </c>
    </row>
    <row r="34" spans="1:42" x14ac:dyDescent="0.25">
      <c r="A34" t="s">
        <v>89</v>
      </c>
      <c r="B34" t="s">
        <v>184</v>
      </c>
      <c r="C34" t="s">
        <v>407</v>
      </c>
      <c r="D34" t="s">
        <v>42</v>
      </c>
      <c r="H34">
        <v>3.3909999999999999E-3</v>
      </c>
      <c r="I34">
        <v>3.2929999999999999E-3</v>
      </c>
      <c r="J34">
        <v>3.4970000000000001E-3</v>
      </c>
      <c r="K34">
        <v>1.271E-3</v>
      </c>
      <c r="L34">
        <v>1.7589999999999999E-3</v>
      </c>
      <c r="M34">
        <v>1.65E-3</v>
      </c>
      <c r="N34">
        <v>1.768E-3</v>
      </c>
      <c r="O34">
        <v>1.874E-3</v>
      </c>
      <c r="P34">
        <v>1.9610000000000001E-3</v>
      </c>
      <c r="Q34">
        <v>1.9819999999999998E-3</v>
      </c>
      <c r="R34">
        <v>1.9849999999999998E-3</v>
      </c>
      <c r="S34">
        <v>2.0110000000000002E-3</v>
      </c>
      <c r="T34">
        <v>2.0149999999999999E-3</v>
      </c>
      <c r="U34">
        <v>2.0149999999999999E-3</v>
      </c>
      <c r="V34">
        <v>2.0400000000000001E-3</v>
      </c>
      <c r="W34">
        <v>2.0339999999999998E-3</v>
      </c>
      <c r="X34">
        <v>2.0409999999999998E-3</v>
      </c>
      <c r="Y34">
        <v>2.0149999999999999E-3</v>
      </c>
      <c r="Z34">
        <v>2.0019999999999999E-3</v>
      </c>
      <c r="AA34">
        <v>1.99E-3</v>
      </c>
      <c r="AB34">
        <v>1.9599999999999999E-3</v>
      </c>
      <c r="AC34">
        <v>1.931E-3</v>
      </c>
      <c r="AD34">
        <v>1.9109999999999999E-3</v>
      </c>
      <c r="AE34">
        <v>1.8760000000000001E-3</v>
      </c>
      <c r="AF34">
        <v>1.7899999999999999E-3</v>
      </c>
      <c r="AG34">
        <v>1.725E-3</v>
      </c>
      <c r="AH34">
        <v>1.684E-3</v>
      </c>
      <c r="AI34">
        <v>1.622E-3</v>
      </c>
      <c r="AJ34">
        <v>1.591E-3</v>
      </c>
      <c r="AK34">
        <v>1.5590000000000001E-3</v>
      </c>
      <c r="AL34">
        <v>1.534E-3</v>
      </c>
      <c r="AM34">
        <v>1.511E-3</v>
      </c>
      <c r="AN34">
        <v>1.503E-3</v>
      </c>
      <c r="AO34">
        <v>1.5E-3</v>
      </c>
      <c r="AP34" s="7">
        <v>-4.0000000000000001E-3</v>
      </c>
    </row>
    <row r="35" spans="1:42" x14ac:dyDescent="0.25">
      <c r="A35" t="s">
        <v>87</v>
      </c>
      <c r="B35" t="s">
        <v>183</v>
      </c>
      <c r="C35" t="s">
        <v>406</v>
      </c>
      <c r="D35" t="s">
        <v>42</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t="s">
        <v>0</v>
      </c>
    </row>
    <row r="36" spans="1:42" x14ac:dyDescent="0.25">
      <c r="A36" t="s">
        <v>85</v>
      </c>
      <c r="B36" t="s">
        <v>182</v>
      </c>
      <c r="C36" t="s">
        <v>405</v>
      </c>
      <c r="D36" t="s">
        <v>42</v>
      </c>
      <c r="H36">
        <v>0.52827999999999997</v>
      </c>
      <c r="I36">
        <v>0.51832699999999998</v>
      </c>
      <c r="J36">
        <v>0.52617199999999997</v>
      </c>
      <c r="K36">
        <v>0.46377499999999999</v>
      </c>
      <c r="L36">
        <v>0.45420700000000003</v>
      </c>
      <c r="M36">
        <v>0.47127400000000003</v>
      </c>
      <c r="N36">
        <v>0.39069700000000002</v>
      </c>
      <c r="O36">
        <v>0.37181700000000001</v>
      </c>
      <c r="P36">
        <v>0.37079299999999998</v>
      </c>
      <c r="Q36">
        <v>0.38466800000000001</v>
      </c>
      <c r="R36">
        <v>0.38172299999999998</v>
      </c>
      <c r="S36">
        <v>0.39070500000000002</v>
      </c>
      <c r="T36">
        <v>0.393015</v>
      </c>
      <c r="U36">
        <v>0.40316099999999999</v>
      </c>
      <c r="V36">
        <v>0.39571899999999999</v>
      </c>
      <c r="W36">
        <v>0.40974899999999997</v>
      </c>
      <c r="X36">
        <v>0.408748</v>
      </c>
      <c r="Y36">
        <v>0.42019099999999998</v>
      </c>
      <c r="Z36">
        <v>0.42815599999999998</v>
      </c>
      <c r="AA36">
        <v>0.43815599999999999</v>
      </c>
      <c r="AB36">
        <v>0.44839299999999999</v>
      </c>
      <c r="AC36">
        <v>0.45123000000000002</v>
      </c>
      <c r="AD36">
        <v>0.45625199999999999</v>
      </c>
      <c r="AE36">
        <v>0.45383800000000002</v>
      </c>
      <c r="AF36">
        <v>0.456266</v>
      </c>
      <c r="AG36">
        <v>0.45638000000000001</v>
      </c>
      <c r="AH36">
        <v>0.443658</v>
      </c>
      <c r="AI36">
        <v>0.446631</v>
      </c>
      <c r="AJ36">
        <v>0.44645000000000001</v>
      </c>
      <c r="AK36">
        <v>0.44958300000000001</v>
      </c>
      <c r="AL36">
        <v>0.45229000000000003</v>
      </c>
      <c r="AM36">
        <v>0.452787</v>
      </c>
      <c r="AN36">
        <v>0.45538699999999999</v>
      </c>
      <c r="AO36">
        <v>0.46220600000000001</v>
      </c>
      <c r="AP36" s="7">
        <v>-5.0000000000000001E-3</v>
      </c>
    </row>
    <row r="37" spans="1:42" x14ac:dyDescent="0.25">
      <c r="A37" t="s">
        <v>83</v>
      </c>
      <c r="B37" t="s">
        <v>181</v>
      </c>
      <c r="C37" t="s">
        <v>404</v>
      </c>
      <c r="D37" t="s">
        <v>42</v>
      </c>
      <c r="H37">
        <v>0.74075800000000003</v>
      </c>
      <c r="I37">
        <v>0.74282099999999995</v>
      </c>
      <c r="J37">
        <v>0.74259600000000003</v>
      </c>
      <c r="K37">
        <v>0.65029899999999996</v>
      </c>
      <c r="L37">
        <v>0.62846900000000006</v>
      </c>
      <c r="M37">
        <v>0.641876</v>
      </c>
      <c r="N37">
        <v>0.55684199999999995</v>
      </c>
      <c r="O37">
        <v>0.53651199999999999</v>
      </c>
      <c r="P37">
        <v>0.53713699999999998</v>
      </c>
      <c r="Q37">
        <v>0.55236700000000005</v>
      </c>
      <c r="R37">
        <v>0.549543</v>
      </c>
      <c r="S37">
        <v>0.55892299999999995</v>
      </c>
      <c r="T37">
        <v>0.56201599999999996</v>
      </c>
      <c r="U37">
        <v>0.57317600000000002</v>
      </c>
      <c r="V37">
        <v>0.56667500000000004</v>
      </c>
      <c r="W37">
        <v>0.581677</v>
      </c>
      <c r="X37">
        <v>0.58209599999999995</v>
      </c>
      <c r="Y37">
        <v>0.594503</v>
      </c>
      <c r="Z37">
        <v>0.60347600000000001</v>
      </c>
      <c r="AA37">
        <v>0.61448199999999997</v>
      </c>
      <c r="AB37">
        <v>0.625915</v>
      </c>
      <c r="AC37">
        <v>0.63014999999999999</v>
      </c>
      <c r="AD37">
        <v>0.63659200000000005</v>
      </c>
      <c r="AE37">
        <v>0.63581699999999997</v>
      </c>
      <c r="AF37">
        <v>0.63980000000000004</v>
      </c>
      <c r="AG37">
        <v>0.64121899999999998</v>
      </c>
      <c r="AH37">
        <v>0.62989200000000001</v>
      </c>
      <c r="AI37">
        <v>0.63425399999999998</v>
      </c>
      <c r="AJ37">
        <v>0.63551599999999997</v>
      </c>
      <c r="AK37">
        <v>0.640123</v>
      </c>
      <c r="AL37">
        <v>0.64404300000000003</v>
      </c>
      <c r="AM37">
        <v>0.64571800000000001</v>
      </c>
      <c r="AN37">
        <v>0.64977399999999996</v>
      </c>
      <c r="AO37">
        <v>0.65842500000000004</v>
      </c>
      <c r="AP37" s="7">
        <v>-1E-3</v>
      </c>
    </row>
    <row r="38" spans="1:42" x14ac:dyDescent="0.25">
      <c r="A38" t="s">
        <v>10</v>
      </c>
      <c r="B38" t="s">
        <v>180</v>
      </c>
      <c r="C38" t="s">
        <v>403</v>
      </c>
      <c r="D38" t="s">
        <v>42</v>
      </c>
      <c r="H38">
        <v>1.003134</v>
      </c>
      <c r="I38">
        <v>1.0704050000000001</v>
      </c>
      <c r="J38">
        <v>1.008513</v>
      </c>
      <c r="K38">
        <v>0.96288899999999999</v>
      </c>
      <c r="L38">
        <v>0.99665700000000002</v>
      </c>
      <c r="M38">
        <v>1.0159199999999999</v>
      </c>
      <c r="N38">
        <v>1.0953079999999999</v>
      </c>
      <c r="O38">
        <v>1.099032</v>
      </c>
      <c r="P38">
        <v>1.1214999999999999</v>
      </c>
      <c r="Q38">
        <v>1.1447000000000001</v>
      </c>
      <c r="R38">
        <v>1.1528590000000001</v>
      </c>
      <c r="S38">
        <v>1.168501</v>
      </c>
      <c r="T38">
        <v>1.180169</v>
      </c>
      <c r="U38">
        <v>1.194561</v>
      </c>
      <c r="V38">
        <v>1.144053</v>
      </c>
      <c r="W38">
        <v>1.1565080000000001</v>
      </c>
      <c r="X38">
        <v>1.165956</v>
      </c>
      <c r="Y38">
        <v>1.179581</v>
      </c>
      <c r="Z38">
        <v>1.195592</v>
      </c>
      <c r="AA38">
        <v>1.213716</v>
      </c>
      <c r="AB38">
        <v>1.233951</v>
      </c>
      <c r="AC38">
        <v>1.248299</v>
      </c>
      <c r="AD38">
        <v>1.264786</v>
      </c>
      <c r="AE38">
        <v>1.2833030000000001</v>
      </c>
      <c r="AF38">
        <v>1.301609</v>
      </c>
      <c r="AG38">
        <v>1.3201860000000001</v>
      </c>
      <c r="AH38">
        <v>1.3364279999999999</v>
      </c>
      <c r="AI38">
        <v>1.357332</v>
      </c>
      <c r="AJ38">
        <v>1.375062</v>
      </c>
      <c r="AK38">
        <v>1.3921779999999999</v>
      </c>
      <c r="AL38">
        <v>1.412433</v>
      </c>
      <c r="AM38">
        <v>1.427527</v>
      </c>
      <c r="AN38">
        <v>1.448774</v>
      </c>
      <c r="AO38">
        <v>1.4769600000000001</v>
      </c>
      <c r="AP38" s="7">
        <v>8.9999999999999993E-3</v>
      </c>
    </row>
    <row r="39" spans="1:42" x14ac:dyDescent="0.25">
      <c r="A39" t="s">
        <v>80</v>
      </c>
      <c r="B39" t="s">
        <v>179</v>
      </c>
      <c r="C39" t="s">
        <v>402</v>
      </c>
      <c r="D39" t="s">
        <v>42</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t="s">
        <v>0</v>
      </c>
    </row>
    <row r="40" spans="1:42" x14ac:dyDescent="0.25">
      <c r="A40" t="s">
        <v>78</v>
      </c>
      <c r="B40" t="s">
        <v>178</v>
      </c>
      <c r="C40" t="s">
        <v>401</v>
      </c>
      <c r="D40" t="s">
        <v>42</v>
      </c>
      <c r="H40">
        <v>0.283586</v>
      </c>
      <c r="I40">
        <v>0.29477799999999998</v>
      </c>
      <c r="J40">
        <v>0.29870200000000002</v>
      </c>
      <c r="K40">
        <v>0.28741899999999998</v>
      </c>
      <c r="L40">
        <v>0.28536099999999998</v>
      </c>
      <c r="M40">
        <v>0.26723200000000003</v>
      </c>
      <c r="N40">
        <v>0.26649600000000001</v>
      </c>
      <c r="O40">
        <v>0.26502599999999998</v>
      </c>
      <c r="P40">
        <v>0.27020499999999997</v>
      </c>
      <c r="Q40">
        <v>0.26961400000000002</v>
      </c>
      <c r="R40">
        <v>0.27246300000000001</v>
      </c>
      <c r="S40">
        <v>0.28994399999999998</v>
      </c>
      <c r="T40">
        <v>0.29267399999999999</v>
      </c>
      <c r="U40">
        <v>0.30782799999999999</v>
      </c>
      <c r="V40">
        <v>0.31601099999999999</v>
      </c>
      <c r="W40">
        <v>0.32309300000000002</v>
      </c>
      <c r="X40">
        <v>0.32730100000000001</v>
      </c>
      <c r="Y40">
        <v>0.32014199999999998</v>
      </c>
      <c r="Z40">
        <v>0.31878499999999999</v>
      </c>
      <c r="AA40">
        <v>0.31233699999999998</v>
      </c>
      <c r="AB40">
        <v>0.30601299999999998</v>
      </c>
      <c r="AC40">
        <v>0.30664799999999998</v>
      </c>
      <c r="AD40">
        <v>0.30275099999999999</v>
      </c>
      <c r="AE40">
        <v>0.30848100000000001</v>
      </c>
      <c r="AF40">
        <v>0.31149199999999999</v>
      </c>
      <c r="AG40">
        <v>0.32236799999999999</v>
      </c>
      <c r="AH40">
        <v>0.327544</v>
      </c>
      <c r="AI40">
        <v>0.320268</v>
      </c>
      <c r="AJ40">
        <v>0.31587500000000002</v>
      </c>
      <c r="AK40">
        <v>0.32370700000000002</v>
      </c>
      <c r="AL40">
        <v>0.32103999999999999</v>
      </c>
      <c r="AM40">
        <v>0.34842299999999998</v>
      </c>
      <c r="AN40">
        <v>0.348856</v>
      </c>
      <c r="AO40">
        <v>0.34811399999999998</v>
      </c>
      <c r="AP40" s="7">
        <v>0</v>
      </c>
    </row>
    <row r="41" spans="1:42" x14ac:dyDescent="0.25">
      <c r="A41" t="s">
        <v>76</v>
      </c>
      <c r="B41" t="s">
        <v>177</v>
      </c>
      <c r="C41" t="s">
        <v>400</v>
      </c>
      <c r="D41" t="s">
        <v>42</v>
      </c>
      <c r="H41">
        <v>0</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v>0</v>
      </c>
      <c r="AF41">
        <v>0</v>
      </c>
      <c r="AG41">
        <v>0</v>
      </c>
      <c r="AH41">
        <v>0</v>
      </c>
      <c r="AI41">
        <v>0</v>
      </c>
      <c r="AJ41">
        <v>0</v>
      </c>
      <c r="AK41">
        <v>0</v>
      </c>
      <c r="AL41">
        <v>0</v>
      </c>
      <c r="AM41">
        <v>0</v>
      </c>
      <c r="AN41">
        <v>0</v>
      </c>
      <c r="AO41">
        <v>0</v>
      </c>
      <c r="AP41" t="s">
        <v>0</v>
      </c>
    </row>
    <row r="42" spans="1:42" x14ac:dyDescent="0.25">
      <c r="A42" t="s">
        <v>72</v>
      </c>
      <c r="B42" t="s">
        <v>176</v>
      </c>
      <c r="C42" t="s">
        <v>399</v>
      </c>
      <c r="D42" t="s">
        <v>42</v>
      </c>
      <c r="H42">
        <v>1.286721</v>
      </c>
      <c r="I42">
        <v>1.365183</v>
      </c>
      <c r="J42">
        <v>1.3072140000000001</v>
      </c>
      <c r="K42">
        <v>1.2503089999999999</v>
      </c>
      <c r="L42">
        <v>1.2820180000000001</v>
      </c>
      <c r="M42">
        <v>1.2831520000000001</v>
      </c>
      <c r="N42">
        <v>1.3618049999999999</v>
      </c>
      <c r="O42">
        <v>1.3640570000000001</v>
      </c>
      <c r="P42">
        <v>1.391705</v>
      </c>
      <c r="Q42">
        <v>1.4143140000000001</v>
      </c>
      <c r="R42">
        <v>1.425322</v>
      </c>
      <c r="S42">
        <v>1.458445</v>
      </c>
      <c r="T42">
        <v>1.4728429999999999</v>
      </c>
      <c r="U42">
        <v>1.5023899999999999</v>
      </c>
      <c r="V42">
        <v>1.460064</v>
      </c>
      <c r="W42">
        <v>1.4796009999999999</v>
      </c>
      <c r="X42">
        <v>1.493258</v>
      </c>
      <c r="Y42">
        <v>1.4997229999999999</v>
      </c>
      <c r="Z42">
        <v>1.5143770000000001</v>
      </c>
      <c r="AA42">
        <v>1.5260530000000001</v>
      </c>
      <c r="AB42">
        <v>1.5399640000000001</v>
      </c>
      <c r="AC42">
        <v>1.5549470000000001</v>
      </c>
      <c r="AD42">
        <v>1.567537</v>
      </c>
      <c r="AE42">
        <v>1.5917840000000001</v>
      </c>
      <c r="AF42">
        <v>1.6131009999999999</v>
      </c>
      <c r="AG42">
        <v>1.6425540000000001</v>
      </c>
      <c r="AH42">
        <v>1.663972</v>
      </c>
      <c r="AI42">
        <v>1.6776</v>
      </c>
      <c r="AJ42">
        <v>1.6909380000000001</v>
      </c>
      <c r="AK42">
        <v>1.7158850000000001</v>
      </c>
      <c r="AL42">
        <v>1.733473</v>
      </c>
      <c r="AM42">
        <v>1.7759499999999999</v>
      </c>
      <c r="AN42">
        <v>1.7976300000000001</v>
      </c>
      <c r="AO42">
        <v>1.8250740000000001</v>
      </c>
      <c r="AP42" s="7">
        <v>7.0000000000000001E-3</v>
      </c>
    </row>
    <row r="43" spans="1:42" x14ac:dyDescent="0.25">
      <c r="A43" t="s">
        <v>70</v>
      </c>
      <c r="B43" t="s">
        <v>175</v>
      </c>
      <c r="C43" t="s">
        <v>398</v>
      </c>
      <c r="D43" t="s">
        <v>42</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t="s">
        <v>0</v>
      </c>
    </row>
    <row r="44" spans="1:42" x14ac:dyDescent="0.25">
      <c r="A44" t="s">
        <v>174</v>
      </c>
      <c r="B44" t="s">
        <v>173</v>
      </c>
      <c r="C44" t="s">
        <v>397</v>
      </c>
      <c r="D44" t="s">
        <v>42</v>
      </c>
      <c r="H44">
        <v>3.2236000000000001E-2</v>
      </c>
      <c r="I44">
        <v>2.9430000000000001E-2</v>
      </c>
      <c r="J44">
        <v>3.0235000000000001E-2</v>
      </c>
      <c r="K44">
        <v>2.9201000000000001E-2</v>
      </c>
      <c r="L44">
        <v>3.1400999999999998E-2</v>
      </c>
      <c r="M44">
        <v>3.1647000000000002E-2</v>
      </c>
      <c r="N44">
        <v>3.1835000000000002E-2</v>
      </c>
      <c r="O44">
        <v>3.2017999999999998E-2</v>
      </c>
      <c r="P44">
        <v>3.2169000000000003E-2</v>
      </c>
      <c r="Q44">
        <v>3.2334000000000002E-2</v>
      </c>
      <c r="R44">
        <v>3.2474999999999997E-2</v>
      </c>
      <c r="S44">
        <v>3.2731000000000003E-2</v>
      </c>
      <c r="T44">
        <v>3.2849999999999997E-2</v>
      </c>
      <c r="U44">
        <v>3.2941999999999999E-2</v>
      </c>
      <c r="V44">
        <v>3.3010999999999999E-2</v>
      </c>
      <c r="W44">
        <v>3.3054E-2</v>
      </c>
      <c r="X44">
        <v>3.3069000000000001E-2</v>
      </c>
      <c r="Y44">
        <v>3.3051999999999998E-2</v>
      </c>
      <c r="Z44">
        <v>3.3021000000000002E-2</v>
      </c>
      <c r="AA44">
        <v>3.2995999999999998E-2</v>
      </c>
      <c r="AB44">
        <v>3.2972000000000001E-2</v>
      </c>
      <c r="AC44">
        <v>3.2953000000000003E-2</v>
      </c>
      <c r="AD44">
        <v>3.2932000000000003E-2</v>
      </c>
      <c r="AE44">
        <v>3.2912999999999998E-2</v>
      </c>
      <c r="AF44">
        <v>3.3031999999999999E-2</v>
      </c>
      <c r="AG44">
        <v>3.2982999999999998E-2</v>
      </c>
      <c r="AH44">
        <v>3.2973000000000002E-2</v>
      </c>
      <c r="AI44">
        <v>3.2927999999999999E-2</v>
      </c>
      <c r="AJ44">
        <v>3.3008999999999997E-2</v>
      </c>
      <c r="AK44">
        <v>3.2994999999999997E-2</v>
      </c>
      <c r="AL44">
        <v>3.2979000000000001E-2</v>
      </c>
      <c r="AM44">
        <v>3.2957E-2</v>
      </c>
      <c r="AN44">
        <v>3.2939999999999997E-2</v>
      </c>
      <c r="AO44">
        <v>3.2929E-2</v>
      </c>
      <c r="AP44" s="7">
        <v>1E-3</v>
      </c>
    </row>
    <row r="45" spans="1:42" x14ac:dyDescent="0.25">
      <c r="A45" t="s">
        <v>66</v>
      </c>
      <c r="B45" t="s">
        <v>172</v>
      </c>
      <c r="C45" t="s">
        <v>396</v>
      </c>
      <c r="D45" t="s">
        <v>42</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t="s">
        <v>0</v>
      </c>
    </row>
    <row r="46" spans="1:42" x14ac:dyDescent="0.25">
      <c r="A46" t="s">
        <v>64</v>
      </c>
      <c r="B46" t="s">
        <v>171</v>
      </c>
      <c r="C46" t="s">
        <v>395</v>
      </c>
      <c r="D46" t="s">
        <v>42</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t="s">
        <v>0</v>
      </c>
    </row>
    <row r="47" spans="1:42" x14ac:dyDescent="0.25">
      <c r="A47" t="s">
        <v>62</v>
      </c>
      <c r="B47" t="s">
        <v>170</v>
      </c>
      <c r="C47" t="s">
        <v>394</v>
      </c>
      <c r="D47" t="s">
        <v>42</v>
      </c>
      <c r="H47">
        <v>3.2236000000000001E-2</v>
      </c>
      <c r="I47">
        <v>2.9430000000000001E-2</v>
      </c>
      <c r="J47">
        <v>3.0235000000000001E-2</v>
      </c>
      <c r="K47">
        <v>2.9201000000000001E-2</v>
      </c>
      <c r="L47">
        <v>3.1400999999999998E-2</v>
      </c>
      <c r="M47">
        <v>3.1647000000000002E-2</v>
      </c>
      <c r="N47">
        <v>3.1835000000000002E-2</v>
      </c>
      <c r="O47">
        <v>3.2017999999999998E-2</v>
      </c>
      <c r="P47">
        <v>3.2169000000000003E-2</v>
      </c>
      <c r="Q47">
        <v>3.2334000000000002E-2</v>
      </c>
      <c r="R47">
        <v>3.2474999999999997E-2</v>
      </c>
      <c r="S47">
        <v>3.2731000000000003E-2</v>
      </c>
      <c r="T47">
        <v>3.2849999999999997E-2</v>
      </c>
      <c r="U47">
        <v>3.2941999999999999E-2</v>
      </c>
      <c r="V47">
        <v>3.3010999999999999E-2</v>
      </c>
      <c r="W47">
        <v>3.3054E-2</v>
      </c>
      <c r="X47">
        <v>3.3069000000000001E-2</v>
      </c>
      <c r="Y47">
        <v>3.3051999999999998E-2</v>
      </c>
      <c r="Z47">
        <v>3.3021000000000002E-2</v>
      </c>
      <c r="AA47">
        <v>3.2995999999999998E-2</v>
      </c>
      <c r="AB47">
        <v>3.2972000000000001E-2</v>
      </c>
      <c r="AC47">
        <v>3.2953000000000003E-2</v>
      </c>
      <c r="AD47">
        <v>3.2932000000000003E-2</v>
      </c>
      <c r="AE47">
        <v>3.2912999999999998E-2</v>
      </c>
      <c r="AF47">
        <v>3.3031999999999999E-2</v>
      </c>
      <c r="AG47">
        <v>3.2982999999999998E-2</v>
      </c>
      <c r="AH47">
        <v>3.2973000000000002E-2</v>
      </c>
      <c r="AI47">
        <v>3.2927999999999999E-2</v>
      </c>
      <c r="AJ47">
        <v>3.3008999999999997E-2</v>
      </c>
      <c r="AK47">
        <v>3.2994999999999997E-2</v>
      </c>
      <c r="AL47">
        <v>3.2979000000000001E-2</v>
      </c>
      <c r="AM47">
        <v>3.2957E-2</v>
      </c>
      <c r="AN47">
        <v>3.2939999999999997E-2</v>
      </c>
      <c r="AO47">
        <v>3.2929E-2</v>
      </c>
      <c r="AP47" s="7">
        <v>1E-3</v>
      </c>
    </row>
    <row r="48" spans="1:42" x14ac:dyDescent="0.25">
      <c r="A48" t="s">
        <v>58</v>
      </c>
      <c r="B48" t="s">
        <v>169</v>
      </c>
      <c r="C48" t="s">
        <v>393</v>
      </c>
      <c r="D48" t="s">
        <v>42</v>
      </c>
      <c r="H48">
        <v>0.111349</v>
      </c>
      <c r="I48">
        <v>0.11107400000000001</v>
      </c>
      <c r="J48">
        <v>0.128689</v>
      </c>
      <c r="K48">
        <v>0.12955700000000001</v>
      </c>
      <c r="L48">
        <v>0.13327900000000001</v>
      </c>
      <c r="M48">
        <v>0.13589599999999999</v>
      </c>
      <c r="N48">
        <v>0.13069800000000001</v>
      </c>
      <c r="O48">
        <v>0.13081699999999999</v>
      </c>
      <c r="P48">
        <v>0.13226299999999999</v>
      </c>
      <c r="Q48">
        <v>0.13269600000000001</v>
      </c>
      <c r="R48">
        <v>0.13301199999999999</v>
      </c>
      <c r="S48">
        <v>0.133239</v>
      </c>
      <c r="T48">
        <v>0.13320199999999999</v>
      </c>
      <c r="U48">
        <v>0.134045</v>
      </c>
      <c r="V48">
        <v>0.13453499999999999</v>
      </c>
      <c r="W48">
        <v>0.13508200000000001</v>
      </c>
      <c r="X48">
        <v>0.13577700000000001</v>
      </c>
      <c r="Y48">
        <v>0.136379</v>
      </c>
      <c r="Z48">
        <v>0.13703599999999999</v>
      </c>
      <c r="AA48">
        <v>0.13771600000000001</v>
      </c>
      <c r="AB48">
        <v>0.13852300000000001</v>
      </c>
      <c r="AC48">
        <v>0.139372</v>
      </c>
      <c r="AD48">
        <v>0.140374</v>
      </c>
      <c r="AE48">
        <v>0.14244399999999999</v>
      </c>
      <c r="AF48">
        <v>0.14342199999999999</v>
      </c>
      <c r="AG48">
        <v>0.144458</v>
      </c>
      <c r="AH48">
        <v>0.14554900000000001</v>
      </c>
      <c r="AI48">
        <v>0.14669199999999999</v>
      </c>
      <c r="AJ48">
        <v>0.14794399999999999</v>
      </c>
      <c r="AK48">
        <v>0.14926200000000001</v>
      </c>
      <c r="AL48">
        <v>0.15062900000000001</v>
      </c>
      <c r="AM48">
        <v>0.15317500000000001</v>
      </c>
      <c r="AN48">
        <v>0.15471199999999999</v>
      </c>
      <c r="AO48">
        <v>0.156365</v>
      </c>
      <c r="AP48" s="7">
        <v>-5.0000000000000001E-3</v>
      </c>
    </row>
    <row r="49" spans="1:42" x14ac:dyDescent="0.25">
      <c r="A49" t="s">
        <v>56</v>
      </c>
      <c r="B49" t="s">
        <v>168</v>
      </c>
      <c r="C49" t="s">
        <v>392</v>
      </c>
      <c r="D49" t="s">
        <v>42</v>
      </c>
      <c r="H49">
        <v>0.15648899999999999</v>
      </c>
      <c r="I49">
        <v>0.15682399999999999</v>
      </c>
      <c r="J49">
        <v>0.140981</v>
      </c>
      <c r="K49">
        <v>0.14011199999999999</v>
      </c>
      <c r="L49">
        <v>0.15512400000000001</v>
      </c>
      <c r="M49">
        <v>0.15382100000000001</v>
      </c>
      <c r="N49">
        <v>0.15167800000000001</v>
      </c>
      <c r="O49">
        <v>0.15543199999999999</v>
      </c>
      <c r="P49">
        <v>0.160026</v>
      </c>
      <c r="Q49">
        <v>0.161714</v>
      </c>
      <c r="R49">
        <v>0.16255700000000001</v>
      </c>
      <c r="S49">
        <v>0.16395399999999999</v>
      </c>
      <c r="T49">
        <v>0.16686500000000001</v>
      </c>
      <c r="U49">
        <v>0.17000699999999999</v>
      </c>
      <c r="V49">
        <v>0.17222599999999999</v>
      </c>
      <c r="W49">
        <v>0.174232</v>
      </c>
      <c r="X49">
        <v>0.17615900000000001</v>
      </c>
      <c r="Y49">
        <v>0.17818200000000001</v>
      </c>
      <c r="Z49">
        <v>0.18021300000000001</v>
      </c>
      <c r="AA49">
        <v>0.18232699999999999</v>
      </c>
      <c r="AB49">
        <v>0.184335</v>
      </c>
      <c r="AC49">
        <v>0.186642</v>
      </c>
      <c r="AD49">
        <v>0.188836</v>
      </c>
      <c r="AE49">
        <v>0.19094900000000001</v>
      </c>
      <c r="AF49">
        <v>0.19341</v>
      </c>
      <c r="AG49">
        <v>0.196133</v>
      </c>
      <c r="AH49">
        <v>0.19886799999999999</v>
      </c>
      <c r="AI49">
        <v>0.20152600000000001</v>
      </c>
      <c r="AJ49">
        <v>0.20387</v>
      </c>
      <c r="AK49">
        <v>0.20644499999999999</v>
      </c>
      <c r="AL49">
        <v>0.208813</v>
      </c>
      <c r="AM49">
        <v>0.21081800000000001</v>
      </c>
      <c r="AN49">
        <v>0.213389</v>
      </c>
      <c r="AO49">
        <v>0.21681900000000001</v>
      </c>
      <c r="AP49" s="7">
        <v>1.6E-2</v>
      </c>
    </row>
    <row r="50" spans="1:42" x14ac:dyDescent="0.25">
      <c r="A50" t="s">
        <v>8</v>
      </c>
      <c r="B50" t="s">
        <v>167</v>
      </c>
      <c r="C50" t="s">
        <v>391</v>
      </c>
      <c r="D50" t="s">
        <v>42</v>
      </c>
      <c r="H50">
        <v>0.314608</v>
      </c>
      <c r="I50">
        <v>0.31359199999999998</v>
      </c>
      <c r="J50">
        <v>0.303346</v>
      </c>
      <c r="K50">
        <v>0.29591899999999999</v>
      </c>
      <c r="L50">
        <v>0.31246699999999999</v>
      </c>
      <c r="M50">
        <v>0.32134099999999999</v>
      </c>
      <c r="N50">
        <v>0.32349699999999998</v>
      </c>
      <c r="O50">
        <v>0.32769199999999998</v>
      </c>
      <c r="P50">
        <v>0.33014300000000002</v>
      </c>
      <c r="Q50">
        <v>0.333227</v>
      </c>
      <c r="R50">
        <v>0.33467000000000002</v>
      </c>
      <c r="S50">
        <v>0.33742899999999998</v>
      </c>
      <c r="T50">
        <v>0.34012900000000001</v>
      </c>
      <c r="U50">
        <v>0.34315800000000002</v>
      </c>
      <c r="V50">
        <v>0.34468399999999999</v>
      </c>
      <c r="W50">
        <v>0.34744799999999998</v>
      </c>
      <c r="X50">
        <v>0.35044999999999998</v>
      </c>
      <c r="Y50">
        <v>0.35316999999999998</v>
      </c>
      <c r="Z50">
        <v>0.35640500000000003</v>
      </c>
      <c r="AA50">
        <v>0.36011500000000002</v>
      </c>
      <c r="AB50">
        <v>0.36379899999999998</v>
      </c>
      <c r="AC50">
        <v>0.36799500000000002</v>
      </c>
      <c r="AD50">
        <v>0.37236399999999997</v>
      </c>
      <c r="AE50">
        <v>0.37648399999999999</v>
      </c>
      <c r="AF50">
        <v>0.38124200000000003</v>
      </c>
      <c r="AG50">
        <v>0.38584600000000002</v>
      </c>
      <c r="AH50">
        <v>0.390324</v>
      </c>
      <c r="AI50">
        <v>0.39374500000000001</v>
      </c>
      <c r="AJ50">
        <v>0.39840100000000001</v>
      </c>
      <c r="AK50">
        <v>0.40317700000000001</v>
      </c>
      <c r="AL50">
        <v>0.40742</v>
      </c>
      <c r="AM50">
        <v>0.410105</v>
      </c>
      <c r="AN50">
        <v>0.41453600000000002</v>
      </c>
      <c r="AO50">
        <v>0.42030099999999998</v>
      </c>
      <c r="AP50" s="7">
        <v>1.0999999999999999E-2</v>
      </c>
    </row>
    <row r="51" spans="1:42" x14ac:dyDescent="0.25">
      <c r="A51" t="s">
        <v>117</v>
      </c>
      <c r="B51" t="s">
        <v>166</v>
      </c>
      <c r="C51" t="s">
        <v>390</v>
      </c>
      <c r="D51" t="s">
        <v>42</v>
      </c>
      <c r="H51">
        <v>2.6421610000000002</v>
      </c>
      <c r="I51">
        <v>2.7189239999999999</v>
      </c>
      <c r="J51">
        <v>2.6530619999999998</v>
      </c>
      <c r="K51">
        <v>2.4953979999999998</v>
      </c>
      <c r="L51">
        <v>2.5427569999999999</v>
      </c>
      <c r="M51">
        <v>2.5677340000000002</v>
      </c>
      <c r="N51">
        <v>2.5563539999999998</v>
      </c>
      <c r="O51">
        <v>2.546529</v>
      </c>
      <c r="P51">
        <v>2.5834440000000001</v>
      </c>
      <c r="Q51">
        <v>2.626652</v>
      </c>
      <c r="R51">
        <v>2.6375790000000001</v>
      </c>
      <c r="S51">
        <v>2.6847210000000001</v>
      </c>
      <c r="T51">
        <v>2.7079049999999998</v>
      </c>
      <c r="U51">
        <v>2.7557170000000002</v>
      </c>
      <c r="V51">
        <v>2.711195</v>
      </c>
      <c r="W51">
        <v>2.7510949999999998</v>
      </c>
      <c r="X51">
        <v>2.7708089999999999</v>
      </c>
      <c r="Y51">
        <v>2.795007</v>
      </c>
      <c r="Z51">
        <v>2.8245279999999999</v>
      </c>
      <c r="AA51">
        <v>2.8536890000000001</v>
      </c>
      <c r="AB51">
        <v>2.885507</v>
      </c>
      <c r="AC51">
        <v>2.9120590000000002</v>
      </c>
      <c r="AD51">
        <v>2.9386350000000001</v>
      </c>
      <c r="AE51">
        <v>2.9703919999999999</v>
      </c>
      <c r="AF51">
        <v>3.0040070000000001</v>
      </c>
      <c r="AG51">
        <v>3.043193</v>
      </c>
      <c r="AH51">
        <v>3.0615770000000002</v>
      </c>
      <c r="AI51">
        <v>3.0867460000000002</v>
      </c>
      <c r="AJ51">
        <v>3.1096780000000002</v>
      </c>
      <c r="AK51">
        <v>3.1478869999999999</v>
      </c>
      <c r="AL51">
        <v>3.1773570000000002</v>
      </c>
      <c r="AM51">
        <v>3.2287219999999999</v>
      </c>
      <c r="AN51">
        <v>3.2629800000000002</v>
      </c>
      <c r="AO51">
        <v>3.3099129999999999</v>
      </c>
      <c r="AP51" s="7">
        <v>6.0000000000000001E-3</v>
      </c>
    </row>
    <row r="52" spans="1:42" x14ac:dyDescent="0.25">
      <c r="A52" t="s">
        <v>115</v>
      </c>
      <c r="B52" t="s">
        <v>165</v>
      </c>
      <c r="C52" t="s">
        <v>389</v>
      </c>
      <c r="D52" t="s">
        <v>42</v>
      </c>
      <c r="H52">
        <v>0.47639999999999999</v>
      </c>
      <c r="I52">
        <v>0.48682399999999998</v>
      </c>
      <c r="J52">
        <v>0.450714</v>
      </c>
      <c r="K52">
        <v>0.41914200000000001</v>
      </c>
      <c r="L52">
        <v>0.419242</v>
      </c>
      <c r="M52">
        <v>0.45127899999999999</v>
      </c>
      <c r="N52">
        <v>0.46418900000000002</v>
      </c>
      <c r="O52">
        <v>0.46575299999999997</v>
      </c>
      <c r="P52">
        <v>0.44117400000000001</v>
      </c>
      <c r="Q52">
        <v>0.41749900000000001</v>
      </c>
      <c r="R52">
        <v>0.41569</v>
      </c>
      <c r="S52">
        <v>0.413576</v>
      </c>
      <c r="T52">
        <v>0.41520699999999999</v>
      </c>
      <c r="U52">
        <v>0.426342</v>
      </c>
      <c r="V52">
        <v>0.41823100000000002</v>
      </c>
      <c r="W52">
        <v>0.41625299999999998</v>
      </c>
      <c r="X52">
        <v>0.41266700000000001</v>
      </c>
      <c r="Y52">
        <v>0.41412399999999999</v>
      </c>
      <c r="Z52">
        <v>0.41517799999999999</v>
      </c>
      <c r="AA52">
        <v>0.42006199999999999</v>
      </c>
      <c r="AB52">
        <v>0.41975200000000001</v>
      </c>
      <c r="AC52">
        <v>0.41617199999999999</v>
      </c>
      <c r="AD52">
        <v>0.413966</v>
      </c>
      <c r="AE52">
        <v>0.41537600000000002</v>
      </c>
      <c r="AF52">
        <v>0.41442600000000002</v>
      </c>
      <c r="AG52">
        <v>0.42627100000000001</v>
      </c>
      <c r="AH52">
        <v>0.44481300000000001</v>
      </c>
      <c r="AI52">
        <v>0.44609300000000002</v>
      </c>
      <c r="AJ52">
        <v>0.45350699999999999</v>
      </c>
      <c r="AK52">
        <v>0.46315699999999999</v>
      </c>
      <c r="AL52">
        <v>0.47524</v>
      </c>
      <c r="AM52">
        <v>0.47075400000000001</v>
      </c>
      <c r="AN52">
        <v>0.47648200000000002</v>
      </c>
      <c r="AO52">
        <v>0.48580400000000001</v>
      </c>
      <c r="AP52" s="7">
        <v>8.9999999999999993E-3</v>
      </c>
    </row>
    <row r="53" spans="1:42" x14ac:dyDescent="0.25">
      <c r="A53" t="s">
        <v>29</v>
      </c>
      <c r="B53" t="s">
        <v>164</v>
      </c>
      <c r="C53" t="s">
        <v>388</v>
      </c>
      <c r="D53" t="s">
        <v>42</v>
      </c>
      <c r="H53">
        <v>3.1185610000000001</v>
      </c>
      <c r="I53">
        <v>3.2057479999999998</v>
      </c>
      <c r="J53">
        <v>3.1037759999999999</v>
      </c>
      <c r="K53">
        <v>2.9145400000000001</v>
      </c>
      <c r="L53">
        <v>2.961999</v>
      </c>
      <c r="M53">
        <v>3.019012</v>
      </c>
      <c r="N53">
        <v>3.020543</v>
      </c>
      <c r="O53">
        <v>3.0122819999999999</v>
      </c>
      <c r="P53">
        <v>3.0246170000000001</v>
      </c>
      <c r="Q53">
        <v>3.0441509999999998</v>
      </c>
      <c r="R53">
        <v>3.0532699999999999</v>
      </c>
      <c r="S53">
        <v>3.0982959999999999</v>
      </c>
      <c r="T53">
        <v>3.1231119999999999</v>
      </c>
      <c r="U53">
        <v>3.1820590000000002</v>
      </c>
      <c r="V53">
        <v>3.129426</v>
      </c>
      <c r="W53">
        <v>3.1673490000000002</v>
      </c>
      <c r="X53">
        <v>3.1834760000000002</v>
      </c>
      <c r="Y53">
        <v>3.2091310000000002</v>
      </c>
      <c r="Z53">
        <v>3.2397049999999998</v>
      </c>
      <c r="AA53">
        <v>3.273752</v>
      </c>
      <c r="AB53">
        <v>3.3052589999999999</v>
      </c>
      <c r="AC53">
        <v>3.3282310000000002</v>
      </c>
      <c r="AD53">
        <v>3.3526009999999999</v>
      </c>
      <c r="AE53">
        <v>3.3857680000000001</v>
      </c>
      <c r="AF53">
        <v>3.4184329999999998</v>
      </c>
      <c r="AG53">
        <v>3.4694639999999999</v>
      </c>
      <c r="AH53">
        <v>3.5063900000000001</v>
      </c>
      <c r="AI53">
        <v>3.5328379999999999</v>
      </c>
      <c r="AJ53">
        <v>3.5631849999999998</v>
      </c>
      <c r="AK53">
        <v>3.6110449999999998</v>
      </c>
      <c r="AL53">
        <v>3.6525970000000001</v>
      </c>
      <c r="AM53">
        <v>3.6994760000000002</v>
      </c>
      <c r="AN53">
        <v>3.7394620000000001</v>
      </c>
      <c r="AO53">
        <v>3.7957169999999998</v>
      </c>
      <c r="AP53" s="7">
        <v>6.0000000000000001E-3</v>
      </c>
    </row>
    <row r="54" spans="1:42" x14ac:dyDescent="0.25">
      <c r="A54" t="s">
        <v>163</v>
      </c>
      <c r="C54" t="s">
        <v>387</v>
      </c>
    </row>
    <row r="55" spans="1:42" x14ac:dyDescent="0.25">
      <c r="A55" t="s">
        <v>11</v>
      </c>
      <c r="B55" t="s">
        <v>162</v>
      </c>
      <c r="C55" t="s">
        <v>386</v>
      </c>
      <c r="D55" t="s">
        <v>42</v>
      </c>
      <c r="H55">
        <v>1.771E-3</v>
      </c>
      <c r="I55">
        <v>1.9090000000000001E-3</v>
      </c>
      <c r="J55">
        <v>1.8699999999999999E-3</v>
      </c>
      <c r="K55">
        <v>9.8499999999999998E-4</v>
      </c>
      <c r="L55">
        <v>1.155E-3</v>
      </c>
      <c r="M55">
        <v>1.3450000000000001E-3</v>
      </c>
      <c r="N55">
        <v>1.4519999999999999E-3</v>
      </c>
      <c r="O55">
        <v>1.4909999999999999E-3</v>
      </c>
      <c r="P55">
        <v>1.549E-3</v>
      </c>
      <c r="Q55">
        <v>1.5989999999999999E-3</v>
      </c>
      <c r="R55">
        <v>1.642E-3</v>
      </c>
      <c r="S55">
        <v>1.645E-3</v>
      </c>
      <c r="T55">
        <v>1.676E-3</v>
      </c>
      <c r="U55">
        <v>1.714E-3</v>
      </c>
      <c r="V55">
        <v>1.751E-3</v>
      </c>
      <c r="W55">
        <v>1.786E-3</v>
      </c>
      <c r="X55">
        <v>1.823E-3</v>
      </c>
      <c r="Y55">
        <v>1.8600000000000001E-3</v>
      </c>
      <c r="Z55">
        <v>1.897E-3</v>
      </c>
      <c r="AA55">
        <v>1.936E-3</v>
      </c>
      <c r="AB55">
        <v>1.9780000000000002E-3</v>
      </c>
      <c r="AC55">
        <v>2.0209999999999998E-3</v>
      </c>
      <c r="AD55">
        <v>2.062E-3</v>
      </c>
      <c r="AE55">
        <v>2.104E-3</v>
      </c>
      <c r="AF55">
        <v>2.1480000000000002E-3</v>
      </c>
      <c r="AG55">
        <v>2.1930000000000001E-3</v>
      </c>
      <c r="AH55">
        <v>2.238E-3</v>
      </c>
      <c r="AI55">
        <v>2.2850000000000001E-3</v>
      </c>
      <c r="AJ55">
        <v>2.3340000000000001E-3</v>
      </c>
      <c r="AK55">
        <v>2.3860000000000001E-3</v>
      </c>
      <c r="AL55">
        <v>2.4390000000000002E-3</v>
      </c>
      <c r="AM55">
        <v>2.4919999999999999E-3</v>
      </c>
      <c r="AN55">
        <v>2.5500000000000002E-3</v>
      </c>
      <c r="AO55">
        <v>2.6129999999999999E-3</v>
      </c>
      <c r="AP55" s="7">
        <v>5.0000000000000001E-3</v>
      </c>
    </row>
    <row r="56" spans="1:42" s="95" customFormat="1" x14ac:dyDescent="0.25">
      <c r="A56" s="95" t="s">
        <v>2</v>
      </c>
      <c r="B56" s="95" t="s">
        <v>161</v>
      </c>
      <c r="C56" s="95" t="s">
        <v>385</v>
      </c>
      <c r="D56" s="95" t="s">
        <v>42</v>
      </c>
      <c r="E56" s="95">
        <v>2.4129999999999998</v>
      </c>
      <c r="F56" s="95">
        <v>2.4449999999999998</v>
      </c>
      <c r="G56" s="95">
        <v>2.3620000000000001</v>
      </c>
      <c r="H56" s="95">
        <v>2.372144</v>
      </c>
      <c r="I56" s="95">
        <v>2.3702369999999999</v>
      </c>
      <c r="J56" s="95">
        <v>2.3698419999999998</v>
      </c>
      <c r="K56" s="95">
        <v>2.1221860000000001</v>
      </c>
      <c r="L56" s="95">
        <v>2.201241</v>
      </c>
      <c r="M56" s="95">
        <v>2.2697029999999998</v>
      </c>
      <c r="N56" s="95">
        <v>2.313758</v>
      </c>
      <c r="O56" s="95">
        <v>2.3060999999999998</v>
      </c>
      <c r="P56" s="95">
        <v>2.2965529999999998</v>
      </c>
      <c r="Q56" s="95">
        <v>2.2844069999999999</v>
      </c>
      <c r="R56" s="95">
        <v>2.2689759999999999</v>
      </c>
      <c r="S56" s="95">
        <v>2.2520630000000001</v>
      </c>
      <c r="T56" s="95">
        <v>2.2367659999999998</v>
      </c>
      <c r="U56" s="95">
        <v>2.2248899999999998</v>
      </c>
      <c r="V56" s="95">
        <v>2.2145820000000001</v>
      </c>
      <c r="W56" s="95">
        <v>2.2032600000000002</v>
      </c>
      <c r="X56" s="95">
        <v>2.1952150000000001</v>
      </c>
      <c r="Y56" s="95">
        <v>2.1878190000000002</v>
      </c>
      <c r="Z56" s="95">
        <v>2.1795789999999999</v>
      </c>
      <c r="AA56" s="95">
        <v>2.1724929999999998</v>
      </c>
      <c r="AB56" s="95">
        <v>2.1675779999999998</v>
      </c>
      <c r="AC56" s="95">
        <v>2.1639620000000002</v>
      </c>
      <c r="AD56" s="95">
        <v>2.1625260000000002</v>
      </c>
      <c r="AE56" s="95">
        <v>2.1622569999999999</v>
      </c>
      <c r="AF56" s="95">
        <v>2.1629749999999999</v>
      </c>
      <c r="AG56" s="95">
        <v>2.164558</v>
      </c>
      <c r="AH56" s="95">
        <v>2.1667679999999998</v>
      </c>
      <c r="AI56" s="95">
        <v>2.170382</v>
      </c>
      <c r="AJ56" s="95">
        <v>2.1751860000000001</v>
      </c>
      <c r="AK56" s="95">
        <v>2.1821109999999999</v>
      </c>
      <c r="AL56" s="95">
        <v>2.1892770000000001</v>
      </c>
      <c r="AM56" s="95">
        <v>2.196828</v>
      </c>
      <c r="AN56" s="95">
        <v>2.2060789999999999</v>
      </c>
      <c r="AO56" s="95">
        <v>2.2172830000000001</v>
      </c>
      <c r="AP56" s="96">
        <v>-1.7000000000000001E-2</v>
      </c>
    </row>
    <row r="57" spans="1:42" x14ac:dyDescent="0.25">
      <c r="A57" t="s">
        <v>96</v>
      </c>
      <c r="B57" t="s">
        <v>160</v>
      </c>
      <c r="C57" t="s">
        <v>384</v>
      </c>
      <c r="D57" t="s">
        <v>42</v>
      </c>
      <c r="H57">
        <v>1.3619999999999999E-3</v>
      </c>
      <c r="I57">
        <v>8.8000000000000005E-3</v>
      </c>
      <c r="J57">
        <v>2.7130000000000001E-3</v>
      </c>
      <c r="K57">
        <v>2.3990000000000001E-3</v>
      </c>
      <c r="L57">
        <v>2.7780000000000001E-3</v>
      </c>
      <c r="M57">
        <v>2.7950000000000002E-3</v>
      </c>
      <c r="N57">
        <v>2.6150000000000001E-3</v>
      </c>
      <c r="O57">
        <v>2.5999999999999999E-3</v>
      </c>
      <c r="P57">
        <v>2.5899999999999999E-3</v>
      </c>
      <c r="Q57">
        <v>2.5579999999999999E-3</v>
      </c>
      <c r="R57">
        <v>2.5149999999999999E-3</v>
      </c>
      <c r="S57">
        <v>2.4689999999999998E-3</v>
      </c>
      <c r="T57">
        <v>2.4220000000000001E-3</v>
      </c>
      <c r="U57">
        <v>2.369E-3</v>
      </c>
      <c r="V57">
        <v>2.3280000000000002E-3</v>
      </c>
      <c r="W57">
        <v>2.281E-3</v>
      </c>
      <c r="X57">
        <v>2.2460000000000002E-3</v>
      </c>
      <c r="Y57">
        <v>2.2109999999999999E-3</v>
      </c>
      <c r="Z57">
        <v>2.1800000000000001E-3</v>
      </c>
      <c r="AA57">
        <v>2.1580000000000002E-3</v>
      </c>
      <c r="AB57">
        <v>2.1459999999999999E-3</v>
      </c>
      <c r="AC57">
        <v>2.1389999999999998E-3</v>
      </c>
      <c r="AD57">
        <v>2.1519999999999998E-3</v>
      </c>
      <c r="AE57">
        <v>2.166E-3</v>
      </c>
      <c r="AF57">
        <v>2.1870000000000001E-3</v>
      </c>
      <c r="AG57">
        <v>2.2139999999999998E-3</v>
      </c>
      <c r="AH57">
        <v>2.2300000000000002E-3</v>
      </c>
      <c r="AI57">
        <v>2.2539999999999999E-3</v>
      </c>
      <c r="AJ57">
        <v>2.287E-3</v>
      </c>
      <c r="AK57">
        <v>2.3210000000000001E-3</v>
      </c>
      <c r="AL57">
        <v>2.362E-3</v>
      </c>
      <c r="AM57">
        <v>2.4090000000000001E-3</v>
      </c>
      <c r="AN57">
        <v>2.457E-3</v>
      </c>
      <c r="AO57">
        <v>2.5079999999999998E-3</v>
      </c>
      <c r="AP57" s="7">
        <v>3.9E-2</v>
      </c>
    </row>
    <row r="58" spans="1:42" x14ac:dyDescent="0.25">
      <c r="A58" t="s">
        <v>94</v>
      </c>
      <c r="B58" t="s">
        <v>159</v>
      </c>
      <c r="C58" t="s">
        <v>383</v>
      </c>
      <c r="D58" t="s">
        <v>42</v>
      </c>
      <c r="H58">
        <v>0.86832500000000001</v>
      </c>
      <c r="I58">
        <v>0.87951000000000001</v>
      </c>
      <c r="J58">
        <v>0.88004499999999997</v>
      </c>
      <c r="K58">
        <v>0.65227999999999997</v>
      </c>
      <c r="L58">
        <v>0.69525000000000003</v>
      </c>
      <c r="M58">
        <v>0.79819700000000005</v>
      </c>
      <c r="N58">
        <v>0.86726899999999996</v>
      </c>
      <c r="O58">
        <v>0.889324</v>
      </c>
      <c r="P58">
        <v>0.91022199999999998</v>
      </c>
      <c r="Q58">
        <v>0.92716100000000001</v>
      </c>
      <c r="R58">
        <v>0.93814900000000001</v>
      </c>
      <c r="S58">
        <v>0.948658</v>
      </c>
      <c r="T58">
        <v>0.95941399999999999</v>
      </c>
      <c r="U58">
        <v>0.972329</v>
      </c>
      <c r="V58">
        <v>0.98207100000000003</v>
      </c>
      <c r="W58">
        <v>0.98652899999999999</v>
      </c>
      <c r="X58">
        <v>0.99668900000000005</v>
      </c>
      <c r="Y58">
        <v>1.00593</v>
      </c>
      <c r="Z58">
        <v>1.0158689999999999</v>
      </c>
      <c r="AA58">
        <v>1.025957</v>
      </c>
      <c r="AB58">
        <v>1.0375799999999999</v>
      </c>
      <c r="AC58">
        <v>1.048044</v>
      </c>
      <c r="AD58">
        <v>1.060146</v>
      </c>
      <c r="AE58">
        <v>1.0738559999999999</v>
      </c>
      <c r="AF58">
        <v>1.0852269999999999</v>
      </c>
      <c r="AG58">
        <v>1.097847</v>
      </c>
      <c r="AH58">
        <v>1.110905</v>
      </c>
      <c r="AI58">
        <v>1.123176</v>
      </c>
      <c r="AJ58">
        <v>1.137677</v>
      </c>
      <c r="AK58">
        <v>1.1523140000000001</v>
      </c>
      <c r="AL58">
        <v>1.16486</v>
      </c>
      <c r="AM58">
        <v>1.176741</v>
      </c>
      <c r="AN58">
        <v>1.1906810000000001</v>
      </c>
      <c r="AO58">
        <v>1.2062170000000001</v>
      </c>
      <c r="AP58" s="7">
        <v>0.01</v>
      </c>
    </row>
    <row r="59" spans="1:42" s="95" customFormat="1" x14ac:dyDescent="0.25">
      <c r="A59" s="95" t="s">
        <v>91</v>
      </c>
      <c r="B59" s="95" t="s">
        <v>158</v>
      </c>
      <c r="C59" s="95" t="s">
        <v>382</v>
      </c>
      <c r="D59" s="95" t="s">
        <v>42</v>
      </c>
      <c r="E59" s="95">
        <v>0.755</v>
      </c>
      <c r="F59" s="95">
        <v>0.76200000000000001</v>
      </c>
      <c r="G59" s="95">
        <v>0.748</v>
      </c>
      <c r="H59" s="95">
        <v>0.76253400000000005</v>
      </c>
      <c r="I59" s="95">
        <v>0.77178500000000005</v>
      </c>
      <c r="J59" s="95">
        <v>0.80837499999999995</v>
      </c>
      <c r="K59" s="95">
        <v>0.70316699999999999</v>
      </c>
      <c r="L59" s="95">
        <v>0.73215699999999995</v>
      </c>
      <c r="M59" s="95">
        <v>0.70746399999999998</v>
      </c>
      <c r="N59" s="95">
        <v>0.73978500000000003</v>
      </c>
      <c r="O59" s="95">
        <v>0.73896300000000004</v>
      </c>
      <c r="P59" s="95">
        <v>0.73812999999999995</v>
      </c>
      <c r="Q59" s="95">
        <v>0.735765</v>
      </c>
      <c r="R59" s="95">
        <v>0.73029200000000005</v>
      </c>
      <c r="S59" s="95">
        <v>0.72585500000000003</v>
      </c>
      <c r="T59" s="95">
        <v>0.72146600000000005</v>
      </c>
      <c r="U59" s="95">
        <v>0.716777</v>
      </c>
      <c r="V59" s="95">
        <v>0.71381799999999995</v>
      </c>
      <c r="W59" s="95">
        <v>0.70985500000000001</v>
      </c>
      <c r="X59" s="95">
        <v>0.70686700000000002</v>
      </c>
      <c r="Y59" s="95">
        <v>0.70425400000000005</v>
      </c>
      <c r="Z59" s="95">
        <v>0.70199800000000001</v>
      </c>
      <c r="AA59" s="95">
        <v>0.70043299999999997</v>
      </c>
      <c r="AB59" s="95">
        <v>0.69942700000000002</v>
      </c>
      <c r="AC59" s="95">
        <v>0.69872400000000001</v>
      </c>
      <c r="AD59" s="95">
        <v>0.69935199999999997</v>
      </c>
      <c r="AE59" s="95">
        <v>0.69803499999999996</v>
      </c>
      <c r="AF59" s="95">
        <v>0.69824600000000003</v>
      </c>
      <c r="AG59" s="95">
        <v>0.69903499999999996</v>
      </c>
      <c r="AH59" s="95">
        <v>0.69892399999999999</v>
      </c>
      <c r="AI59" s="95">
        <v>0.69927300000000003</v>
      </c>
      <c r="AJ59" s="95">
        <v>0.70087699999999997</v>
      </c>
      <c r="AK59" s="95">
        <v>0.702403</v>
      </c>
      <c r="AL59" s="95">
        <v>0.70332799999999995</v>
      </c>
      <c r="AM59" s="95">
        <v>0.70385299999999995</v>
      </c>
      <c r="AN59" s="95">
        <v>0.70486800000000005</v>
      </c>
      <c r="AO59" s="95">
        <v>0.70663100000000001</v>
      </c>
      <c r="AP59" s="96">
        <v>3.0000000000000001E-3</v>
      </c>
    </row>
    <row r="60" spans="1:42" s="95" customFormat="1" x14ac:dyDescent="0.25">
      <c r="A60" s="95" t="s">
        <v>89</v>
      </c>
      <c r="B60" s="95" t="s">
        <v>157</v>
      </c>
      <c r="C60" s="95" t="s">
        <v>381</v>
      </c>
      <c r="D60" s="95" t="s">
        <v>42</v>
      </c>
      <c r="E60" s="95">
        <v>0.158</v>
      </c>
      <c r="F60" s="95">
        <v>0.13300000000000001</v>
      </c>
      <c r="G60" s="95">
        <v>0.26600000000000001</v>
      </c>
      <c r="H60" s="95">
        <v>0.29300700000000002</v>
      </c>
      <c r="I60" s="95">
        <v>0.27204600000000001</v>
      </c>
      <c r="J60" s="95">
        <v>0.21701000000000001</v>
      </c>
      <c r="K60" s="95">
        <v>0.17138700000000001</v>
      </c>
      <c r="L60" s="95">
        <v>0.28410200000000002</v>
      </c>
      <c r="M60" s="95">
        <v>0.383967</v>
      </c>
      <c r="N60" s="95">
        <v>0.26620899999999997</v>
      </c>
      <c r="O60" s="95">
        <v>0.26542500000000002</v>
      </c>
      <c r="P60" s="95">
        <v>0.267148</v>
      </c>
      <c r="Q60" s="95">
        <v>0.26338299999999998</v>
      </c>
      <c r="R60" s="95">
        <v>0.25674200000000003</v>
      </c>
      <c r="S60" s="95">
        <v>0.25366300000000003</v>
      </c>
      <c r="T60" s="95">
        <v>0.25290899999999999</v>
      </c>
      <c r="U60" s="95">
        <v>0.25049300000000002</v>
      </c>
      <c r="V60" s="95">
        <v>0.25601099999999999</v>
      </c>
      <c r="W60" s="95">
        <v>0.25464300000000001</v>
      </c>
      <c r="X60" s="95">
        <v>0.25425300000000001</v>
      </c>
      <c r="Y60" s="95">
        <v>0.25451200000000002</v>
      </c>
      <c r="Z60" s="95">
        <v>0.25481500000000001</v>
      </c>
      <c r="AA60" s="95">
        <v>0.25608199999999998</v>
      </c>
      <c r="AB60" s="95">
        <v>0.25763200000000003</v>
      </c>
      <c r="AC60" s="95">
        <v>0.25598500000000002</v>
      </c>
      <c r="AD60" s="95">
        <v>0.257156</v>
      </c>
      <c r="AE60" s="95">
        <v>0.24993399999999999</v>
      </c>
      <c r="AF60" s="95">
        <v>0.24690799999999999</v>
      </c>
      <c r="AG60" s="95">
        <v>0.24396899999999999</v>
      </c>
      <c r="AH60" s="95">
        <v>0.23771800000000001</v>
      </c>
      <c r="AI60" s="95">
        <v>0.23344699999999999</v>
      </c>
      <c r="AJ60" s="95">
        <v>0.232484</v>
      </c>
      <c r="AK60" s="95">
        <v>0.22989499999999999</v>
      </c>
      <c r="AL60" s="95">
        <v>0.22844600000000001</v>
      </c>
      <c r="AM60" s="95">
        <v>0.22886100000000001</v>
      </c>
      <c r="AN60" s="95">
        <v>0.22863800000000001</v>
      </c>
      <c r="AO60" s="95">
        <v>0.22922500000000001</v>
      </c>
      <c r="AP60" s="96">
        <v>-8.9999999999999993E-3</v>
      </c>
    </row>
    <row r="61" spans="1:42" x14ac:dyDescent="0.25">
      <c r="A61" t="s">
        <v>85</v>
      </c>
      <c r="B61" t="s">
        <v>156</v>
      </c>
      <c r="C61" t="s">
        <v>380</v>
      </c>
      <c r="D61" t="s">
        <v>42</v>
      </c>
      <c r="H61">
        <v>2.5968000000000001E-2</v>
      </c>
      <c r="I61">
        <v>2.5838E-2</v>
      </c>
      <c r="J61">
        <v>2.5433000000000001E-2</v>
      </c>
      <c r="K61">
        <v>2.3924999999999998E-2</v>
      </c>
      <c r="L61">
        <v>2.3576E-2</v>
      </c>
      <c r="M61">
        <v>2.3845999999999999E-2</v>
      </c>
      <c r="N61">
        <v>2.3993E-2</v>
      </c>
      <c r="O61">
        <v>2.4098999999999999E-2</v>
      </c>
      <c r="P61">
        <v>2.4174000000000001E-2</v>
      </c>
      <c r="Q61">
        <v>2.4257000000000001E-2</v>
      </c>
      <c r="R61">
        <v>2.4306999999999999E-2</v>
      </c>
      <c r="S61">
        <v>2.4344000000000001E-2</v>
      </c>
      <c r="T61">
        <v>2.4376999999999999E-2</v>
      </c>
      <c r="U61">
        <v>2.4414000000000002E-2</v>
      </c>
      <c r="V61">
        <v>2.444E-2</v>
      </c>
      <c r="W61">
        <v>2.4464E-2</v>
      </c>
      <c r="X61">
        <v>2.4487999999999999E-2</v>
      </c>
      <c r="Y61">
        <v>2.4510000000000001E-2</v>
      </c>
      <c r="Z61">
        <v>2.4532000000000002E-2</v>
      </c>
      <c r="AA61">
        <v>2.4555E-2</v>
      </c>
      <c r="AB61">
        <v>2.4584000000000002E-2</v>
      </c>
      <c r="AC61">
        <v>2.461E-2</v>
      </c>
      <c r="AD61">
        <v>2.4639000000000001E-2</v>
      </c>
      <c r="AE61">
        <v>2.4681999999999999E-2</v>
      </c>
      <c r="AF61">
        <v>2.4719000000000001E-2</v>
      </c>
      <c r="AG61">
        <v>2.4753000000000001E-2</v>
      </c>
      <c r="AH61">
        <v>2.4782999999999999E-2</v>
      </c>
      <c r="AI61">
        <v>2.4808E-2</v>
      </c>
      <c r="AJ61">
        <v>2.4839E-2</v>
      </c>
      <c r="AK61">
        <v>2.4875000000000001E-2</v>
      </c>
      <c r="AL61">
        <v>2.4899000000000001E-2</v>
      </c>
      <c r="AM61">
        <v>2.4913000000000001E-2</v>
      </c>
      <c r="AN61">
        <v>2.4929E-2</v>
      </c>
      <c r="AO61">
        <v>2.4947E-2</v>
      </c>
      <c r="AP61" s="7">
        <v>-1E-3</v>
      </c>
    </row>
    <row r="62" spans="1:42" x14ac:dyDescent="0.25">
      <c r="A62" t="s">
        <v>83</v>
      </c>
      <c r="B62" t="s">
        <v>155</v>
      </c>
      <c r="C62" t="s">
        <v>379</v>
      </c>
      <c r="D62" t="s">
        <v>42</v>
      </c>
      <c r="H62">
        <v>4.3237500000000004</v>
      </c>
      <c r="I62">
        <v>4.3213249999999999</v>
      </c>
      <c r="J62">
        <v>4.302575</v>
      </c>
      <c r="K62">
        <v>3.6739310000000001</v>
      </c>
      <c r="L62">
        <v>3.937481</v>
      </c>
      <c r="M62">
        <v>4.1845210000000002</v>
      </c>
      <c r="N62">
        <v>4.2124649999999999</v>
      </c>
      <c r="O62">
        <v>4.225403</v>
      </c>
      <c r="P62">
        <v>4.2377779999999996</v>
      </c>
      <c r="Q62">
        <v>4.2365719999999998</v>
      </c>
      <c r="R62">
        <v>4.2201079999999997</v>
      </c>
      <c r="S62">
        <v>4.2062280000000003</v>
      </c>
      <c r="T62">
        <v>4.1966089999999996</v>
      </c>
      <c r="U62">
        <v>4.1906160000000003</v>
      </c>
      <c r="V62">
        <v>4.1926730000000001</v>
      </c>
      <c r="W62">
        <v>4.1805370000000002</v>
      </c>
      <c r="X62">
        <v>4.1793339999999999</v>
      </c>
      <c r="Y62">
        <v>4.1788850000000002</v>
      </c>
      <c r="Z62">
        <v>4.1786899999999996</v>
      </c>
      <c r="AA62">
        <v>4.1814580000000001</v>
      </c>
      <c r="AB62">
        <v>4.1887790000000003</v>
      </c>
      <c r="AC62">
        <v>4.193346</v>
      </c>
      <c r="AD62">
        <v>4.2058809999999998</v>
      </c>
      <c r="AE62">
        <v>4.2108679999999996</v>
      </c>
      <c r="AF62">
        <v>4.2202219999999997</v>
      </c>
      <c r="AG62">
        <v>4.2323539999999999</v>
      </c>
      <c r="AH62">
        <v>4.2413350000000003</v>
      </c>
      <c r="AI62">
        <v>4.2533700000000003</v>
      </c>
      <c r="AJ62">
        <v>4.2733970000000001</v>
      </c>
      <c r="AK62">
        <v>4.2939850000000002</v>
      </c>
      <c r="AL62">
        <v>4.31325</v>
      </c>
      <c r="AM62">
        <v>4.3336889999999997</v>
      </c>
      <c r="AN62">
        <v>4.3577450000000004</v>
      </c>
      <c r="AO62">
        <v>4.3869150000000001</v>
      </c>
      <c r="AP62" s="7">
        <v>-5.0000000000000001E-3</v>
      </c>
    </row>
    <row r="63" spans="1:42" x14ac:dyDescent="0.25">
      <c r="A63" t="s">
        <v>74</v>
      </c>
      <c r="B63" t="s">
        <v>154</v>
      </c>
      <c r="C63" t="s">
        <v>378</v>
      </c>
      <c r="D63" t="s">
        <v>42</v>
      </c>
      <c r="H63">
        <v>4.1980999999999997E-2</v>
      </c>
      <c r="I63">
        <v>4.3070999999999998E-2</v>
      </c>
      <c r="J63">
        <v>4.4200999999999997E-2</v>
      </c>
      <c r="K63">
        <v>4.6810999999999998E-2</v>
      </c>
      <c r="L63">
        <v>4.5700999999999999E-2</v>
      </c>
      <c r="M63">
        <v>4.6574999999999998E-2</v>
      </c>
      <c r="N63">
        <v>4.3118999999999998E-2</v>
      </c>
      <c r="O63">
        <v>4.3049999999999998E-2</v>
      </c>
      <c r="P63">
        <v>4.3298999999999997E-2</v>
      </c>
      <c r="Q63">
        <v>4.3723999999999999E-2</v>
      </c>
      <c r="R63">
        <v>4.385E-2</v>
      </c>
      <c r="S63">
        <v>4.3901999999999997E-2</v>
      </c>
      <c r="T63">
        <v>4.3886000000000001E-2</v>
      </c>
      <c r="U63">
        <v>4.3822E-2</v>
      </c>
      <c r="V63">
        <v>4.2320999999999998E-2</v>
      </c>
      <c r="W63">
        <v>4.2278999999999997E-2</v>
      </c>
      <c r="X63">
        <v>4.2303E-2</v>
      </c>
      <c r="Y63">
        <v>4.2472000000000003E-2</v>
      </c>
      <c r="Z63">
        <v>4.2698E-2</v>
      </c>
      <c r="AA63">
        <v>4.2964000000000002E-2</v>
      </c>
      <c r="AB63">
        <v>4.3365000000000001E-2</v>
      </c>
      <c r="AC63">
        <v>4.3456000000000002E-2</v>
      </c>
      <c r="AD63">
        <v>4.3636000000000001E-2</v>
      </c>
      <c r="AE63">
        <v>4.3931999999999999E-2</v>
      </c>
      <c r="AF63">
        <v>4.4249999999999998E-2</v>
      </c>
      <c r="AG63">
        <v>4.4592E-2</v>
      </c>
      <c r="AH63">
        <v>4.4947000000000001E-2</v>
      </c>
      <c r="AI63">
        <v>4.5471999999999999E-2</v>
      </c>
      <c r="AJ63">
        <v>4.5787000000000001E-2</v>
      </c>
      <c r="AK63">
        <v>4.6153E-2</v>
      </c>
      <c r="AL63">
        <v>4.6441999999999997E-2</v>
      </c>
      <c r="AM63">
        <v>4.6452E-2</v>
      </c>
      <c r="AN63">
        <v>4.6677000000000003E-2</v>
      </c>
      <c r="AO63">
        <v>4.6808000000000002E-2</v>
      </c>
      <c r="AP63" s="7">
        <v>5.0000000000000001E-3</v>
      </c>
    </row>
    <row r="64" spans="1:42" s="95" customFormat="1" x14ac:dyDescent="0.25">
      <c r="A64" s="95" t="s">
        <v>153</v>
      </c>
      <c r="B64" s="95" t="s">
        <v>152</v>
      </c>
      <c r="C64" s="95" t="s">
        <v>377</v>
      </c>
      <c r="D64" s="95" t="s">
        <v>42</v>
      </c>
      <c r="E64" s="95">
        <v>8.9999999999999993E-3</v>
      </c>
      <c r="F64" s="95">
        <v>0.01</v>
      </c>
      <c r="G64" s="95">
        <v>1.7999999999999999E-2</v>
      </c>
      <c r="H64" s="95">
        <v>1.8214999999999999E-2</v>
      </c>
      <c r="I64" s="95">
        <v>2.1329999999999998E-2</v>
      </c>
      <c r="J64" s="95">
        <v>2.5381999999999998E-2</v>
      </c>
      <c r="K64" s="95">
        <v>2.0253E-2</v>
      </c>
      <c r="L64" s="95">
        <v>3.4645000000000002E-2</v>
      </c>
      <c r="M64" s="95">
        <v>2.8051E-2</v>
      </c>
      <c r="N64" s="95">
        <v>3.6581000000000002E-2</v>
      </c>
      <c r="O64" s="95">
        <v>4.0119000000000002E-2</v>
      </c>
      <c r="P64" s="95">
        <v>4.2541000000000002E-2</v>
      </c>
      <c r="Q64" s="95">
        <v>4.5803000000000003E-2</v>
      </c>
      <c r="R64" s="95">
        <v>4.9102E-2</v>
      </c>
      <c r="S64" s="95">
        <v>5.0479000000000003E-2</v>
      </c>
      <c r="T64" s="95">
        <v>5.1438999999999999E-2</v>
      </c>
      <c r="U64" s="95">
        <v>5.2693999999999998E-2</v>
      </c>
      <c r="V64" s="95">
        <v>5.1227000000000002E-2</v>
      </c>
      <c r="W64" s="95">
        <v>5.289E-2</v>
      </c>
      <c r="X64" s="95">
        <v>5.3711000000000002E-2</v>
      </c>
      <c r="Y64" s="95">
        <v>5.4647000000000001E-2</v>
      </c>
      <c r="Z64" s="95">
        <v>5.5827000000000002E-2</v>
      </c>
      <c r="AA64" s="95">
        <v>5.6967999999999998E-2</v>
      </c>
      <c r="AB64" s="95">
        <v>5.8333999999999997E-2</v>
      </c>
      <c r="AC64" s="95">
        <v>6.0319999999999999E-2</v>
      </c>
      <c r="AD64" s="95">
        <v>6.1099000000000001E-2</v>
      </c>
      <c r="AE64" s="95">
        <v>6.5270999999999996E-2</v>
      </c>
      <c r="AF64" s="95">
        <v>6.7886000000000002E-2</v>
      </c>
      <c r="AG64" s="95">
        <v>7.0204000000000003E-2</v>
      </c>
      <c r="AH64" s="95">
        <v>7.4772000000000005E-2</v>
      </c>
      <c r="AI64" s="95">
        <v>7.9221E-2</v>
      </c>
      <c r="AJ64" s="95">
        <v>8.1448000000000007E-2</v>
      </c>
      <c r="AK64" s="95">
        <v>8.4997000000000003E-2</v>
      </c>
      <c r="AL64" s="95">
        <v>8.7278999999999995E-2</v>
      </c>
      <c r="AM64" s="95">
        <v>8.8319999999999996E-2</v>
      </c>
      <c r="AN64" s="95">
        <v>8.9874999999999997E-2</v>
      </c>
      <c r="AO64" s="95">
        <v>9.0938000000000005E-2</v>
      </c>
      <c r="AP64" s="96">
        <v>4.8000000000000001E-2</v>
      </c>
    </row>
    <row r="65" spans="1:42" x14ac:dyDescent="0.25">
      <c r="A65" t="s">
        <v>19</v>
      </c>
      <c r="B65" t="s">
        <v>151</v>
      </c>
      <c r="C65" t="s">
        <v>376</v>
      </c>
      <c r="D65" t="s">
        <v>42</v>
      </c>
      <c r="H65">
        <v>9.2999999999999997E-5</v>
      </c>
      <c r="I65">
        <v>1.92E-4</v>
      </c>
      <c r="J65">
        <v>9.8999999999999994E-5</v>
      </c>
      <c r="K65">
        <v>2.2100000000000001E-4</v>
      </c>
      <c r="L65">
        <v>3.3199999999999999E-4</v>
      </c>
      <c r="M65">
        <v>3.9599999999999998E-4</v>
      </c>
      <c r="N65">
        <v>4.4499999999999997E-4</v>
      </c>
      <c r="O65">
        <v>4.8299999999999998E-4</v>
      </c>
      <c r="P65">
        <v>5.1900000000000004E-4</v>
      </c>
      <c r="Q65">
        <v>5.5099999999999995E-4</v>
      </c>
      <c r="R65">
        <v>5.8299999999999997E-4</v>
      </c>
      <c r="S65">
        <v>6.1499999999999999E-4</v>
      </c>
      <c r="T65">
        <v>6.4999999999999997E-4</v>
      </c>
      <c r="U65">
        <v>6.8599999999999998E-4</v>
      </c>
      <c r="V65">
        <v>7.27E-4</v>
      </c>
      <c r="W65">
        <v>7.7300000000000003E-4</v>
      </c>
      <c r="X65">
        <v>8.1999999999999998E-4</v>
      </c>
      <c r="Y65">
        <v>8.7000000000000001E-4</v>
      </c>
      <c r="Z65">
        <v>9.19E-4</v>
      </c>
      <c r="AA65">
        <v>9.6900000000000003E-4</v>
      </c>
      <c r="AB65">
        <v>1.0169999999999999E-3</v>
      </c>
      <c r="AC65">
        <v>1.067E-3</v>
      </c>
      <c r="AD65">
        <v>1.119E-3</v>
      </c>
      <c r="AE65">
        <v>1.17E-3</v>
      </c>
      <c r="AF65">
        <v>1.2210000000000001E-3</v>
      </c>
      <c r="AG65">
        <v>1.274E-3</v>
      </c>
      <c r="AH65">
        <v>1.3259999999999999E-3</v>
      </c>
      <c r="AI65">
        <v>1.3780000000000001E-3</v>
      </c>
      <c r="AJ65">
        <v>1.431E-3</v>
      </c>
      <c r="AK65">
        <v>1.4840000000000001E-3</v>
      </c>
      <c r="AL65">
        <v>1.534E-3</v>
      </c>
      <c r="AM65">
        <v>1.5820000000000001E-3</v>
      </c>
      <c r="AN65">
        <v>1.627E-3</v>
      </c>
      <c r="AO65">
        <v>1.67E-3</v>
      </c>
      <c r="AP65" s="7">
        <v>0.11</v>
      </c>
    </row>
    <row r="66" spans="1:42" s="95" customFormat="1" x14ac:dyDescent="0.25">
      <c r="A66" s="95" t="s">
        <v>8</v>
      </c>
      <c r="B66" s="95" t="s">
        <v>150</v>
      </c>
      <c r="C66" s="95" t="s">
        <v>375</v>
      </c>
      <c r="D66" s="95" t="s">
        <v>42</v>
      </c>
      <c r="E66" s="95">
        <v>3.0000000000000001E-3</v>
      </c>
      <c r="F66" s="95">
        <v>4.0000000000000001E-3</v>
      </c>
      <c r="G66" s="95">
        <v>5.0000000000000001E-3</v>
      </c>
      <c r="H66" s="95">
        <v>8.6390000000000008E-3</v>
      </c>
      <c r="I66" s="95">
        <v>9.9109999999999997E-3</v>
      </c>
      <c r="J66" s="95">
        <v>1.0625000000000001E-2</v>
      </c>
      <c r="K66" s="95">
        <v>9.9310000000000006E-3</v>
      </c>
      <c r="L66" s="95">
        <v>1.3474E-2</v>
      </c>
      <c r="M66" s="95">
        <v>1.6285000000000001E-2</v>
      </c>
      <c r="N66" s="95">
        <v>1.8894999999999999E-2</v>
      </c>
      <c r="O66" s="95">
        <v>2.1340000000000001E-2</v>
      </c>
      <c r="P66" s="95">
        <v>2.3768000000000001E-2</v>
      </c>
      <c r="Q66" s="95">
        <v>2.6124999999999999E-2</v>
      </c>
      <c r="R66" s="95">
        <v>2.8385000000000001E-2</v>
      </c>
      <c r="S66" s="95">
        <v>3.0523999999999999E-2</v>
      </c>
      <c r="T66" s="95">
        <v>3.2631E-2</v>
      </c>
      <c r="U66" s="95">
        <v>3.4752999999999999E-2</v>
      </c>
      <c r="V66" s="95">
        <v>3.7033999999999997E-2</v>
      </c>
      <c r="W66" s="95">
        <v>3.9327000000000001E-2</v>
      </c>
      <c r="X66" s="95">
        <v>4.1734E-2</v>
      </c>
      <c r="Y66" s="95">
        <v>4.4207000000000003E-2</v>
      </c>
      <c r="Z66" s="95">
        <v>4.6753000000000003E-2</v>
      </c>
      <c r="AA66" s="95">
        <v>4.9398999999999998E-2</v>
      </c>
      <c r="AB66" s="95">
        <v>5.2152999999999998E-2</v>
      </c>
      <c r="AC66" s="95">
        <v>5.5022000000000001E-2</v>
      </c>
      <c r="AD66" s="95">
        <v>5.8012000000000001E-2</v>
      </c>
      <c r="AE66" s="95">
        <v>6.1109999999999998E-2</v>
      </c>
      <c r="AF66" s="95">
        <v>6.4291000000000001E-2</v>
      </c>
      <c r="AG66" s="95">
        <v>6.7516000000000007E-2</v>
      </c>
      <c r="AH66" s="95">
        <v>7.0921999999999999E-2</v>
      </c>
      <c r="AI66" s="95">
        <v>7.4407000000000001E-2</v>
      </c>
      <c r="AJ66" s="95">
        <v>7.8173000000000006E-2</v>
      </c>
      <c r="AK66" s="95">
        <v>8.1778000000000003E-2</v>
      </c>
      <c r="AL66" s="95">
        <v>8.5460999999999995E-2</v>
      </c>
      <c r="AM66" s="95">
        <v>8.9260000000000006E-2</v>
      </c>
      <c r="AN66" s="95">
        <v>9.3324000000000004E-2</v>
      </c>
      <c r="AO66" s="95">
        <v>9.7892000000000007E-2</v>
      </c>
      <c r="AP66" s="96">
        <v>7.2999999999999995E-2</v>
      </c>
    </row>
    <row r="67" spans="1:42" x14ac:dyDescent="0.25">
      <c r="A67" t="s">
        <v>117</v>
      </c>
      <c r="B67" t="s">
        <v>149</v>
      </c>
      <c r="C67" t="s">
        <v>374</v>
      </c>
      <c r="D67" t="s">
        <v>42</v>
      </c>
      <c r="H67">
        <v>4.3926769999999999</v>
      </c>
      <c r="I67">
        <v>4.395829</v>
      </c>
      <c r="J67">
        <v>4.3828820000000004</v>
      </c>
      <c r="K67">
        <v>3.751147</v>
      </c>
      <c r="L67">
        <v>4.0316330000000002</v>
      </c>
      <c r="M67">
        <v>4.2758289999999999</v>
      </c>
      <c r="N67">
        <v>4.3115059999999996</v>
      </c>
      <c r="O67">
        <v>4.3303940000000001</v>
      </c>
      <c r="P67">
        <v>4.3479049999999999</v>
      </c>
      <c r="Q67">
        <v>4.3527760000000004</v>
      </c>
      <c r="R67">
        <v>4.3420269999999999</v>
      </c>
      <c r="S67">
        <v>4.3317480000000002</v>
      </c>
      <c r="T67">
        <v>4.3252139999999999</v>
      </c>
      <c r="U67">
        <v>4.3225709999999999</v>
      </c>
      <c r="V67">
        <v>4.3239830000000001</v>
      </c>
      <c r="W67">
        <v>4.3158060000000003</v>
      </c>
      <c r="X67">
        <v>4.3179020000000001</v>
      </c>
      <c r="Y67">
        <v>4.3210810000000004</v>
      </c>
      <c r="Z67">
        <v>4.3248870000000004</v>
      </c>
      <c r="AA67">
        <v>4.3317569999999996</v>
      </c>
      <c r="AB67">
        <v>4.3436490000000001</v>
      </c>
      <c r="AC67">
        <v>4.3532099999999998</v>
      </c>
      <c r="AD67">
        <v>4.3697470000000003</v>
      </c>
      <c r="AE67">
        <v>4.382352</v>
      </c>
      <c r="AF67">
        <v>4.3978700000000002</v>
      </c>
      <c r="AG67">
        <v>4.41594</v>
      </c>
      <c r="AH67">
        <v>4.4333030000000004</v>
      </c>
      <c r="AI67">
        <v>4.4538469999999997</v>
      </c>
      <c r="AJ67">
        <v>4.4802359999999997</v>
      </c>
      <c r="AK67">
        <v>4.5083970000000004</v>
      </c>
      <c r="AL67">
        <v>4.5339669999999996</v>
      </c>
      <c r="AM67">
        <v>4.5593029999999999</v>
      </c>
      <c r="AN67">
        <v>4.5892480000000004</v>
      </c>
      <c r="AO67">
        <v>4.6242229999999998</v>
      </c>
      <c r="AP67" s="7">
        <v>-4.0000000000000001E-3</v>
      </c>
    </row>
    <row r="68" spans="1:42" x14ac:dyDescent="0.25">
      <c r="A68" t="s">
        <v>115</v>
      </c>
      <c r="B68" t="s">
        <v>148</v>
      </c>
      <c r="C68" t="s">
        <v>373</v>
      </c>
      <c r="D68" t="s">
        <v>42</v>
      </c>
      <c r="H68">
        <v>1.3082E-2</v>
      </c>
      <c r="I68">
        <v>1.5386E-2</v>
      </c>
      <c r="J68">
        <v>1.5786999999999999E-2</v>
      </c>
      <c r="K68">
        <v>1.4066E-2</v>
      </c>
      <c r="L68">
        <v>1.8079000000000001E-2</v>
      </c>
      <c r="M68">
        <v>2.2870000000000001E-2</v>
      </c>
      <c r="N68">
        <v>2.7113000000000002E-2</v>
      </c>
      <c r="O68">
        <v>3.0331E-2</v>
      </c>
      <c r="P68">
        <v>3.1761999999999999E-2</v>
      </c>
      <c r="Q68">
        <v>3.2731999999999997E-2</v>
      </c>
      <c r="R68">
        <v>3.5256999999999997E-2</v>
      </c>
      <c r="S68">
        <v>3.7413000000000002E-2</v>
      </c>
      <c r="T68">
        <v>3.9834000000000001E-2</v>
      </c>
      <c r="U68">
        <v>4.3178000000000001E-2</v>
      </c>
      <c r="V68">
        <v>4.4935999999999997E-2</v>
      </c>
      <c r="W68">
        <v>4.7114999999999997E-2</v>
      </c>
      <c r="X68">
        <v>4.9144E-2</v>
      </c>
      <c r="Y68">
        <v>5.1837000000000001E-2</v>
      </c>
      <c r="Z68">
        <v>5.4462000000000003E-2</v>
      </c>
      <c r="AA68">
        <v>5.7622E-2</v>
      </c>
      <c r="AB68">
        <v>6.0174999999999999E-2</v>
      </c>
      <c r="AC68">
        <v>6.2225999999999997E-2</v>
      </c>
      <c r="AD68">
        <v>6.4492999999999995E-2</v>
      </c>
      <c r="AE68">
        <v>6.7422999999999997E-2</v>
      </c>
      <c r="AF68">
        <v>6.9887000000000005E-2</v>
      </c>
      <c r="AG68">
        <v>7.4590000000000004E-2</v>
      </c>
      <c r="AH68">
        <v>8.0823000000000006E-2</v>
      </c>
      <c r="AI68">
        <v>8.4298999999999999E-2</v>
      </c>
      <c r="AJ68">
        <v>8.8984999999999995E-2</v>
      </c>
      <c r="AK68">
        <v>9.3944E-2</v>
      </c>
      <c r="AL68">
        <v>9.9686999999999998E-2</v>
      </c>
      <c r="AM68">
        <v>0.102461</v>
      </c>
      <c r="AN68">
        <v>0.107269</v>
      </c>
      <c r="AO68">
        <v>0.113148</v>
      </c>
      <c r="AP68" s="7">
        <v>7.0999999999999994E-2</v>
      </c>
    </row>
    <row r="69" spans="1:42" x14ac:dyDescent="0.25">
      <c r="A69" t="s">
        <v>29</v>
      </c>
      <c r="B69" t="s">
        <v>147</v>
      </c>
      <c r="C69" t="s">
        <v>372</v>
      </c>
      <c r="D69" t="s">
        <v>42</v>
      </c>
      <c r="H69">
        <v>4.4057579999999996</v>
      </c>
      <c r="I69">
        <v>4.4112140000000002</v>
      </c>
      <c r="J69">
        <v>4.3986689999999999</v>
      </c>
      <c r="K69">
        <v>3.7652130000000001</v>
      </c>
      <c r="L69">
        <v>4.0497120000000004</v>
      </c>
      <c r="M69">
        <v>4.298699</v>
      </c>
      <c r="N69">
        <v>4.3386189999999996</v>
      </c>
      <c r="O69">
        <v>4.3607250000000004</v>
      </c>
      <c r="P69">
        <v>4.3796670000000004</v>
      </c>
      <c r="Q69">
        <v>4.3855079999999997</v>
      </c>
      <c r="R69">
        <v>4.3772840000000004</v>
      </c>
      <c r="S69">
        <v>4.3691599999999999</v>
      </c>
      <c r="T69">
        <v>4.365049</v>
      </c>
      <c r="U69">
        <v>4.365748</v>
      </c>
      <c r="V69">
        <v>4.368919</v>
      </c>
      <c r="W69">
        <v>4.362921</v>
      </c>
      <c r="X69">
        <v>4.3670460000000002</v>
      </c>
      <c r="Y69">
        <v>4.3729180000000003</v>
      </c>
      <c r="Z69">
        <v>4.3793499999999996</v>
      </c>
      <c r="AA69">
        <v>4.3893789999999999</v>
      </c>
      <c r="AB69">
        <v>4.4038240000000002</v>
      </c>
      <c r="AC69">
        <v>4.4154359999999997</v>
      </c>
      <c r="AD69">
        <v>4.43424</v>
      </c>
      <c r="AE69">
        <v>4.449776</v>
      </c>
      <c r="AF69">
        <v>4.4677569999999998</v>
      </c>
      <c r="AG69">
        <v>4.4905299999999997</v>
      </c>
      <c r="AH69">
        <v>4.5141260000000001</v>
      </c>
      <c r="AI69">
        <v>4.5381460000000002</v>
      </c>
      <c r="AJ69">
        <v>4.5692209999999998</v>
      </c>
      <c r="AK69">
        <v>4.602341</v>
      </c>
      <c r="AL69">
        <v>4.6336550000000001</v>
      </c>
      <c r="AM69">
        <v>4.6617639999999998</v>
      </c>
      <c r="AN69">
        <v>4.6965170000000001</v>
      </c>
      <c r="AO69">
        <v>4.7373710000000004</v>
      </c>
      <c r="AP69" s="7">
        <v>-3.0000000000000001E-3</v>
      </c>
    </row>
    <row r="70" spans="1:42" x14ac:dyDescent="0.25">
      <c r="A70" t="s">
        <v>146</v>
      </c>
      <c r="C70" t="s">
        <v>371</v>
      </c>
    </row>
    <row r="71" spans="1:42" x14ac:dyDescent="0.25">
      <c r="A71" t="s">
        <v>29</v>
      </c>
      <c r="B71" t="s">
        <v>145</v>
      </c>
      <c r="C71" t="s">
        <v>370</v>
      </c>
      <c r="D71" t="s">
        <v>42</v>
      </c>
      <c r="H71">
        <v>0.10760500000000001</v>
      </c>
      <c r="I71">
        <v>0.15043400000000001</v>
      </c>
      <c r="J71">
        <v>0.119398</v>
      </c>
      <c r="K71">
        <v>-5.2999999999999999E-2</v>
      </c>
      <c r="L71">
        <v>4.1790000000000001E-2</v>
      </c>
      <c r="M71">
        <v>7.92E-3</v>
      </c>
      <c r="N71">
        <v>-3.5840999999999998E-2</v>
      </c>
      <c r="O71">
        <v>-3.6305999999999998E-2</v>
      </c>
      <c r="P71">
        <v>-3.6745E-2</v>
      </c>
      <c r="Q71">
        <v>-3.7062999999999999E-2</v>
      </c>
      <c r="R71">
        <v>-3.7185000000000003E-2</v>
      </c>
      <c r="S71">
        <v>-3.7315000000000001E-2</v>
      </c>
      <c r="T71">
        <v>-3.7454000000000001E-2</v>
      </c>
      <c r="U71">
        <v>-3.7636999999999997E-2</v>
      </c>
      <c r="V71">
        <v>-3.7786E-2</v>
      </c>
      <c r="W71">
        <v>-3.7796999999999997E-2</v>
      </c>
      <c r="X71">
        <v>-3.7955999999999997E-2</v>
      </c>
      <c r="Y71">
        <v>-3.8102999999999998E-2</v>
      </c>
      <c r="Z71">
        <v>-3.8272E-2</v>
      </c>
      <c r="AA71">
        <v>-3.8457999999999999E-2</v>
      </c>
      <c r="AB71">
        <v>-3.8691999999999997E-2</v>
      </c>
      <c r="AC71">
        <v>-3.8906999999999997E-2</v>
      </c>
      <c r="AD71">
        <v>-3.9185999999999999E-2</v>
      </c>
      <c r="AE71">
        <v>-3.9463999999999999E-2</v>
      </c>
      <c r="AF71">
        <v>-3.9720999999999999E-2</v>
      </c>
      <c r="AG71">
        <v>-4.0016999999999997E-2</v>
      </c>
      <c r="AH71">
        <v>-4.0307000000000003E-2</v>
      </c>
      <c r="AI71">
        <v>-4.0589E-2</v>
      </c>
      <c r="AJ71">
        <v>-4.0946000000000003E-2</v>
      </c>
      <c r="AK71">
        <v>-4.1307000000000003E-2</v>
      </c>
      <c r="AL71">
        <v>-4.1610000000000001E-2</v>
      </c>
      <c r="AM71">
        <v>-4.1889999999999997E-2</v>
      </c>
      <c r="AN71">
        <v>-4.2228000000000002E-2</v>
      </c>
      <c r="AO71">
        <v>-4.2617000000000002E-2</v>
      </c>
      <c r="AP71" s="7">
        <v>8.9999999999999993E-3</v>
      </c>
    </row>
    <row r="72" spans="1:42" x14ac:dyDescent="0.25">
      <c r="A72" t="s">
        <v>144</v>
      </c>
      <c r="B72" t="s">
        <v>143</v>
      </c>
      <c r="D72" t="s">
        <v>369</v>
      </c>
    </row>
    <row r="73" spans="1:42" x14ac:dyDescent="0.25">
      <c r="A73" t="s">
        <v>99</v>
      </c>
      <c r="B73" t="s">
        <v>142</v>
      </c>
      <c r="C73" t="s">
        <v>368</v>
      </c>
      <c r="D73" t="s">
        <v>42</v>
      </c>
      <c r="H73">
        <v>8.4312999999999999E-2</v>
      </c>
      <c r="I73">
        <v>9.3257999999999994E-2</v>
      </c>
      <c r="J73">
        <v>0.104336</v>
      </c>
      <c r="K73">
        <v>9.8833000000000004E-2</v>
      </c>
      <c r="L73">
        <v>8.4875000000000006E-2</v>
      </c>
      <c r="M73">
        <v>7.8189999999999996E-2</v>
      </c>
      <c r="N73">
        <v>6.991E-2</v>
      </c>
      <c r="O73">
        <v>6.6153000000000003E-2</v>
      </c>
      <c r="P73">
        <v>6.5492999999999996E-2</v>
      </c>
      <c r="Q73">
        <v>6.4787999999999998E-2</v>
      </c>
      <c r="R73">
        <v>6.4765000000000003E-2</v>
      </c>
      <c r="S73">
        <v>6.4666000000000001E-2</v>
      </c>
      <c r="T73">
        <v>6.4623E-2</v>
      </c>
      <c r="U73">
        <v>6.4613000000000004E-2</v>
      </c>
      <c r="V73">
        <v>6.4241000000000006E-2</v>
      </c>
      <c r="W73">
        <v>6.4086000000000004E-2</v>
      </c>
      <c r="X73">
        <v>6.3995999999999997E-2</v>
      </c>
      <c r="Y73">
        <v>6.4019000000000006E-2</v>
      </c>
      <c r="Z73">
        <v>6.4078999999999997E-2</v>
      </c>
      <c r="AA73">
        <v>6.4156000000000005E-2</v>
      </c>
      <c r="AB73">
        <v>6.4250000000000002E-2</v>
      </c>
      <c r="AC73">
        <v>6.4351000000000005E-2</v>
      </c>
      <c r="AD73">
        <v>6.4463999999999994E-2</v>
      </c>
      <c r="AE73">
        <v>6.4581E-2</v>
      </c>
      <c r="AF73">
        <v>6.4713000000000007E-2</v>
      </c>
      <c r="AG73">
        <v>6.4859E-2</v>
      </c>
      <c r="AH73">
        <v>6.5015000000000003E-2</v>
      </c>
      <c r="AI73">
        <v>6.5171000000000007E-2</v>
      </c>
      <c r="AJ73">
        <v>6.5353999999999995E-2</v>
      </c>
      <c r="AK73">
        <v>6.5556000000000003E-2</v>
      </c>
      <c r="AL73">
        <v>6.5771999999999997E-2</v>
      </c>
      <c r="AM73">
        <v>6.5997E-2</v>
      </c>
      <c r="AN73">
        <v>6.6253000000000006E-2</v>
      </c>
      <c r="AO73">
        <v>6.6534999999999997E-2</v>
      </c>
      <c r="AP73" s="7">
        <v>-8.0000000000000002E-3</v>
      </c>
    </row>
    <row r="74" spans="1:42" x14ac:dyDescent="0.25">
      <c r="A74" t="s">
        <v>2</v>
      </c>
      <c r="B74" t="s">
        <v>141</v>
      </c>
      <c r="C74" t="s">
        <v>367</v>
      </c>
      <c r="D74" t="s">
        <v>42</v>
      </c>
      <c r="H74">
        <v>2.4627849999999998</v>
      </c>
      <c r="I74">
        <v>2.4661580000000001</v>
      </c>
      <c r="J74">
        <v>2.471797</v>
      </c>
      <c r="K74">
        <v>2.1964589999999999</v>
      </c>
      <c r="L74">
        <v>2.3145009999999999</v>
      </c>
      <c r="M74">
        <v>2.3783919999999998</v>
      </c>
      <c r="N74">
        <v>2.4172280000000002</v>
      </c>
      <c r="O74">
        <v>2.4103340000000002</v>
      </c>
      <c r="P74">
        <v>2.4015390000000001</v>
      </c>
      <c r="Q74">
        <v>2.3899949999999999</v>
      </c>
      <c r="R74">
        <v>2.374844</v>
      </c>
      <c r="S74">
        <v>2.358263</v>
      </c>
      <c r="T74">
        <v>2.3434050000000002</v>
      </c>
      <c r="U74">
        <v>2.3319860000000001</v>
      </c>
      <c r="V74">
        <v>2.3218320000000001</v>
      </c>
      <c r="W74">
        <v>2.3109359999999999</v>
      </c>
      <c r="X74">
        <v>2.3033830000000002</v>
      </c>
      <c r="Y74">
        <v>2.2964030000000002</v>
      </c>
      <c r="Z74">
        <v>2.2885650000000002</v>
      </c>
      <c r="AA74">
        <v>2.281882</v>
      </c>
      <c r="AB74">
        <v>2.2774179999999999</v>
      </c>
      <c r="AC74">
        <v>2.2742930000000001</v>
      </c>
      <c r="AD74">
        <v>2.2733819999999998</v>
      </c>
      <c r="AE74">
        <v>2.273685</v>
      </c>
      <c r="AF74">
        <v>2.2749600000000001</v>
      </c>
      <c r="AG74">
        <v>2.2770280000000001</v>
      </c>
      <c r="AH74">
        <v>2.279731</v>
      </c>
      <c r="AI74">
        <v>2.2838590000000001</v>
      </c>
      <c r="AJ74">
        <v>2.289193</v>
      </c>
      <c r="AK74">
        <v>2.2966470000000001</v>
      </c>
      <c r="AL74">
        <v>2.3042769999999999</v>
      </c>
      <c r="AM74">
        <v>2.3122950000000002</v>
      </c>
      <c r="AN74">
        <v>2.3220830000000001</v>
      </c>
      <c r="AO74">
        <v>2.3339099999999999</v>
      </c>
      <c r="AP74" s="7">
        <v>-1.4999999999999999E-2</v>
      </c>
    </row>
    <row r="75" spans="1:42" x14ac:dyDescent="0.25">
      <c r="A75" t="s">
        <v>96</v>
      </c>
      <c r="B75" t="s">
        <v>140</v>
      </c>
      <c r="C75" t="s">
        <v>366</v>
      </c>
      <c r="D75" t="s">
        <v>42</v>
      </c>
      <c r="H75">
        <v>1.3619999999999999E-3</v>
      </c>
      <c r="I75">
        <v>8.8000000000000005E-3</v>
      </c>
      <c r="J75">
        <v>2.7130000000000001E-3</v>
      </c>
      <c r="K75">
        <v>2.3990000000000001E-3</v>
      </c>
      <c r="L75">
        <v>2.7780000000000001E-3</v>
      </c>
      <c r="M75">
        <v>2.7950000000000002E-3</v>
      </c>
      <c r="N75">
        <v>2.6150000000000001E-3</v>
      </c>
      <c r="O75">
        <v>2.5999999999999999E-3</v>
      </c>
      <c r="P75">
        <v>2.5899999999999999E-3</v>
      </c>
      <c r="Q75">
        <v>2.5579999999999999E-3</v>
      </c>
      <c r="R75">
        <v>2.5149999999999999E-3</v>
      </c>
      <c r="S75">
        <v>2.4689999999999998E-3</v>
      </c>
      <c r="T75">
        <v>2.4220000000000001E-3</v>
      </c>
      <c r="U75">
        <v>2.369E-3</v>
      </c>
      <c r="V75">
        <v>2.3280000000000002E-3</v>
      </c>
      <c r="W75">
        <v>2.281E-3</v>
      </c>
      <c r="X75">
        <v>2.2460000000000002E-3</v>
      </c>
      <c r="Y75">
        <v>2.2109999999999999E-3</v>
      </c>
      <c r="Z75">
        <v>2.1800000000000001E-3</v>
      </c>
      <c r="AA75">
        <v>2.1580000000000002E-3</v>
      </c>
      <c r="AB75">
        <v>2.1459999999999999E-3</v>
      </c>
      <c r="AC75">
        <v>2.1389999999999998E-3</v>
      </c>
      <c r="AD75">
        <v>2.1519999999999998E-3</v>
      </c>
      <c r="AE75">
        <v>2.166E-3</v>
      </c>
      <c r="AF75">
        <v>2.1870000000000001E-3</v>
      </c>
      <c r="AG75">
        <v>2.2139999999999998E-3</v>
      </c>
      <c r="AH75">
        <v>2.2300000000000002E-3</v>
      </c>
      <c r="AI75">
        <v>2.2539999999999999E-3</v>
      </c>
      <c r="AJ75">
        <v>2.287E-3</v>
      </c>
      <c r="AK75">
        <v>2.3210000000000001E-3</v>
      </c>
      <c r="AL75">
        <v>2.362E-3</v>
      </c>
      <c r="AM75">
        <v>2.4090000000000001E-3</v>
      </c>
      <c r="AN75">
        <v>2.457E-3</v>
      </c>
      <c r="AO75">
        <v>2.5079999999999998E-3</v>
      </c>
      <c r="AP75" s="7">
        <v>3.9E-2</v>
      </c>
    </row>
    <row r="76" spans="1:42" x14ac:dyDescent="0.25">
      <c r="A76" t="s">
        <v>94</v>
      </c>
      <c r="B76" t="s">
        <v>139</v>
      </c>
      <c r="C76" t="s">
        <v>365</v>
      </c>
      <c r="D76" t="s">
        <v>42</v>
      </c>
      <c r="H76">
        <v>1.037347</v>
      </c>
      <c r="I76">
        <v>1.0670120000000001</v>
      </c>
      <c r="J76">
        <v>1.065018</v>
      </c>
      <c r="K76">
        <v>0.65032999999999996</v>
      </c>
      <c r="L76">
        <v>0.7419</v>
      </c>
      <c r="M76">
        <v>0.81612799999999996</v>
      </c>
      <c r="N76">
        <v>0.84804199999999996</v>
      </c>
      <c r="O76">
        <v>0.86960800000000005</v>
      </c>
      <c r="P76">
        <v>0.89004300000000003</v>
      </c>
      <c r="Q76">
        <v>0.90660600000000002</v>
      </c>
      <c r="R76">
        <v>0.91735100000000003</v>
      </c>
      <c r="S76">
        <v>0.92762599999999995</v>
      </c>
      <c r="T76">
        <v>0.93814500000000001</v>
      </c>
      <c r="U76">
        <v>0.95077299999999998</v>
      </c>
      <c r="V76">
        <v>0.96029900000000001</v>
      </c>
      <c r="W76">
        <v>0.96465800000000002</v>
      </c>
      <c r="X76">
        <v>0.97459300000000004</v>
      </c>
      <c r="Y76">
        <v>0.98363</v>
      </c>
      <c r="Z76">
        <v>0.99334800000000001</v>
      </c>
      <c r="AA76">
        <v>1.003212</v>
      </c>
      <c r="AB76">
        <v>1.0145770000000001</v>
      </c>
      <c r="AC76">
        <v>1.02481</v>
      </c>
      <c r="AD76">
        <v>1.036643</v>
      </c>
      <c r="AE76">
        <v>1.0500499999999999</v>
      </c>
      <c r="AF76">
        <v>1.0611679999999999</v>
      </c>
      <c r="AG76">
        <v>1.0735079999999999</v>
      </c>
      <c r="AH76">
        <v>1.0862769999999999</v>
      </c>
      <c r="AI76">
        <v>1.098276</v>
      </c>
      <c r="AJ76">
        <v>1.112455</v>
      </c>
      <c r="AK76">
        <v>1.126768</v>
      </c>
      <c r="AL76">
        <v>1.1390359999999999</v>
      </c>
      <c r="AM76">
        <v>1.1506529999999999</v>
      </c>
      <c r="AN76">
        <v>1.1642840000000001</v>
      </c>
      <c r="AO76">
        <v>1.179476</v>
      </c>
      <c r="AP76" s="7">
        <v>8.9999999999999993E-3</v>
      </c>
    </row>
    <row r="77" spans="1:42" x14ac:dyDescent="0.25">
      <c r="A77" t="s">
        <v>21</v>
      </c>
      <c r="B77" t="s">
        <v>138</v>
      </c>
      <c r="C77" t="s">
        <v>364</v>
      </c>
      <c r="D77" t="s">
        <v>42</v>
      </c>
      <c r="H77">
        <v>6.3E-5</v>
      </c>
      <c r="I77">
        <v>0</v>
      </c>
      <c r="J77">
        <v>9.2999999999999997E-5</v>
      </c>
      <c r="K77">
        <v>6.9999999999999994E-5</v>
      </c>
      <c r="L77">
        <v>7.7999999999999999E-5</v>
      </c>
      <c r="M77">
        <v>7.2999999999999999E-5</v>
      </c>
      <c r="N77">
        <v>1.63E-4</v>
      </c>
      <c r="O77">
        <v>1.36E-4</v>
      </c>
      <c r="P77">
        <v>1.3100000000000001E-4</v>
      </c>
      <c r="Q77">
        <v>1.26E-4</v>
      </c>
      <c r="R77">
        <v>1.2E-4</v>
      </c>
      <c r="S77">
        <v>1.15E-4</v>
      </c>
      <c r="T77">
        <v>1.12E-4</v>
      </c>
      <c r="U77">
        <v>1.13E-4</v>
      </c>
      <c r="V77">
        <v>5.8999999999999998E-5</v>
      </c>
      <c r="W77">
        <v>5.7000000000000003E-5</v>
      </c>
      <c r="X77">
        <v>5.0000000000000002E-5</v>
      </c>
      <c r="Y77">
        <v>4.8000000000000001E-5</v>
      </c>
      <c r="Z77">
        <v>4.6E-5</v>
      </c>
      <c r="AA77">
        <v>4.3999999999999999E-5</v>
      </c>
      <c r="AB77">
        <v>4.0000000000000003E-5</v>
      </c>
      <c r="AC77">
        <v>3.8000000000000002E-5</v>
      </c>
      <c r="AD77">
        <v>3.6999999999999998E-5</v>
      </c>
      <c r="AE77">
        <v>3.4999999999999997E-5</v>
      </c>
      <c r="AF77">
        <v>3.3000000000000003E-5</v>
      </c>
      <c r="AG77">
        <v>3.3000000000000003E-5</v>
      </c>
      <c r="AH77">
        <v>2.9E-5</v>
      </c>
      <c r="AI77">
        <v>2.5999999999999998E-5</v>
      </c>
      <c r="AJ77">
        <v>2.4000000000000001E-5</v>
      </c>
      <c r="AK77">
        <v>2.1999999999999999E-5</v>
      </c>
      <c r="AL77">
        <v>2.0999999999999999E-5</v>
      </c>
      <c r="AM77">
        <v>2.0999999999999999E-5</v>
      </c>
      <c r="AN77">
        <v>2.0999999999999999E-5</v>
      </c>
      <c r="AO77">
        <v>2.0999999999999999E-5</v>
      </c>
      <c r="AP77" t="s">
        <v>0</v>
      </c>
    </row>
    <row r="78" spans="1:42" x14ac:dyDescent="0.25">
      <c r="A78" t="s">
        <v>91</v>
      </c>
      <c r="B78" t="s">
        <v>137</v>
      </c>
      <c r="C78" t="s">
        <v>363</v>
      </c>
      <c r="D78" t="s">
        <v>42</v>
      </c>
      <c r="H78">
        <v>0.89347100000000002</v>
      </c>
      <c r="I78">
        <v>0.93144800000000005</v>
      </c>
      <c r="J78">
        <v>0.933365</v>
      </c>
      <c r="K78">
        <v>0.83880999999999994</v>
      </c>
      <c r="L78">
        <v>0.87844599999999995</v>
      </c>
      <c r="M78">
        <v>0.85886300000000004</v>
      </c>
      <c r="N78">
        <v>0.89278400000000002</v>
      </c>
      <c r="O78">
        <v>0.89276699999999998</v>
      </c>
      <c r="P78">
        <v>0.89300800000000002</v>
      </c>
      <c r="Q78">
        <v>0.89169299999999996</v>
      </c>
      <c r="R78">
        <v>0.88624800000000004</v>
      </c>
      <c r="S78">
        <v>0.88187099999999996</v>
      </c>
      <c r="T78">
        <v>0.87778400000000001</v>
      </c>
      <c r="U78">
        <v>0.87361699999999998</v>
      </c>
      <c r="V78">
        <v>0.87049900000000002</v>
      </c>
      <c r="W78">
        <v>0.86663699999999999</v>
      </c>
      <c r="X78">
        <v>0.86422200000000005</v>
      </c>
      <c r="Y78">
        <v>0.86207500000000004</v>
      </c>
      <c r="Z78">
        <v>0.86035399999999995</v>
      </c>
      <c r="AA78">
        <v>0.85930099999999998</v>
      </c>
      <c r="AB78">
        <v>0.85892500000000005</v>
      </c>
      <c r="AC78">
        <v>0.85901099999999997</v>
      </c>
      <c r="AD78">
        <v>0.86043000000000003</v>
      </c>
      <c r="AE78">
        <v>0.86010299999999995</v>
      </c>
      <c r="AF78">
        <v>0.86126899999999995</v>
      </c>
      <c r="AG78">
        <v>0.86283299999999996</v>
      </c>
      <c r="AH78">
        <v>0.86352899999999999</v>
      </c>
      <c r="AI78">
        <v>0.86464099999999999</v>
      </c>
      <c r="AJ78">
        <v>0.86700600000000005</v>
      </c>
      <c r="AK78">
        <v>0.86934</v>
      </c>
      <c r="AL78">
        <v>0.87092499999999995</v>
      </c>
      <c r="AM78">
        <v>0.87212100000000004</v>
      </c>
      <c r="AN78">
        <v>0.87400500000000003</v>
      </c>
      <c r="AO78">
        <v>0.87691799999999998</v>
      </c>
      <c r="AP78" s="7">
        <v>3.0000000000000001E-3</v>
      </c>
    </row>
    <row r="79" spans="1:42" x14ac:dyDescent="0.25">
      <c r="A79" t="s">
        <v>89</v>
      </c>
      <c r="B79" t="s">
        <v>136</v>
      </c>
      <c r="C79" t="s">
        <v>362</v>
      </c>
      <c r="D79" t="s">
        <v>42</v>
      </c>
      <c r="H79">
        <v>0.296404</v>
      </c>
      <c r="I79">
        <v>0.27533800000000003</v>
      </c>
      <c r="J79">
        <v>0.22050700000000001</v>
      </c>
      <c r="K79">
        <v>0.17265800000000001</v>
      </c>
      <c r="L79">
        <v>0.285862</v>
      </c>
      <c r="M79">
        <v>0.38561699999999999</v>
      </c>
      <c r="N79">
        <v>0.26802799999999999</v>
      </c>
      <c r="O79">
        <v>0.26729999999999998</v>
      </c>
      <c r="P79">
        <v>0.26910899999999999</v>
      </c>
      <c r="Q79">
        <v>0.26536500000000002</v>
      </c>
      <c r="R79">
        <v>0.25872600000000001</v>
      </c>
      <c r="S79">
        <v>0.25567499999999999</v>
      </c>
      <c r="T79">
        <v>0.25492399999999998</v>
      </c>
      <c r="U79">
        <v>0.25250699999999998</v>
      </c>
      <c r="V79">
        <v>0.25805099999999997</v>
      </c>
      <c r="W79">
        <v>0.25667800000000002</v>
      </c>
      <c r="X79">
        <v>0.25629299999999999</v>
      </c>
      <c r="Y79">
        <v>0.25652700000000001</v>
      </c>
      <c r="Z79">
        <v>0.25681700000000002</v>
      </c>
      <c r="AA79">
        <v>0.25807200000000002</v>
      </c>
      <c r="AB79">
        <v>0.25959199999999999</v>
      </c>
      <c r="AC79">
        <v>0.25791599999999998</v>
      </c>
      <c r="AD79">
        <v>0.25906699999999999</v>
      </c>
      <c r="AE79">
        <v>0.25180999999999998</v>
      </c>
      <c r="AF79">
        <v>0.248698</v>
      </c>
      <c r="AG79">
        <v>0.245695</v>
      </c>
      <c r="AH79">
        <v>0.239401</v>
      </c>
      <c r="AI79">
        <v>0.235069</v>
      </c>
      <c r="AJ79">
        <v>0.23407500000000001</v>
      </c>
      <c r="AK79">
        <v>0.23145399999999999</v>
      </c>
      <c r="AL79">
        <v>0.22997999999999999</v>
      </c>
      <c r="AM79">
        <v>0.23037299999999999</v>
      </c>
      <c r="AN79">
        <v>0.23014100000000001</v>
      </c>
      <c r="AO79">
        <v>0.23073199999999999</v>
      </c>
      <c r="AP79" s="7">
        <v>-8.9999999999999993E-3</v>
      </c>
    </row>
    <row r="80" spans="1:42" x14ac:dyDescent="0.25">
      <c r="A80" t="s">
        <v>87</v>
      </c>
      <c r="B80" t="s">
        <v>135</v>
      </c>
      <c r="C80" t="s">
        <v>361</v>
      </c>
      <c r="D80" t="s">
        <v>42</v>
      </c>
      <c r="H80">
        <v>0</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0</v>
      </c>
      <c r="AK80">
        <v>0</v>
      </c>
      <c r="AL80">
        <v>0</v>
      </c>
      <c r="AM80">
        <v>0</v>
      </c>
      <c r="AN80">
        <v>0</v>
      </c>
      <c r="AO80">
        <v>0</v>
      </c>
      <c r="AP80" t="s">
        <v>0</v>
      </c>
    </row>
    <row r="81" spans="1:42" x14ac:dyDescent="0.25">
      <c r="A81" t="s">
        <v>85</v>
      </c>
      <c r="B81" t="s">
        <v>134</v>
      </c>
      <c r="C81" t="s">
        <v>360</v>
      </c>
      <c r="D81" t="s">
        <v>42</v>
      </c>
      <c r="H81">
        <v>0.55424799999999996</v>
      </c>
      <c r="I81">
        <v>0.54416500000000001</v>
      </c>
      <c r="J81">
        <v>0.55160500000000001</v>
      </c>
      <c r="K81">
        <v>0.48769200000000001</v>
      </c>
      <c r="L81">
        <v>0.47777399999999998</v>
      </c>
      <c r="M81">
        <v>0.495112</v>
      </c>
      <c r="N81">
        <v>0.41468100000000002</v>
      </c>
      <c r="O81">
        <v>0.39590799999999998</v>
      </c>
      <c r="P81">
        <v>0.394959</v>
      </c>
      <c r="Q81">
        <v>0.408916</v>
      </c>
      <c r="R81">
        <v>0.40602199999999999</v>
      </c>
      <c r="S81">
        <v>0.41504099999999999</v>
      </c>
      <c r="T81">
        <v>0.417383</v>
      </c>
      <c r="U81">
        <v>0.42756699999999997</v>
      </c>
      <c r="V81">
        <v>0.420151</v>
      </c>
      <c r="W81">
        <v>0.43420399999999998</v>
      </c>
      <c r="X81">
        <v>0.433228</v>
      </c>
      <c r="Y81">
        <v>0.444693</v>
      </c>
      <c r="Z81">
        <v>0.452681</v>
      </c>
      <c r="AA81">
        <v>0.462704</v>
      </c>
      <c r="AB81">
        <v>0.47296899999999997</v>
      </c>
      <c r="AC81">
        <v>0.475831</v>
      </c>
      <c r="AD81">
        <v>0.480883</v>
      </c>
      <c r="AE81">
        <v>0.47851199999999999</v>
      </c>
      <c r="AF81">
        <v>0.48097800000000002</v>
      </c>
      <c r="AG81">
        <v>0.481126</v>
      </c>
      <c r="AH81">
        <v>0.46843299999999999</v>
      </c>
      <c r="AI81">
        <v>0.47143000000000002</v>
      </c>
      <c r="AJ81">
        <v>0.47128199999999998</v>
      </c>
      <c r="AK81">
        <v>0.47444999999999998</v>
      </c>
      <c r="AL81">
        <v>0.477182</v>
      </c>
      <c r="AM81">
        <v>0.47769200000000001</v>
      </c>
      <c r="AN81">
        <v>0.48030800000000001</v>
      </c>
      <c r="AO81">
        <v>0.48714499999999999</v>
      </c>
      <c r="AP81" s="7">
        <v>-5.0000000000000001E-3</v>
      </c>
    </row>
    <row r="82" spans="1:42" x14ac:dyDescent="0.25">
      <c r="A82" t="s">
        <v>83</v>
      </c>
      <c r="B82" t="s">
        <v>133</v>
      </c>
      <c r="C82" t="s">
        <v>359</v>
      </c>
      <c r="D82" t="s">
        <v>42</v>
      </c>
      <c r="H82">
        <v>5.3286300000000004</v>
      </c>
      <c r="I82">
        <v>5.3773809999999997</v>
      </c>
      <c r="J82">
        <v>5.3467209999999996</v>
      </c>
      <c r="K82">
        <v>4.4448530000000002</v>
      </c>
      <c r="L82">
        <v>4.783436</v>
      </c>
      <c r="M82">
        <v>5.0123740000000003</v>
      </c>
      <c r="N82">
        <v>4.9108359999999998</v>
      </c>
      <c r="O82">
        <v>4.9022069999999998</v>
      </c>
      <c r="P82">
        <v>4.9142809999999999</v>
      </c>
      <c r="Q82">
        <v>4.9274889999999996</v>
      </c>
      <c r="R82">
        <v>4.9080760000000003</v>
      </c>
      <c r="S82">
        <v>4.903257</v>
      </c>
      <c r="T82">
        <v>4.8963770000000002</v>
      </c>
      <c r="U82">
        <v>4.9011769999999997</v>
      </c>
      <c r="V82">
        <v>4.8951330000000004</v>
      </c>
      <c r="W82">
        <v>4.8972550000000004</v>
      </c>
      <c r="X82">
        <v>4.8957649999999999</v>
      </c>
      <c r="Y82">
        <v>4.9073950000000002</v>
      </c>
      <c r="Z82">
        <v>4.915889</v>
      </c>
      <c r="AA82">
        <v>4.9293709999999997</v>
      </c>
      <c r="AB82">
        <v>4.9477719999999996</v>
      </c>
      <c r="AC82">
        <v>4.9562499999999998</v>
      </c>
      <c r="AD82">
        <v>4.9749049999999997</v>
      </c>
      <c r="AE82">
        <v>4.9787739999999996</v>
      </c>
      <c r="AF82">
        <v>4.9918189999999996</v>
      </c>
      <c r="AG82">
        <v>5.0050809999999997</v>
      </c>
      <c r="AH82">
        <v>5.0024150000000001</v>
      </c>
      <c r="AI82">
        <v>5.0184730000000002</v>
      </c>
      <c r="AJ82">
        <v>5.0393879999999998</v>
      </c>
      <c r="AK82">
        <v>5.0642379999999996</v>
      </c>
      <c r="AL82">
        <v>5.0871930000000001</v>
      </c>
      <c r="AM82">
        <v>5.1091519999999999</v>
      </c>
      <c r="AN82">
        <v>5.1370950000000004</v>
      </c>
      <c r="AO82">
        <v>5.1747370000000004</v>
      </c>
      <c r="AP82" s="7">
        <v>-4.0000000000000001E-3</v>
      </c>
    </row>
    <row r="83" spans="1:42" x14ac:dyDescent="0.25">
      <c r="A83" t="s">
        <v>10</v>
      </c>
      <c r="B83" t="s">
        <v>132</v>
      </c>
      <c r="C83" t="s">
        <v>358</v>
      </c>
      <c r="D83" t="s">
        <v>42</v>
      </c>
      <c r="H83">
        <v>1.9867980000000001</v>
      </c>
      <c r="I83">
        <v>2.078811</v>
      </c>
      <c r="J83">
        <v>2.1153080000000002</v>
      </c>
      <c r="K83">
        <v>2.000038</v>
      </c>
      <c r="L83">
        <v>2.060038</v>
      </c>
      <c r="M83">
        <v>2.1585269999999999</v>
      </c>
      <c r="N83">
        <v>2.1258490000000001</v>
      </c>
      <c r="O83">
        <v>2.1417380000000001</v>
      </c>
      <c r="P83">
        <v>2.1780059999999999</v>
      </c>
      <c r="Q83">
        <v>2.2161</v>
      </c>
      <c r="R83">
        <v>2.2375280000000002</v>
      </c>
      <c r="S83">
        <v>2.260567</v>
      </c>
      <c r="T83">
        <v>2.2755260000000002</v>
      </c>
      <c r="U83">
        <v>2.2927399999999998</v>
      </c>
      <c r="V83">
        <v>2.2269290000000002</v>
      </c>
      <c r="W83">
        <v>2.2323569999999999</v>
      </c>
      <c r="X83">
        <v>2.237447</v>
      </c>
      <c r="Y83">
        <v>2.2517719999999999</v>
      </c>
      <c r="Z83">
        <v>2.2701750000000001</v>
      </c>
      <c r="AA83">
        <v>2.2909830000000002</v>
      </c>
      <c r="AB83">
        <v>2.313901</v>
      </c>
      <c r="AC83">
        <v>2.3314539999999999</v>
      </c>
      <c r="AD83">
        <v>2.3495680000000001</v>
      </c>
      <c r="AE83">
        <v>2.3732839999999999</v>
      </c>
      <c r="AF83">
        <v>2.3949919999999998</v>
      </c>
      <c r="AG83">
        <v>2.4166859999999999</v>
      </c>
      <c r="AH83">
        <v>2.4387059999999998</v>
      </c>
      <c r="AI83">
        <v>2.4651730000000001</v>
      </c>
      <c r="AJ83">
        <v>2.4857629999999999</v>
      </c>
      <c r="AK83">
        <v>2.507263</v>
      </c>
      <c r="AL83">
        <v>2.5305879999999998</v>
      </c>
      <c r="AM83">
        <v>2.5477940000000001</v>
      </c>
      <c r="AN83">
        <v>2.571707</v>
      </c>
      <c r="AO83">
        <v>2.6019389999999998</v>
      </c>
      <c r="AP83" s="7">
        <v>8.0000000000000002E-3</v>
      </c>
    </row>
    <row r="84" spans="1:42" x14ac:dyDescent="0.25">
      <c r="A84" t="s">
        <v>80</v>
      </c>
      <c r="B84" t="s">
        <v>131</v>
      </c>
      <c r="C84" t="s">
        <v>357</v>
      </c>
      <c r="D84" t="s">
        <v>42</v>
      </c>
      <c r="H84">
        <v>0</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t="s">
        <v>0</v>
      </c>
    </row>
    <row r="85" spans="1:42" x14ac:dyDescent="0.25">
      <c r="A85" t="s">
        <v>78</v>
      </c>
      <c r="B85" t="s">
        <v>130</v>
      </c>
      <c r="C85" t="s">
        <v>356</v>
      </c>
      <c r="D85" t="s">
        <v>42</v>
      </c>
      <c r="H85">
        <v>0.283586</v>
      </c>
      <c r="I85">
        <v>0.29477799999999998</v>
      </c>
      <c r="J85">
        <v>0.29870200000000002</v>
      </c>
      <c r="K85">
        <v>0.28741899999999998</v>
      </c>
      <c r="L85">
        <v>0.28536099999999998</v>
      </c>
      <c r="M85">
        <v>0.26723200000000003</v>
      </c>
      <c r="N85">
        <v>0.26649600000000001</v>
      </c>
      <c r="O85">
        <v>0.26502599999999998</v>
      </c>
      <c r="P85">
        <v>0.27020499999999997</v>
      </c>
      <c r="Q85">
        <v>0.26961400000000002</v>
      </c>
      <c r="R85">
        <v>0.27246300000000001</v>
      </c>
      <c r="S85">
        <v>0.28994399999999998</v>
      </c>
      <c r="T85">
        <v>0.29267399999999999</v>
      </c>
      <c r="U85">
        <v>0.30782799999999999</v>
      </c>
      <c r="V85">
        <v>0.31601099999999999</v>
      </c>
      <c r="W85">
        <v>0.32309300000000002</v>
      </c>
      <c r="X85">
        <v>0.32730100000000001</v>
      </c>
      <c r="Y85">
        <v>0.32014199999999998</v>
      </c>
      <c r="Z85">
        <v>0.31878499999999999</v>
      </c>
      <c r="AA85">
        <v>0.31233699999999998</v>
      </c>
      <c r="AB85">
        <v>0.30601299999999998</v>
      </c>
      <c r="AC85">
        <v>0.30664799999999998</v>
      </c>
      <c r="AD85">
        <v>0.30275099999999999</v>
      </c>
      <c r="AE85">
        <v>0.30848100000000001</v>
      </c>
      <c r="AF85">
        <v>0.31149199999999999</v>
      </c>
      <c r="AG85">
        <v>0.32236799999999999</v>
      </c>
      <c r="AH85">
        <v>0.327544</v>
      </c>
      <c r="AI85">
        <v>0.320268</v>
      </c>
      <c r="AJ85">
        <v>0.31587500000000002</v>
      </c>
      <c r="AK85">
        <v>0.32370700000000002</v>
      </c>
      <c r="AL85">
        <v>0.32103999999999999</v>
      </c>
      <c r="AM85">
        <v>0.34842299999999998</v>
      </c>
      <c r="AN85">
        <v>0.348856</v>
      </c>
      <c r="AO85">
        <v>0.34811399999999998</v>
      </c>
      <c r="AP85" s="7">
        <v>0</v>
      </c>
    </row>
    <row r="86" spans="1:42" x14ac:dyDescent="0.25">
      <c r="A86" t="s">
        <v>76</v>
      </c>
      <c r="B86" t="s">
        <v>129</v>
      </c>
      <c r="C86" t="s">
        <v>355</v>
      </c>
      <c r="D86" t="s">
        <v>42</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t="s">
        <v>0</v>
      </c>
    </row>
    <row r="87" spans="1:42" x14ac:dyDescent="0.25">
      <c r="A87" t="s">
        <v>74</v>
      </c>
      <c r="B87" t="s">
        <v>128</v>
      </c>
      <c r="C87" t="s">
        <v>354</v>
      </c>
      <c r="D87" t="s">
        <v>42</v>
      </c>
      <c r="H87">
        <v>4.1980999999999997E-2</v>
      </c>
      <c r="I87">
        <v>4.3070999999999998E-2</v>
      </c>
      <c r="J87">
        <v>4.4200999999999997E-2</v>
      </c>
      <c r="K87">
        <v>4.6810999999999998E-2</v>
      </c>
      <c r="L87">
        <v>4.5700999999999999E-2</v>
      </c>
      <c r="M87">
        <v>4.6574999999999998E-2</v>
      </c>
      <c r="N87">
        <v>4.3118999999999998E-2</v>
      </c>
      <c r="O87">
        <v>4.3049999999999998E-2</v>
      </c>
      <c r="P87">
        <v>4.3298999999999997E-2</v>
      </c>
      <c r="Q87">
        <v>4.3723999999999999E-2</v>
      </c>
      <c r="R87">
        <v>4.385E-2</v>
      </c>
      <c r="S87">
        <v>4.3901999999999997E-2</v>
      </c>
      <c r="T87">
        <v>4.3886000000000001E-2</v>
      </c>
      <c r="U87">
        <v>4.3822E-2</v>
      </c>
      <c r="V87">
        <v>4.2320999999999998E-2</v>
      </c>
      <c r="W87">
        <v>4.2278999999999997E-2</v>
      </c>
      <c r="X87">
        <v>4.2303E-2</v>
      </c>
      <c r="Y87">
        <v>4.2472000000000003E-2</v>
      </c>
      <c r="Z87">
        <v>4.2698E-2</v>
      </c>
      <c r="AA87">
        <v>4.2964000000000002E-2</v>
      </c>
      <c r="AB87">
        <v>4.3365000000000001E-2</v>
      </c>
      <c r="AC87">
        <v>4.3456000000000002E-2</v>
      </c>
      <c r="AD87">
        <v>4.3636000000000001E-2</v>
      </c>
      <c r="AE87">
        <v>4.3931999999999999E-2</v>
      </c>
      <c r="AF87">
        <v>4.4249999999999998E-2</v>
      </c>
      <c r="AG87">
        <v>4.4592E-2</v>
      </c>
      <c r="AH87">
        <v>4.4947000000000001E-2</v>
      </c>
      <c r="AI87">
        <v>4.5471999999999999E-2</v>
      </c>
      <c r="AJ87">
        <v>4.5787000000000001E-2</v>
      </c>
      <c r="AK87">
        <v>4.6153E-2</v>
      </c>
      <c r="AL87">
        <v>4.6441999999999997E-2</v>
      </c>
      <c r="AM87">
        <v>4.6452E-2</v>
      </c>
      <c r="AN87">
        <v>4.6677000000000003E-2</v>
      </c>
      <c r="AO87">
        <v>4.6808000000000002E-2</v>
      </c>
      <c r="AP87" s="7">
        <v>5.0000000000000001E-3</v>
      </c>
    </row>
    <row r="88" spans="1:42" x14ac:dyDescent="0.25">
      <c r="A88" t="s">
        <v>72</v>
      </c>
      <c r="B88" t="s">
        <v>127</v>
      </c>
      <c r="C88" t="s">
        <v>353</v>
      </c>
      <c r="D88" t="s">
        <v>42</v>
      </c>
      <c r="H88">
        <v>2.3123649999999998</v>
      </c>
      <c r="I88">
        <v>2.4166609999999999</v>
      </c>
      <c r="J88">
        <v>2.4582099999999998</v>
      </c>
      <c r="K88">
        <v>2.3342679999999998</v>
      </c>
      <c r="L88">
        <v>2.3910990000000001</v>
      </c>
      <c r="M88">
        <v>2.4723329999999999</v>
      </c>
      <c r="N88">
        <v>2.4354640000000001</v>
      </c>
      <c r="O88">
        <v>2.4498129999999998</v>
      </c>
      <c r="P88">
        <v>2.491511</v>
      </c>
      <c r="Q88">
        <v>2.5294379999999999</v>
      </c>
      <c r="R88">
        <v>2.5538400000000001</v>
      </c>
      <c r="S88">
        <v>2.5944120000000002</v>
      </c>
      <c r="T88">
        <v>2.6120860000000001</v>
      </c>
      <c r="U88">
        <v>2.64439</v>
      </c>
      <c r="V88">
        <v>2.5852599999999999</v>
      </c>
      <c r="W88">
        <v>2.5977290000000002</v>
      </c>
      <c r="X88">
        <v>2.6070509999999998</v>
      </c>
      <c r="Y88">
        <v>2.6143860000000001</v>
      </c>
      <c r="Z88">
        <v>2.6316579999999998</v>
      </c>
      <c r="AA88">
        <v>2.6462840000000001</v>
      </c>
      <c r="AB88">
        <v>2.6632799999999999</v>
      </c>
      <c r="AC88">
        <v>2.6815570000000002</v>
      </c>
      <c r="AD88">
        <v>2.6959550000000001</v>
      </c>
      <c r="AE88">
        <v>2.725698</v>
      </c>
      <c r="AF88">
        <v>2.750734</v>
      </c>
      <c r="AG88">
        <v>2.7836460000000001</v>
      </c>
      <c r="AH88">
        <v>2.8111980000000001</v>
      </c>
      <c r="AI88">
        <v>2.8309129999999998</v>
      </c>
      <c r="AJ88">
        <v>2.847426</v>
      </c>
      <c r="AK88">
        <v>2.8771230000000001</v>
      </c>
      <c r="AL88">
        <v>2.8980700000000001</v>
      </c>
      <c r="AM88">
        <v>2.942669</v>
      </c>
      <c r="AN88">
        <v>2.9672399999999999</v>
      </c>
      <c r="AO88">
        <v>2.996861</v>
      </c>
      <c r="AP88" s="7">
        <v>7.0000000000000001E-3</v>
      </c>
    </row>
    <row r="89" spans="1:42" x14ac:dyDescent="0.25">
      <c r="A89" t="s">
        <v>70</v>
      </c>
      <c r="B89" t="s">
        <v>126</v>
      </c>
      <c r="C89" t="s">
        <v>352</v>
      </c>
      <c r="D89" t="s">
        <v>42</v>
      </c>
      <c r="H89">
        <v>0</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t="s">
        <v>0</v>
      </c>
    </row>
    <row r="90" spans="1:42" x14ac:dyDescent="0.25">
      <c r="A90" t="s">
        <v>68</v>
      </c>
      <c r="B90" t="s">
        <v>125</v>
      </c>
      <c r="C90" t="s">
        <v>351</v>
      </c>
      <c r="D90" t="s">
        <v>42</v>
      </c>
      <c r="H90">
        <v>3.8213999999999998E-2</v>
      </c>
      <c r="I90">
        <v>3.4730999999999998E-2</v>
      </c>
      <c r="J90">
        <v>3.5930999999999998E-2</v>
      </c>
      <c r="K90">
        <v>3.5562999999999997E-2</v>
      </c>
      <c r="L90">
        <v>3.7589999999999998E-2</v>
      </c>
      <c r="M90">
        <v>3.7340999999999999E-2</v>
      </c>
      <c r="N90">
        <v>3.7529E-2</v>
      </c>
      <c r="O90">
        <v>3.7712000000000002E-2</v>
      </c>
      <c r="P90">
        <v>3.7863000000000001E-2</v>
      </c>
      <c r="Q90">
        <v>3.8027999999999999E-2</v>
      </c>
      <c r="R90">
        <v>3.8169000000000002E-2</v>
      </c>
      <c r="S90">
        <v>3.8425000000000001E-2</v>
      </c>
      <c r="T90">
        <v>3.8544000000000002E-2</v>
      </c>
      <c r="U90">
        <v>3.8635999999999997E-2</v>
      </c>
      <c r="V90">
        <v>3.8705000000000003E-2</v>
      </c>
      <c r="W90">
        <v>3.8747999999999998E-2</v>
      </c>
      <c r="X90">
        <v>3.8762999999999999E-2</v>
      </c>
      <c r="Y90">
        <v>3.8746000000000003E-2</v>
      </c>
      <c r="Z90">
        <v>3.8714999999999999E-2</v>
      </c>
      <c r="AA90">
        <v>3.8690000000000002E-2</v>
      </c>
      <c r="AB90">
        <v>3.8665999999999999E-2</v>
      </c>
      <c r="AC90">
        <v>3.8647000000000001E-2</v>
      </c>
      <c r="AD90">
        <v>3.8626000000000001E-2</v>
      </c>
      <c r="AE90">
        <v>3.8607000000000002E-2</v>
      </c>
      <c r="AF90">
        <v>3.8725999999999997E-2</v>
      </c>
      <c r="AG90">
        <v>3.8677000000000003E-2</v>
      </c>
      <c r="AH90">
        <v>3.8667E-2</v>
      </c>
      <c r="AI90">
        <v>3.8621999999999997E-2</v>
      </c>
      <c r="AJ90">
        <v>3.8703000000000001E-2</v>
      </c>
      <c r="AK90">
        <v>3.8689000000000001E-2</v>
      </c>
      <c r="AL90">
        <v>3.8672999999999999E-2</v>
      </c>
      <c r="AM90">
        <v>3.8650999999999998E-2</v>
      </c>
      <c r="AN90">
        <v>3.8634000000000002E-2</v>
      </c>
      <c r="AO90">
        <v>3.8622999999999998E-2</v>
      </c>
      <c r="AP90" s="7">
        <v>1E-3</v>
      </c>
    </row>
    <row r="91" spans="1:42" x14ac:dyDescent="0.25">
      <c r="A91" t="s">
        <v>66</v>
      </c>
      <c r="B91" t="s">
        <v>124</v>
      </c>
      <c r="C91" t="s">
        <v>350</v>
      </c>
      <c r="D91" t="s">
        <v>42</v>
      </c>
      <c r="H91">
        <v>0</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t="s">
        <v>0</v>
      </c>
    </row>
    <row r="92" spans="1:42" x14ac:dyDescent="0.25">
      <c r="A92" t="s">
        <v>64</v>
      </c>
      <c r="B92" t="s">
        <v>123</v>
      </c>
      <c r="C92" t="s">
        <v>349</v>
      </c>
      <c r="D92" t="s">
        <v>42</v>
      </c>
      <c r="H92">
        <v>0</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t="s">
        <v>0</v>
      </c>
    </row>
    <row r="93" spans="1:42" x14ac:dyDescent="0.25">
      <c r="A93" t="s">
        <v>62</v>
      </c>
      <c r="B93" t="s">
        <v>122</v>
      </c>
      <c r="C93" t="s">
        <v>348</v>
      </c>
      <c r="D93" t="s">
        <v>42</v>
      </c>
      <c r="H93">
        <v>3.8213999999999998E-2</v>
      </c>
      <c r="I93">
        <v>3.4730999999999998E-2</v>
      </c>
      <c r="J93">
        <v>3.5930999999999998E-2</v>
      </c>
      <c r="K93">
        <v>3.5562999999999997E-2</v>
      </c>
      <c r="L93">
        <v>3.7589999999999998E-2</v>
      </c>
      <c r="M93">
        <v>3.7340999999999999E-2</v>
      </c>
      <c r="N93">
        <v>3.7529E-2</v>
      </c>
      <c r="O93">
        <v>3.7712000000000002E-2</v>
      </c>
      <c r="P93">
        <v>3.7863000000000001E-2</v>
      </c>
      <c r="Q93">
        <v>3.8027999999999999E-2</v>
      </c>
      <c r="R93">
        <v>3.8169000000000002E-2</v>
      </c>
      <c r="S93">
        <v>3.8425000000000001E-2</v>
      </c>
      <c r="T93">
        <v>3.8544000000000002E-2</v>
      </c>
      <c r="U93">
        <v>3.8635999999999997E-2</v>
      </c>
      <c r="V93">
        <v>3.8705000000000003E-2</v>
      </c>
      <c r="W93">
        <v>3.8747999999999998E-2</v>
      </c>
      <c r="X93">
        <v>3.8762999999999999E-2</v>
      </c>
      <c r="Y93">
        <v>3.8746000000000003E-2</v>
      </c>
      <c r="Z93">
        <v>3.8714999999999999E-2</v>
      </c>
      <c r="AA93">
        <v>3.8690000000000002E-2</v>
      </c>
      <c r="AB93">
        <v>3.8665999999999999E-2</v>
      </c>
      <c r="AC93">
        <v>3.8647000000000001E-2</v>
      </c>
      <c r="AD93">
        <v>3.8626000000000001E-2</v>
      </c>
      <c r="AE93">
        <v>3.8607000000000002E-2</v>
      </c>
      <c r="AF93">
        <v>3.8725999999999997E-2</v>
      </c>
      <c r="AG93">
        <v>3.8677000000000003E-2</v>
      </c>
      <c r="AH93">
        <v>3.8667E-2</v>
      </c>
      <c r="AI93">
        <v>3.8621999999999997E-2</v>
      </c>
      <c r="AJ93">
        <v>3.8703000000000001E-2</v>
      </c>
      <c r="AK93">
        <v>3.8689000000000001E-2</v>
      </c>
      <c r="AL93">
        <v>3.8672999999999999E-2</v>
      </c>
      <c r="AM93">
        <v>3.8650999999999998E-2</v>
      </c>
      <c r="AN93">
        <v>3.8634000000000002E-2</v>
      </c>
      <c r="AO93">
        <v>3.8622999999999998E-2</v>
      </c>
      <c r="AP93" s="7">
        <v>1E-3</v>
      </c>
    </row>
    <row r="94" spans="1:42" x14ac:dyDescent="0.25">
      <c r="A94" t="s">
        <v>58</v>
      </c>
      <c r="B94" t="s">
        <v>121</v>
      </c>
      <c r="C94" t="s">
        <v>347</v>
      </c>
      <c r="D94" t="s">
        <v>42</v>
      </c>
      <c r="H94">
        <v>0.111349</v>
      </c>
      <c r="I94">
        <v>0.11107400000000001</v>
      </c>
      <c r="J94">
        <v>0.128689</v>
      </c>
      <c r="K94">
        <v>0.12955700000000001</v>
      </c>
      <c r="L94">
        <v>0.13327900000000001</v>
      </c>
      <c r="M94">
        <v>0.13589599999999999</v>
      </c>
      <c r="N94">
        <v>0.13069800000000001</v>
      </c>
      <c r="O94">
        <v>0.13081699999999999</v>
      </c>
      <c r="P94">
        <v>0.13226299999999999</v>
      </c>
      <c r="Q94">
        <v>0.13269600000000001</v>
      </c>
      <c r="R94">
        <v>0.13301199999999999</v>
      </c>
      <c r="S94">
        <v>0.133239</v>
      </c>
      <c r="T94">
        <v>0.13320199999999999</v>
      </c>
      <c r="U94">
        <v>0.134045</v>
      </c>
      <c r="V94">
        <v>0.13453499999999999</v>
      </c>
      <c r="W94">
        <v>0.13508200000000001</v>
      </c>
      <c r="X94">
        <v>0.13577700000000001</v>
      </c>
      <c r="Y94">
        <v>0.136379</v>
      </c>
      <c r="Z94">
        <v>0.13703599999999999</v>
      </c>
      <c r="AA94">
        <v>0.13771600000000001</v>
      </c>
      <c r="AB94">
        <v>0.13852300000000001</v>
      </c>
      <c r="AC94">
        <v>0.139372</v>
      </c>
      <c r="AD94">
        <v>0.140374</v>
      </c>
      <c r="AE94">
        <v>0.14244399999999999</v>
      </c>
      <c r="AF94">
        <v>0.14342199999999999</v>
      </c>
      <c r="AG94">
        <v>0.144458</v>
      </c>
      <c r="AH94">
        <v>0.14554900000000001</v>
      </c>
      <c r="AI94">
        <v>0.14669199999999999</v>
      </c>
      <c r="AJ94">
        <v>0.14794399999999999</v>
      </c>
      <c r="AK94">
        <v>0.14926200000000001</v>
      </c>
      <c r="AL94">
        <v>0.15062900000000001</v>
      </c>
      <c r="AM94">
        <v>0.15317500000000001</v>
      </c>
      <c r="AN94">
        <v>0.15471199999999999</v>
      </c>
      <c r="AO94">
        <v>0.156365</v>
      </c>
      <c r="AP94" s="7">
        <v>-5.0000000000000001E-3</v>
      </c>
    </row>
    <row r="95" spans="1:42" x14ac:dyDescent="0.25">
      <c r="A95" t="s">
        <v>56</v>
      </c>
      <c r="B95" t="s">
        <v>120</v>
      </c>
      <c r="C95" t="s">
        <v>346</v>
      </c>
      <c r="D95" t="s">
        <v>42</v>
      </c>
      <c r="H95">
        <v>0.25097399999999997</v>
      </c>
      <c r="I95">
        <v>0.256025</v>
      </c>
      <c r="J95">
        <v>0.26167200000000002</v>
      </c>
      <c r="K95">
        <v>0.24692800000000001</v>
      </c>
      <c r="L95">
        <v>0.261961</v>
      </c>
      <c r="M95">
        <v>0.26277299999999998</v>
      </c>
      <c r="N95">
        <v>0.251245</v>
      </c>
      <c r="O95">
        <v>0.254438</v>
      </c>
      <c r="P95">
        <v>0.25864799999999999</v>
      </c>
      <c r="Q95">
        <v>0.25990099999999999</v>
      </c>
      <c r="R95">
        <v>0.26016499999999998</v>
      </c>
      <c r="S95">
        <v>0.26067299999999999</v>
      </c>
      <c r="T95">
        <v>0.26236900000000002</v>
      </c>
      <c r="U95">
        <v>0.26399400000000001</v>
      </c>
      <c r="V95">
        <v>0.26478000000000002</v>
      </c>
      <c r="W95">
        <v>0.26538800000000001</v>
      </c>
      <c r="X95">
        <v>0.26583299999999999</v>
      </c>
      <c r="Y95">
        <v>0.26632800000000001</v>
      </c>
      <c r="Z95">
        <v>0.26685399999999998</v>
      </c>
      <c r="AA95">
        <v>0.26749299999999998</v>
      </c>
      <c r="AB95">
        <v>0.26817200000000002</v>
      </c>
      <c r="AC95">
        <v>0.26919300000000002</v>
      </c>
      <c r="AD95">
        <v>0.27004299999999998</v>
      </c>
      <c r="AE95">
        <v>0.270868</v>
      </c>
      <c r="AF95">
        <v>0.27208900000000003</v>
      </c>
      <c r="AG95">
        <v>0.27359699999999998</v>
      </c>
      <c r="AH95">
        <v>0.27526099999999998</v>
      </c>
      <c r="AI95">
        <v>0.27696199999999999</v>
      </c>
      <c r="AJ95">
        <v>0.27833599999999997</v>
      </c>
      <c r="AK95">
        <v>0.28002500000000002</v>
      </c>
      <c r="AL95">
        <v>0.28146500000000002</v>
      </c>
      <c r="AM95">
        <v>0.282447</v>
      </c>
      <c r="AN95">
        <v>0.28398000000000001</v>
      </c>
      <c r="AO95">
        <v>0.28634599999999999</v>
      </c>
      <c r="AP95" s="7">
        <v>8.0000000000000002E-3</v>
      </c>
    </row>
    <row r="96" spans="1:42" x14ac:dyDescent="0.25">
      <c r="A96" t="s">
        <v>19</v>
      </c>
      <c r="B96" t="s">
        <v>119</v>
      </c>
      <c r="C96" t="s">
        <v>345</v>
      </c>
      <c r="D96" t="s">
        <v>42</v>
      </c>
      <c r="H96">
        <v>9.2999999999999997E-5</v>
      </c>
      <c r="I96">
        <v>1.92E-4</v>
      </c>
      <c r="J96">
        <v>9.8999999999999994E-5</v>
      </c>
      <c r="K96">
        <v>2.2100000000000001E-4</v>
      </c>
      <c r="L96">
        <v>3.3199999999999999E-4</v>
      </c>
      <c r="M96">
        <v>3.9599999999999998E-4</v>
      </c>
      <c r="N96">
        <v>4.4499999999999997E-4</v>
      </c>
      <c r="O96">
        <v>4.8299999999999998E-4</v>
      </c>
      <c r="P96">
        <v>5.1900000000000004E-4</v>
      </c>
      <c r="Q96">
        <v>5.5099999999999995E-4</v>
      </c>
      <c r="R96">
        <v>5.8299999999999997E-4</v>
      </c>
      <c r="S96">
        <v>6.1499999999999999E-4</v>
      </c>
      <c r="T96">
        <v>6.4999999999999997E-4</v>
      </c>
      <c r="U96">
        <v>6.8599999999999998E-4</v>
      </c>
      <c r="V96">
        <v>7.27E-4</v>
      </c>
      <c r="W96">
        <v>7.7300000000000003E-4</v>
      </c>
      <c r="X96">
        <v>8.1999999999999998E-4</v>
      </c>
      <c r="Y96">
        <v>8.7000000000000001E-4</v>
      </c>
      <c r="Z96">
        <v>9.19E-4</v>
      </c>
      <c r="AA96">
        <v>9.6900000000000003E-4</v>
      </c>
      <c r="AB96">
        <v>1.0169999999999999E-3</v>
      </c>
      <c r="AC96">
        <v>1.067E-3</v>
      </c>
      <c r="AD96">
        <v>1.119E-3</v>
      </c>
      <c r="AE96">
        <v>1.17E-3</v>
      </c>
      <c r="AF96">
        <v>1.2210000000000001E-3</v>
      </c>
      <c r="AG96">
        <v>1.274E-3</v>
      </c>
      <c r="AH96">
        <v>1.3259999999999999E-3</v>
      </c>
      <c r="AI96">
        <v>1.3780000000000001E-3</v>
      </c>
      <c r="AJ96">
        <v>1.431E-3</v>
      </c>
      <c r="AK96">
        <v>1.4840000000000001E-3</v>
      </c>
      <c r="AL96">
        <v>1.534E-3</v>
      </c>
      <c r="AM96">
        <v>1.5820000000000001E-3</v>
      </c>
      <c r="AN96">
        <v>1.627E-3</v>
      </c>
      <c r="AO96">
        <v>1.67E-3</v>
      </c>
      <c r="AP96" s="7">
        <v>0.11</v>
      </c>
    </row>
    <row r="97" spans="1:42" x14ac:dyDescent="0.25">
      <c r="A97" t="s">
        <v>8</v>
      </c>
      <c r="B97" t="s">
        <v>118</v>
      </c>
      <c r="C97" t="s">
        <v>344</v>
      </c>
      <c r="D97" t="s">
        <v>42</v>
      </c>
      <c r="H97">
        <v>1.416317</v>
      </c>
      <c r="I97">
        <v>1.405308</v>
      </c>
      <c r="J97">
        <v>1.3741989999999999</v>
      </c>
      <c r="K97">
        <v>1.376155</v>
      </c>
      <c r="L97">
        <v>1.3907020000000001</v>
      </c>
      <c r="M97">
        <v>1.3722719999999999</v>
      </c>
      <c r="N97">
        <v>1.3937729999999999</v>
      </c>
      <c r="O97">
        <v>1.408698</v>
      </c>
      <c r="P97">
        <v>1.4169229999999999</v>
      </c>
      <c r="Q97">
        <v>1.418622</v>
      </c>
      <c r="R97">
        <v>1.4184319999999999</v>
      </c>
      <c r="S97">
        <v>1.421386</v>
      </c>
      <c r="T97">
        <v>1.4262319999999999</v>
      </c>
      <c r="U97">
        <v>1.4291910000000001</v>
      </c>
      <c r="V97">
        <v>1.429532</v>
      </c>
      <c r="W97">
        <v>1.4322349999999999</v>
      </c>
      <c r="X97">
        <v>1.437643</v>
      </c>
      <c r="Y97">
        <v>1.443859</v>
      </c>
      <c r="Z97">
        <v>1.4526760000000001</v>
      </c>
      <c r="AA97">
        <v>1.463023</v>
      </c>
      <c r="AB97">
        <v>1.4735469999999999</v>
      </c>
      <c r="AC97">
        <v>1.4852240000000001</v>
      </c>
      <c r="AD97">
        <v>1.4970209999999999</v>
      </c>
      <c r="AE97">
        <v>1.5080450000000001</v>
      </c>
      <c r="AF97">
        <v>1.5204800000000001</v>
      </c>
      <c r="AG97">
        <v>1.5325029999999999</v>
      </c>
      <c r="AH97">
        <v>1.5446599999999999</v>
      </c>
      <c r="AI97">
        <v>1.5557129999999999</v>
      </c>
      <c r="AJ97">
        <v>1.5685690000000001</v>
      </c>
      <c r="AK97">
        <v>1.5811360000000001</v>
      </c>
      <c r="AL97">
        <v>1.593879</v>
      </c>
      <c r="AM97">
        <v>1.6056520000000001</v>
      </c>
      <c r="AN97">
        <v>1.619381</v>
      </c>
      <c r="AO97">
        <v>1.6355249999999999</v>
      </c>
      <c r="AP97" s="7">
        <v>3.0000000000000001E-3</v>
      </c>
    </row>
    <row r="98" spans="1:42" x14ac:dyDescent="0.25">
      <c r="A98" t="s">
        <v>117</v>
      </c>
      <c r="B98" t="s">
        <v>116</v>
      </c>
      <c r="C98" t="s">
        <v>343</v>
      </c>
      <c r="D98" t="s">
        <v>42</v>
      </c>
      <c r="H98">
        <v>9.4579419999999992</v>
      </c>
      <c r="I98">
        <v>9.6013710000000003</v>
      </c>
      <c r="J98">
        <v>9.6055220000000006</v>
      </c>
      <c r="K98">
        <v>8.5675439999999998</v>
      </c>
      <c r="L98">
        <v>8.9983979999999999</v>
      </c>
      <c r="M98">
        <v>9.2933850000000007</v>
      </c>
      <c r="N98">
        <v>9.1599880000000002</v>
      </c>
      <c r="O98">
        <v>9.1841699999999999</v>
      </c>
      <c r="P98">
        <v>9.2520070000000008</v>
      </c>
      <c r="Q98">
        <v>9.3067250000000001</v>
      </c>
      <c r="R98">
        <v>9.3122760000000007</v>
      </c>
      <c r="S98">
        <v>9.3520079999999997</v>
      </c>
      <c r="T98">
        <v>9.3694579999999998</v>
      </c>
      <c r="U98">
        <v>9.4121190000000006</v>
      </c>
      <c r="V98">
        <v>9.3486720000000005</v>
      </c>
      <c r="W98">
        <v>9.3672090000000008</v>
      </c>
      <c r="X98">
        <v>9.381653</v>
      </c>
      <c r="Y98">
        <v>9.4079610000000002</v>
      </c>
      <c r="Z98">
        <v>9.4437470000000001</v>
      </c>
      <c r="AA98">
        <v>9.4835449999999994</v>
      </c>
      <c r="AB98">
        <v>9.5309760000000008</v>
      </c>
      <c r="AC98">
        <v>9.5713089999999994</v>
      </c>
      <c r="AD98">
        <v>9.6180439999999994</v>
      </c>
      <c r="AE98">
        <v>9.6656069999999996</v>
      </c>
      <c r="AF98">
        <v>9.7184930000000005</v>
      </c>
      <c r="AG98">
        <v>9.7792370000000002</v>
      </c>
      <c r="AH98">
        <v>9.8190749999999998</v>
      </c>
      <c r="AI98">
        <v>9.8687520000000006</v>
      </c>
      <c r="AJ98">
        <v>9.9217980000000008</v>
      </c>
      <c r="AK98">
        <v>9.9919580000000003</v>
      </c>
      <c r="AL98">
        <v>10.051443000000001</v>
      </c>
      <c r="AM98">
        <v>10.133328000000001</v>
      </c>
      <c r="AN98">
        <v>10.202669</v>
      </c>
      <c r="AO98">
        <v>10.290127</v>
      </c>
      <c r="AP98" s="7">
        <v>1E-3</v>
      </c>
    </row>
    <row r="99" spans="1:42" x14ac:dyDescent="0.25">
      <c r="A99" t="s">
        <v>115</v>
      </c>
      <c r="B99" t="s">
        <v>114</v>
      </c>
      <c r="C99" t="s">
        <v>342</v>
      </c>
      <c r="D99" t="s">
        <v>42</v>
      </c>
      <c r="H99">
        <v>2.1446800000000001</v>
      </c>
      <c r="I99">
        <v>2.1816170000000001</v>
      </c>
      <c r="J99">
        <v>2.0417990000000001</v>
      </c>
      <c r="K99">
        <v>1.9491959999999999</v>
      </c>
      <c r="L99">
        <v>1.8659319999999999</v>
      </c>
      <c r="M99">
        <v>1.927165</v>
      </c>
      <c r="N99">
        <v>1.9999400000000001</v>
      </c>
      <c r="O99">
        <v>2.0022000000000002</v>
      </c>
      <c r="P99">
        <v>1.893448</v>
      </c>
      <c r="Q99">
        <v>1.77739</v>
      </c>
      <c r="R99">
        <v>1.7618180000000001</v>
      </c>
      <c r="S99">
        <v>1.7421489999999999</v>
      </c>
      <c r="T99">
        <v>1.7410509999999999</v>
      </c>
      <c r="U99">
        <v>1.775639</v>
      </c>
      <c r="V99">
        <v>1.734558</v>
      </c>
      <c r="W99">
        <v>1.7158610000000001</v>
      </c>
      <c r="X99">
        <v>1.692877</v>
      </c>
      <c r="Y99">
        <v>1.693057</v>
      </c>
      <c r="Z99">
        <v>1.6922299999999999</v>
      </c>
      <c r="AA99">
        <v>1.706566</v>
      </c>
      <c r="AB99">
        <v>1.70018</v>
      </c>
      <c r="AC99">
        <v>1.679665</v>
      </c>
      <c r="AD99">
        <v>1.6642749999999999</v>
      </c>
      <c r="AE99">
        <v>1.6638310000000001</v>
      </c>
      <c r="AF99">
        <v>1.6528259999999999</v>
      </c>
      <c r="AG99">
        <v>1.6930620000000001</v>
      </c>
      <c r="AH99">
        <v>1.7602930000000001</v>
      </c>
      <c r="AI99">
        <v>1.7625409999999999</v>
      </c>
      <c r="AJ99">
        <v>1.7855289999999999</v>
      </c>
      <c r="AK99">
        <v>1.8163579999999999</v>
      </c>
      <c r="AL99">
        <v>1.859197</v>
      </c>
      <c r="AM99">
        <v>1.843108</v>
      </c>
      <c r="AN99">
        <v>1.8613729999999999</v>
      </c>
      <c r="AO99">
        <v>1.890415</v>
      </c>
      <c r="AP99" s="7">
        <v>1E-3</v>
      </c>
    </row>
    <row r="100" spans="1:42" x14ac:dyDescent="0.25">
      <c r="A100" t="s">
        <v>29</v>
      </c>
      <c r="B100" t="s">
        <v>113</v>
      </c>
      <c r="C100" t="s">
        <v>341</v>
      </c>
      <c r="D100" t="s">
        <v>42</v>
      </c>
      <c r="H100">
        <v>11.602620999999999</v>
      </c>
      <c r="I100">
        <v>11.782988</v>
      </c>
      <c r="J100">
        <v>11.647321</v>
      </c>
      <c r="K100">
        <v>10.51674</v>
      </c>
      <c r="L100">
        <v>10.864329</v>
      </c>
      <c r="M100">
        <v>11.220549999999999</v>
      </c>
      <c r="N100">
        <v>11.159928000000001</v>
      </c>
      <c r="O100">
        <v>11.18637</v>
      </c>
      <c r="P100">
        <v>11.145455</v>
      </c>
      <c r="Q100">
        <v>11.084114</v>
      </c>
      <c r="R100">
        <v>11.074094000000001</v>
      </c>
      <c r="S100">
        <v>11.094156</v>
      </c>
      <c r="T100">
        <v>11.110509</v>
      </c>
      <c r="U100">
        <v>11.187757</v>
      </c>
      <c r="V100">
        <v>11.08323</v>
      </c>
      <c r="W100">
        <v>11.083071</v>
      </c>
      <c r="X100">
        <v>11.074529999999999</v>
      </c>
      <c r="Y100">
        <v>11.101018</v>
      </c>
      <c r="Z100">
        <v>11.135975999999999</v>
      </c>
      <c r="AA100">
        <v>11.190111</v>
      </c>
      <c r="AB100">
        <v>11.231156</v>
      </c>
      <c r="AC100">
        <v>11.250973999999999</v>
      </c>
      <c r="AD100">
        <v>11.282318999999999</v>
      </c>
      <c r="AE100">
        <v>11.329439000000001</v>
      </c>
      <c r="AF100">
        <v>11.371319</v>
      </c>
      <c r="AG100">
        <v>11.472300000000001</v>
      </c>
      <c r="AH100">
        <v>11.579368000000001</v>
      </c>
      <c r="AI100">
        <v>11.631292999999999</v>
      </c>
      <c r="AJ100">
        <v>11.707326999999999</v>
      </c>
      <c r="AK100">
        <v>11.808316</v>
      </c>
      <c r="AL100">
        <v>11.910641</v>
      </c>
      <c r="AM100">
        <v>11.976437000000001</v>
      </c>
      <c r="AN100">
        <v>12.064042000000001</v>
      </c>
      <c r="AO100">
        <v>12.180542000000001</v>
      </c>
      <c r="AP100" s="7">
        <v>1E-3</v>
      </c>
    </row>
    <row r="101" spans="1:42" x14ac:dyDescent="0.25">
      <c r="A101" t="s">
        <v>112</v>
      </c>
      <c r="C101" t="s">
        <v>340</v>
      </c>
    </row>
    <row r="102" spans="1:42" x14ac:dyDescent="0.25">
      <c r="A102" t="s">
        <v>91</v>
      </c>
      <c r="B102" t="s">
        <v>111</v>
      </c>
      <c r="C102" t="s">
        <v>339</v>
      </c>
      <c r="D102" t="s">
        <v>42</v>
      </c>
      <c r="H102">
        <v>1.772E-2</v>
      </c>
      <c r="I102">
        <v>1.7597000000000002E-2</v>
      </c>
      <c r="J102">
        <v>1.7128999999999998E-2</v>
      </c>
      <c r="K102">
        <v>1.7680999999999999E-2</v>
      </c>
      <c r="L102">
        <v>1.8733E-2</v>
      </c>
      <c r="M102">
        <v>1.7722999999999999E-2</v>
      </c>
      <c r="N102">
        <v>1.7866E-2</v>
      </c>
      <c r="O102">
        <v>1.7856E-2</v>
      </c>
      <c r="P102">
        <v>1.7738E-2</v>
      </c>
      <c r="Q102">
        <v>1.7373E-2</v>
      </c>
      <c r="R102">
        <v>1.7179E-2</v>
      </c>
      <c r="S102">
        <v>1.7002E-2</v>
      </c>
      <c r="T102">
        <v>1.687E-2</v>
      </c>
      <c r="U102">
        <v>1.6709000000000002E-2</v>
      </c>
      <c r="V102">
        <v>1.6652E-2</v>
      </c>
      <c r="W102">
        <v>1.6546999999999999E-2</v>
      </c>
      <c r="X102">
        <v>1.6476000000000001E-2</v>
      </c>
      <c r="Y102">
        <v>1.6462999999999998E-2</v>
      </c>
      <c r="Z102">
        <v>1.6433E-2</v>
      </c>
      <c r="AA102">
        <v>1.6289999999999999E-2</v>
      </c>
      <c r="AB102">
        <v>1.6136999999999999E-2</v>
      </c>
      <c r="AC102">
        <v>1.5931000000000001E-2</v>
      </c>
      <c r="AD102">
        <v>1.5803999999999999E-2</v>
      </c>
      <c r="AE102">
        <v>1.5665999999999999E-2</v>
      </c>
      <c r="AF102">
        <v>1.5161000000000001E-2</v>
      </c>
      <c r="AG102">
        <v>1.4631999999999999E-2</v>
      </c>
      <c r="AH102">
        <v>1.4104E-2</v>
      </c>
      <c r="AI102">
        <v>1.3502E-2</v>
      </c>
      <c r="AJ102">
        <v>1.2959999999999999E-2</v>
      </c>
      <c r="AK102">
        <v>1.3113E-2</v>
      </c>
      <c r="AL102">
        <v>1.3251000000000001E-2</v>
      </c>
      <c r="AM102">
        <v>1.3398E-2</v>
      </c>
      <c r="AN102">
        <v>1.3337E-2</v>
      </c>
      <c r="AO102">
        <v>1.3631000000000001E-2</v>
      </c>
      <c r="AP102" s="7">
        <v>-1.4E-2</v>
      </c>
    </row>
    <row r="103" spans="1:42" x14ac:dyDescent="0.25">
      <c r="A103" t="s">
        <v>89</v>
      </c>
      <c r="B103" t="s">
        <v>110</v>
      </c>
      <c r="C103" t="s">
        <v>338</v>
      </c>
      <c r="D103" t="s">
        <v>42</v>
      </c>
      <c r="H103">
        <v>5.6840000000000002E-2</v>
      </c>
      <c r="I103">
        <v>3.9690999999999997E-2</v>
      </c>
      <c r="J103">
        <v>3.7597999999999999E-2</v>
      </c>
      <c r="K103">
        <v>2.8072E-2</v>
      </c>
      <c r="L103">
        <v>2.6745000000000001E-2</v>
      </c>
      <c r="M103">
        <v>2.5779E-2</v>
      </c>
      <c r="N103">
        <v>2.5579000000000001E-2</v>
      </c>
      <c r="O103">
        <v>2.5243000000000002E-2</v>
      </c>
      <c r="P103">
        <v>2.4784E-2</v>
      </c>
      <c r="Q103">
        <v>2.4194E-2</v>
      </c>
      <c r="R103">
        <v>2.3588000000000001E-2</v>
      </c>
      <c r="S103">
        <v>2.3016999999999999E-2</v>
      </c>
      <c r="T103">
        <v>2.2481000000000001E-2</v>
      </c>
      <c r="U103">
        <v>2.1912999999999998E-2</v>
      </c>
      <c r="V103">
        <v>2.1580999999999999E-2</v>
      </c>
      <c r="W103">
        <v>2.1281999999999999E-2</v>
      </c>
      <c r="X103">
        <v>2.1021999999999999E-2</v>
      </c>
      <c r="Y103">
        <v>2.0774999999999998E-2</v>
      </c>
      <c r="Z103">
        <v>2.0558E-2</v>
      </c>
      <c r="AA103">
        <v>1.9945999999999998E-2</v>
      </c>
      <c r="AB103">
        <v>1.9324000000000001E-2</v>
      </c>
      <c r="AC103">
        <v>1.8707000000000001E-2</v>
      </c>
      <c r="AD103">
        <v>1.8078E-2</v>
      </c>
      <c r="AE103">
        <v>1.7432E-2</v>
      </c>
      <c r="AF103">
        <v>1.5518000000000001E-2</v>
      </c>
      <c r="AG103">
        <v>1.3568E-2</v>
      </c>
      <c r="AH103">
        <v>1.159E-2</v>
      </c>
      <c r="AI103">
        <v>9.5659999999999999E-3</v>
      </c>
      <c r="AJ103">
        <v>7.5329999999999998E-3</v>
      </c>
      <c r="AK103">
        <v>7.5880000000000001E-3</v>
      </c>
      <c r="AL103">
        <v>7.6490000000000004E-3</v>
      </c>
      <c r="AM103">
        <v>7.705E-3</v>
      </c>
      <c r="AN103">
        <v>7.77E-3</v>
      </c>
      <c r="AO103">
        <v>7.8480000000000008E-3</v>
      </c>
      <c r="AP103" s="7">
        <v>-4.3999999999999997E-2</v>
      </c>
    </row>
    <row r="104" spans="1:42" x14ac:dyDescent="0.25">
      <c r="A104" t="s">
        <v>83</v>
      </c>
      <c r="B104" t="s">
        <v>109</v>
      </c>
      <c r="C104" t="s">
        <v>337</v>
      </c>
      <c r="D104" t="s">
        <v>42</v>
      </c>
      <c r="H104">
        <v>7.4560000000000001E-2</v>
      </c>
      <c r="I104">
        <v>5.7287999999999999E-2</v>
      </c>
      <c r="J104">
        <v>5.4725999999999997E-2</v>
      </c>
      <c r="K104">
        <v>4.5753000000000002E-2</v>
      </c>
      <c r="L104">
        <v>4.5477999999999998E-2</v>
      </c>
      <c r="M104">
        <v>4.3501999999999999E-2</v>
      </c>
      <c r="N104">
        <v>4.3444999999999998E-2</v>
      </c>
      <c r="O104">
        <v>4.3098999999999998E-2</v>
      </c>
      <c r="P104">
        <v>4.2522999999999998E-2</v>
      </c>
      <c r="Q104">
        <v>4.1568000000000001E-2</v>
      </c>
      <c r="R104">
        <v>4.0766999999999998E-2</v>
      </c>
      <c r="S104">
        <v>4.0018999999999999E-2</v>
      </c>
      <c r="T104">
        <v>3.9350999999999997E-2</v>
      </c>
      <c r="U104">
        <v>3.8621999999999997E-2</v>
      </c>
      <c r="V104">
        <v>3.8233000000000003E-2</v>
      </c>
      <c r="W104">
        <v>3.7829000000000002E-2</v>
      </c>
      <c r="X104">
        <v>3.7497999999999997E-2</v>
      </c>
      <c r="Y104">
        <v>3.7238E-2</v>
      </c>
      <c r="Z104">
        <v>3.6991000000000003E-2</v>
      </c>
      <c r="AA104">
        <v>3.6236999999999998E-2</v>
      </c>
      <c r="AB104">
        <v>3.5459999999999998E-2</v>
      </c>
      <c r="AC104">
        <v>3.4638000000000002E-2</v>
      </c>
      <c r="AD104">
        <v>3.3883000000000003E-2</v>
      </c>
      <c r="AE104">
        <v>3.3097000000000001E-2</v>
      </c>
      <c r="AF104">
        <v>3.0679000000000001E-2</v>
      </c>
      <c r="AG104">
        <v>2.8199999999999999E-2</v>
      </c>
      <c r="AH104">
        <v>2.5694000000000002E-2</v>
      </c>
      <c r="AI104">
        <v>2.3068000000000002E-2</v>
      </c>
      <c r="AJ104">
        <v>2.0493000000000001E-2</v>
      </c>
      <c r="AK104">
        <v>2.0702000000000002E-2</v>
      </c>
      <c r="AL104">
        <v>2.0899999999999998E-2</v>
      </c>
      <c r="AM104">
        <v>2.1103E-2</v>
      </c>
      <c r="AN104">
        <v>2.1107000000000001E-2</v>
      </c>
      <c r="AO104">
        <v>2.1479000000000002E-2</v>
      </c>
      <c r="AP104" s="7">
        <v>-3.1E-2</v>
      </c>
    </row>
    <row r="105" spans="1:42" x14ac:dyDescent="0.25">
      <c r="A105" t="s">
        <v>10</v>
      </c>
      <c r="B105" t="s">
        <v>108</v>
      </c>
      <c r="C105" t="s">
        <v>336</v>
      </c>
      <c r="D105" t="s">
        <v>42</v>
      </c>
      <c r="H105">
        <v>0.84089999999999998</v>
      </c>
      <c r="I105">
        <v>0.87354200000000004</v>
      </c>
      <c r="J105">
        <v>0.83400300000000005</v>
      </c>
      <c r="K105">
        <v>0.84768100000000002</v>
      </c>
      <c r="L105">
        <v>0.88740699999999995</v>
      </c>
      <c r="M105">
        <v>0.79647100000000004</v>
      </c>
      <c r="N105">
        <v>0.79317599999999999</v>
      </c>
      <c r="O105">
        <v>0.74300500000000003</v>
      </c>
      <c r="P105">
        <v>0.76692000000000005</v>
      </c>
      <c r="Q105">
        <v>0.797539</v>
      </c>
      <c r="R105">
        <v>0.77807599999999999</v>
      </c>
      <c r="S105">
        <v>0.76117500000000005</v>
      </c>
      <c r="T105">
        <v>0.75126999999999999</v>
      </c>
      <c r="U105">
        <v>0.74370700000000001</v>
      </c>
      <c r="V105">
        <v>0.62112299999999998</v>
      </c>
      <c r="W105">
        <v>0.57045400000000002</v>
      </c>
      <c r="X105">
        <v>0.55288099999999996</v>
      </c>
      <c r="Y105">
        <v>0.54517899999999997</v>
      </c>
      <c r="Z105">
        <v>0.54468499999999997</v>
      </c>
      <c r="AA105">
        <v>0.55288899999999996</v>
      </c>
      <c r="AB105">
        <v>0.55318100000000003</v>
      </c>
      <c r="AC105">
        <v>0.54081800000000002</v>
      </c>
      <c r="AD105">
        <v>0.52734800000000004</v>
      </c>
      <c r="AE105">
        <v>0.50015299999999996</v>
      </c>
      <c r="AF105">
        <v>0.50203500000000001</v>
      </c>
      <c r="AG105">
        <v>0.50187499999999996</v>
      </c>
      <c r="AH105">
        <v>0.50095599999999996</v>
      </c>
      <c r="AI105">
        <v>0.48816399999999999</v>
      </c>
      <c r="AJ105">
        <v>0.49151299999999998</v>
      </c>
      <c r="AK105">
        <v>0.495647</v>
      </c>
      <c r="AL105">
        <v>0.50658599999999998</v>
      </c>
      <c r="AM105">
        <v>0.51124899999999995</v>
      </c>
      <c r="AN105">
        <v>0.49397400000000002</v>
      </c>
      <c r="AO105">
        <v>0.50114999999999998</v>
      </c>
      <c r="AP105" s="7">
        <v>-0.01</v>
      </c>
    </row>
    <row r="106" spans="1:42" x14ac:dyDescent="0.25">
      <c r="A106" t="s">
        <v>107</v>
      </c>
      <c r="B106" t="s">
        <v>106</v>
      </c>
      <c r="C106" t="s">
        <v>335</v>
      </c>
      <c r="D106" t="s">
        <v>42</v>
      </c>
      <c r="H106">
        <v>0.10199999999999999</v>
      </c>
      <c r="I106">
        <v>0.13295299999999999</v>
      </c>
      <c r="J106">
        <v>0.10713</v>
      </c>
      <c r="K106">
        <v>8.1876000000000004E-2</v>
      </c>
      <c r="L106">
        <v>5.3372000000000003E-2</v>
      </c>
      <c r="M106">
        <v>5.5934999999999999E-2</v>
      </c>
      <c r="N106">
        <v>5.6616E-2</v>
      </c>
      <c r="O106">
        <v>5.8896999999999998E-2</v>
      </c>
      <c r="P106">
        <v>5.7894000000000001E-2</v>
      </c>
      <c r="Q106">
        <v>1.9942000000000001E-2</v>
      </c>
      <c r="R106">
        <v>1.9741000000000002E-2</v>
      </c>
      <c r="S106">
        <v>1.9574000000000001E-2</v>
      </c>
      <c r="T106">
        <v>1.9435000000000001E-2</v>
      </c>
      <c r="U106">
        <v>1.9272000000000001E-2</v>
      </c>
      <c r="V106">
        <v>1.9165999999999999E-2</v>
      </c>
      <c r="W106">
        <v>1.9088000000000001E-2</v>
      </c>
      <c r="X106">
        <v>1.9044999999999999E-2</v>
      </c>
      <c r="Y106">
        <v>1.9016999999999999E-2</v>
      </c>
      <c r="Z106">
        <v>1.9018E-2</v>
      </c>
      <c r="AA106">
        <v>1.8901000000000001E-2</v>
      </c>
      <c r="AB106">
        <v>1.8780000000000002E-2</v>
      </c>
      <c r="AC106">
        <v>1.8672999999999999E-2</v>
      </c>
      <c r="AD106">
        <v>1.8561000000000001E-2</v>
      </c>
      <c r="AE106">
        <v>1.8439000000000001E-2</v>
      </c>
      <c r="AF106">
        <v>1.7902999999999999E-2</v>
      </c>
      <c r="AG106">
        <v>1.7357000000000001E-2</v>
      </c>
      <c r="AH106">
        <v>1.6802000000000001E-2</v>
      </c>
      <c r="AI106">
        <v>1.6223000000000001E-2</v>
      </c>
      <c r="AJ106">
        <v>1.5656E-2</v>
      </c>
      <c r="AK106">
        <v>1.5778E-2</v>
      </c>
      <c r="AL106">
        <v>1.5904999999999999E-2</v>
      </c>
      <c r="AM106">
        <v>1.602E-2</v>
      </c>
      <c r="AN106">
        <v>1.6157000000000001E-2</v>
      </c>
      <c r="AO106">
        <v>1.6317999999999999E-2</v>
      </c>
      <c r="AP106" s="7">
        <v>-7.0999999999999994E-2</v>
      </c>
    </row>
    <row r="107" spans="1:42" x14ac:dyDescent="0.25">
      <c r="A107" t="s">
        <v>60</v>
      </c>
      <c r="B107" t="s">
        <v>105</v>
      </c>
      <c r="C107" t="s">
        <v>334</v>
      </c>
      <c r="D107" t="s">
        <v>42</v>
      </c>
      <c r="H107">
        <v>0.28512100000000001</v>
      </c>
      <c r="I107">
        <v>0.28783300000000001</v>
      </c>
      <c r="J107">
        <v>0.28642200000000001</v>
      </c>
      <c r="K107">
        <v>0.27961599999999998</v>
      </c>
      <c r="L107">
        <v>0.280111</v>
      </c>
      <c r="M107">
        <v>0.28257900000000002</v>
      </c>
      <c r="N107">
        <v>0.28235399999999999</v>
      </c>
      <c r="O107">
        <v>0.28212900000000002</v>
      </c>
      <c r="P107">
        <v>0.18696099999999999</v>
      </c>
      <c r="Q107">
        <v>9.5522999999999997E-2</v>
      </c>
      <c r="R107">
        <v>9.5522999999999997E-2</v>
      </c>
      <c r="S107">
        <v>9.5522999999999997E-2</v>
      </c>
      <c r="T107">
        <v>9.5522999999999997E-2</v>
      </c>
      <c r="U107">
        <v>9.5522999999999997E-2</v>
      </c>
      <c r="V107">
        <v>9.5522999999999997E-2</v>
      </c>
      <c r="W107">
        <v>9.5522999999999997E-2</v>
      </c>
      <c r="X107">
        <v>9.5522999999999997E-2</v>
      </c>
      <c r="Y107">
        <v>9.5522999999999997E-2</v>
      </c>
      <c r="Z107">
        <v>9.5522999999999997E-2</v>
      </c>
      <c r="AA107">
        <v>9.5522999999999997E-2</v>
      </c>
      <c r="AB107">
        <v>9.5522999999999997E-2</v>
      </c>
      <c r="AC107">
        <v>9.5522999999999997E-2</v>
      </c>
      <c r="AD107">
        <v>9.5522999999999997E-2</v>
      </c>
      <c r="AE107">
        <v>9.5522999999999997E-2</v>
      </c>
      <c r="AF107">
        <v>9.5522999999999997E-2</v>
      </c>
      <c r="AG107">
        <v>9.5522999999999997E-2</v>
      </c>
      <c r="AH107">
        <v>9.5522999999999997E-2</v>
      </c>
      <c r="AI107">
        <v>9.5522999999999997E-2</v>
      </c>
      <c r="AJ107">
        <v>9.5522999999999997E-2</v>
      </c>
      <c r="AK107">
        <v>9.5522999999999997E-2</v>
      </c>
      <c r="AL107">
        <v>9.5522999999999997E-2</v>
      </c>
      <c r="AM107">
        <v>9.5522999999999997E-2</v>
      </c>
      <c r="AN107">
        <v>9.5522999999999997E-2</v>
      </c>
      <c r="AO107">
        <v>9.5522999999999997E-2</v>
      </c>
      <c r="AP107" s="7">
        <v>-3.2000000000000001E-2</v>
      </c>
    </row>
    <row r="108" spans="1:42" x14ac:dyDescent="0.25">
      <c r="A108" t="s">
        <v>56</v>
      </c>
      <c r="B108" t="s">
        <v>104</v>
      </c>
      <c r="C108" t="s">
        <v>333</v>
      </c>
      <c r="D108" t="s">
        <v>42</v>
      </c>
      <c r="H108">
        <v>2.237088</v>
      </c>
      <c r="I108">
        <v>2.2146520000000001</v>
      </c>
      <c r="J108">
        <v>2.1159949999999998</v>
      </c>
      <c r="K108">
        <v>2.0615480000000002</v>
      </c>
      <c r="L108">
        <v>1.9482409999999999</v>
      </c>
      <c r="M108">
        <v>2.0878359999999998</v>
      </c>
      <c r="N108">
        <v>2.1888399999999999</v>
      </c>
      <c r="O108">
        <v>2.2539889999999998</v>
      </c>
      <c r="P108">
        <v>2.227976</v>
      </c>
      <c r="Q108">
        <v>2.2125020000000002</v>
      </c>
      <c r="R108">
        <v>2.2148620000000001</v>
      </c>
      <c r="S108">
        <v>2.214585</v>
      </c>
      <c r="T108">
        <v>2.2285699999999999</v>
      </c>
      <c r="U108">
        <v>2.2735210000000001</v>
      </c>
      <c r="V108">
        <v>2.3571300000000002</v>
      </c>
      <c r="W108">
        <v>2.3916460000000002</v>
      </c>
      <c r="X108">
        <v>2.392782</v>
      </c>
      <c r="Y108">
        <v>2.4063300000000001</v>
      </c>
      <c r="Z108">
        <v>2.415921</v>
      </c>
      <c r="AA108">
        <v>2.4337780000000002</v>
      </c>
      <c r="AB108">
        <v>2.438923</v>
      </c>
      <c r="AC108">
        <v>2.4432299999999998</v>
      </c>
      <c r="AD108">
        <v>2.4534919999999998</v>
      </c>
      <c r="AE108">
        <v>2.4920089999999999</v>
      </c>
      <c r="AF108">
        <v>2.495301</v>
      </c>
      <c r="AG108">
        <v>2.5511819999999998</v>
      </c>
      <c r="AH108">
        <v>2.6349900000000002</v>
      </c>
      <c r="AI108">
        <v>2.6638269999999999</v>
      </c>
      <c r="AJ108">
        <v>2.7000250000000001</v>
      </c>
      <c r="AK108">
        <v>2.7388669999999999</v>
      </c>
      <c r="AL108">
        <v>2.7831779999999999</v>
      </c>
      <c r="AM108">
        <v>2.7737820000000002</v>
      </c>
      <c r="AN108">
        <v>2.822883</v>
      </c>
      <c r="AO108">
        <v>2.8602940000000001</v>
      </c>
      <c r="AP108" s="7">
        <v>0.01</v>
      </c>
    </row>
    <row r="109" spans="1:42" x14ac:dyDescent="0.25">
      <c r="A109" t="s">
        <v>53</v>
      </c>
      <c r="B109" t="s">
        <v>103</v>
      </c>
      <c r="C109" t="s">
        <v>332</v>
      </c>
      <c r="D109" t="s">
        <v>42</v>
      </c>
      <c r="H109">
        <v>5.5599999999999998E-3</v>
      </c>
      <c r="I109">
        <v>5.5599999999999998E-3</v>
      </c>
      <c r="J109">
        <v>5.2700000000000004E-3</v>
      </c>
      <c r="K109">
        <v>5.5420000000000001E-3</v>
      </c>
      <c r="L109">
        <v>5.6769999999999998E-3</v>
      </c>
      <c r="M109">
        <v>5.6769999999999998E-3</v>
      </c>
      <c r="N109">
        <v>5.6769999999999998E-3</v>
      </c>
      <c r="O109">
        <v>5.6769999999999998E-3</v>
      </c>
      <c r="P109">
        <v>5.6769999999999998E-3</v>
      </c>
      <c r="Q109">
        <v>5.6769999999999998E-3</v>
      </c>
      <c r="R109">
        <v>5.6769999999999998E-3</v>
      </c>
      <c r="S109">
        <v>5.6769999999999998E-3</v>
      </c>
      <c r="T109">
        <v>5.6769999999999998E-3</v>
      </c>
      <c r="U109">
        <v>5.6769999999999998E-3</v>
      </c>
      <c r="V109">
        <v>5.6769999999999998E-3</v>
      </c>
      <c r="W109">
        <v>5.6769999999999998E-3</v>
      </c>
      <c r="X109">
        <v>5.6769999999999998E-3</v>
      </c>
      <c r="Y109">
        <v>5.6769999999999998E-3</v>
      </c>
      <c r="Z109">
        <v>5.6769999999999998E-3</v>
      </c>
      <c r="AA109">
        <v>5.6769999999999998E-3</v>
      </c>
      <c r="AB109">
        <v>5.6769999999999998E-3</v>
      </c>
      <c r="AC109">
        <v>5.6769999999999998E-3</v>
      </c>
      <c r="AD109">
        <v>5.6769999999999998E-3</v>
      </c>
      <c r="AE109">
        <v>5.6769999999999998E-3</v>
      </c>
      <c r="AF109">
        <v>5.6769999999999998E-3</v>
      </c>
      <c r="AG109">
        <v>5.6769999999999998E-3</v>
      </c>
      <c r="AH109">
        <v>5.6769999999999998E-3</v>
      </c>
      <c r="AI109">
        <v>5.6769999999999998E-3</v>
      </c>
      <c r="AJ109">
        <v>5.6769999999999998E-3</v>
      </c>
      <c r="AK109">
        <v>5.6769999999999998E-3</v>
      </c>
      <c r="AL109">
        <v>5.6769999999999998E-3</v>
      </c>
      <c r="AM109">
        <v>5.6769999999999998E-3</v>
      </c>
      <c r="AN109">
        <v>5.6769999999999998E-3</v>
      </c>
      <c r="AO109">
        <v>5.6769999999999998E-3</v>
      </c>
      <c r="AP109" s="7">
        <v>0</v>
      </c>
    </row>
    <row r="110" spans="1:42" x14ac:dyDescent="0.25">
      <c r="A110" t="s">
        <v>51</v>
      </c>
      <c r="B110" t="s">
        <v>102</v>
      </c>
      <c r="C110" t="s">
        <v>331</v>
      </c>
      <c r="D110" t="s">
        <v>42</v>
      </c>
      <c r="H110">
        <v>1.5768999999999998E-2</v>
      </c>
      <c r="I110">
        <v>1.5095000000000001E-2</v>
      </c>
      <c r="J110">
        <v>1.2452E-2</v>
      </c>
      <c r="K110">
        <v>3.336E-3</v>
      </c>
      <c r="L110">
        <v>3.6347999999999998E-2</v>
      </c>
      <c r="M110">
        <v>2.7438000000000001E-2</v>
      </c>
      <c r="N110">
        <v>2.3605000000000001E-2</v>
      </c>
      <c r="O110">
        <v>2.4104E-2</v>
      </c>
      <c r="P110">
        <v>2.2422000000000001E-2</v>
      </c>
      <c r="Q110">
        <v>2.3258999999999998E-2</v>
      </c>
      <c r="R110">
        <v>2.5603000000000001E-2</v>
      </c>
      <c r="S110">
        <v>2.6981999999999999E-2</v>
      </c>
      <c r="T110">
        <v>2.7456999999999999E-2</v>
      </c>
      <c r="U110">
        <v>2.8506E-2</v>
      </c>
      <c r="V110">
        <v>2.7238999999999999E-2</v>
      </c>
      <c r="W110">
        <v>2.7878E-2</v>
      </c>
      <c r="X110">
        <v>2.7113000000000002E-2</v>
      </c>
      <c r="Y110">
        <v>2.7949999999999999E-2</v>
      </c>
      <c r="Z110">
        <v>2.7089999999999999E-2</v>
      </c>
      <c r="AA110">
        <v>2.6584E-2</v>
      </c>
      <c r="AB110">
        <v>2.6182E-2</v>
      </c>
      <c r="AC110">
        <v>2.6329000000000002E-2</v>
      </c>
      <c r="AD110">
        <v>2.6813E-2</v>
      </c>
      <c r="AE110">
        <v>2.6977999999999999E-2</v>
      </c>
      <c r="AF110">
        <v>2.6187999999999999E-2</v>
      </c>
      <c r="AG110">
        <v>2.5752000000000001E-2</v>
      </c>
      <c r="AH110">
        <v>2.5309999999999999E-2</v>
      </c>
      <c r="AI110">
        <v>2.5770999999999999E-2</v>
      </c>
      <c r="AJ110">
        <v>2.5211999999999998E-2</v>
      </c>
      <c r="AK110">
        <v>2.5301000000000001E-2</v>
      </c>
      <c r="AL110">
        <v>2.5305999999999999E-2</v>
      </c>
      <c r="AM110">
        <v>2.5403999999999999E-2</v>
      </c>
      <c r="AN110">
        <v>2.5433000000000001E-2</v>
      </c>
      <c r="AO110">
        <v>2.5498E-2</v>
      </c>
      <c r="AP110" s="7">
        <v>2E-3</v>
      </c>
    </row>
    <row r="111" spans="1:42" x14ac:dyDescent="0.25">
      <c r="A111" t="s">
        <v>29</v>
      </c>
      <c r="B111" t="s">
        <v>101</v>
      </c>
      <c r="C111" t="s">
        <v>330</v>
      </c>
      <c r="D111" t="s">
        <v>42</v>
      </c>
      <c r="H111">
        <v>3.560997</v>
      </c>
      <c r="I111">
        <v>3.5869249999999999</v>
      </c>
      <c r="J111">
        <v>3.4159980000000001</v>
      </c>
      <c r="K111">
        <v>3.3253509999999999</v>
      </c>
      <c r="L111">
        <v>3.256634</v>
      </c>
      <c r="M111">
        <v>3.2994370000000002</v>
      </c>
      <c r="N111">
        <v>3.393713</v>
      </c>
      <c r="O111">
        <v>3.4108990000000001</v>
      </c>
      <c r="P111">
        <v>3.310371</v>
      </c>
      <c r="Q111">
        <v>3.1960109999999999</v>
      </c>
      <c r="R111">
        <v>3.18025</v>
      </c>
      <c r="S111">
        <v>3.163535</v>
      </c>
      <c r="T111">
        <v>3.1672820000000002</v>
      </c>
      <c r="U111">
        <v>3.2048290000000001</v>
      </c>
      <c r="V111">
        <v>3.1640899999999998</v>
      </c>
      <c r="W111">
        <v>3.1480950000000001</v>
      </c>
      <c r="X111">
        <v>3.1305190000000001</v>
      </c>
      <c r="Y111">
        <v>3.1369150000000001</v>
      </c>
      <c r="Z111">
        <v>3.1449050000000001</v>
      </c>
      <c r="AA111">
        <v>3.1695890000000002</v>
      </c>
      <c r="AB111">
        <v>3.1737259999999998</v>
      </c>
      <c r="AC111">
        <v>3.1648879999999999</v>
      </c>
      <c r="AD111">
        <v>3.1612960000000001</v>
      </c>
      <c r="AE111">
        <v>3.1718769999999998</v>
      </c>
      <c r="AF111">
        <v>3.1733060000000002</v>
      </c>
      <c r="AG111">
        <v>3.225565</v>
      </c>
      <c r="AH111">
        <v>3.3049529999999998</v>
      </c>
      <c r="AI111">
        <v>3.318254</v>
      </c>
      <c r="AJ111">
        <v>3.354098</v>
      </c>
      <c r="AK111">
        <v>3.3974950000000002</v>
      </c>
      <c r="AL111">
        <v>3.4530759999999998</v>
      </c>
      <c r="AM111">
        <v>3.44876</v>
      </c>
      <c r="AN111">
        <v>3.4807540000000001</v>
      </c>
      <c r="AO111">
        <v>3.5259399999999999</v>
      </c>
      <c r="AP111" s="7">
        <v>2E-3</v>
      </c>
    </row>
    <row r="112" spans="1:42" x14ac:dyDescent="0.25">
      <c r="A112" t="s">
        <v>100</v>
      </c>
      <c r="C112" t="s">
        <v>329</v>
      </c>
    </row>
    <row r="113" spans="1:42" x14ac:dyDescent="0.25">
      <c r="A113" t="s">
        <v>99</v>
      </c>
      <c r="B113" t="s">
        <v>98</v>
      </c>
      <c r="C113" t="s">
        <v>328</v>
      </c>
      <c r="D113" t="s">
        <v>42</v>
      </c>
      <c r="H113">
        <v>8.4312999999999999E-2</v>
      </c>
      <c r="I113">
        <v>9.3257999999999994E-2</v>
      </c>
      <c r="J113">
        <v>0.104336</v>
      </c>
      <c r="K113">
        <v>9.8833000000000004E-2</v>
      </c>
      <c r="L113">
        <v>8.4875000000000006E-2</v>
      </c>
      <c r="M113">
        <v>7.8189999999999996E-2</v>
      </c>
      <c r="N113">
        <v>6.991E-2</v>
      </c>
      <c r="O113">
        <v>6.6153000000000003E-2</v>
      </c>
      <c r="P113">
        <v>6.5492999999999996E-2</v>
      </c>
      <c r="Q113">
        <v>6.4787999999999998E-2</v>
      </c>
      <c r="R113">
        <v>6.4765000000000003E-2</v>
      </c>
      <c r="S113">
        <v>6.4666000000000001E-2</v>
      </c>
      <c r="T113">
        <v>6.4623E-2</v>
      </c>
      <c r="U113">
        <v>6.4613000000000004E-2</v>
      </c>
      <c r="V113">
        <v>6.4241000000000006E-2</v>
      </c>
      <c r="W113">
        <v>6.4086000000000004E-2</v>
      </c>
      <c r="X113">
        <v>6.3995999999999997E-2</v>
      </c>
      <c r="Y113">
        <v>6.4019000000000006E-2</v>
      </c>
      <c r="Z113">
        <v>6.4078999999999997E-2</v>
      </c>
      <c r="AA113">
        <v>6.4156000000000005E-2</v>
      </c>
      <c r="AB113">
        <v>6.4250000000000002E-2</v>
      </c>
      <c r="AC113">
        <v>6.4351000000000005E-2</v>
      </c>
      <c r="AD113">
        <v>6.4463999999999994E-2</v>
      </c>
      <c r="AE113">
        <v>6.4581E-2</v>
      </c>
      <c r="AF113">
        <v>6.4713000000000007E-2</v>
      </c>
      <c r="AG113">
        <v>6.4859E-2</v>
      </c>
      <c r="AH113">
        <v>6.5015000000000003E-2</v>
      </c>
      <c r="AI113">
        <v>6.5171000000000007E-2</v>
      </c>
      <c r="AJ113">
        <v>6.5353999999999995E-2</v>
      </c>
      <c r="AK113">
        <v>6.5556000000000003E-2</v>
      </c>
      <c r="AL113">
        <v>6.5771999999999997E-2</v>
      </c>
      <c r="AM113">
        <v>6.5997E-2</v>
      </c>
      <c r="AN113">
        <v>6.6253000000000006E-2</v>
      </c>
      <c r="AO113">
        <v>6.6534999999999997E-2</v>
      </c>
      <c r="AP113" s="7">
        <v>-8.0000000000000002E-3</v>
      </c>
    </row>
    <row r="114" spans="1:42" x14ac:dyDescent="0.25">
      <c r="A114" t="s">
        <v>2</v>
      </c>
      <c r="B114" t="s">
        <v>97</v>
      </c>
      <c r="C114" t="s">
        <v>327</v>
      </c>
      <c r="D114" t="s">
        <v>42</v>
      </c>
      <c r="H114">
        <v>2.4627849999999998</v>
      </c>
      <c r="I114">
        <v>2.4661580000000001</v>
      </c>
      <c r="J114">
        <v>2.471797</v>
      </c>
      <c r="K114">
        <v>2.1964589999999999</v>
      </c>
      <c r="L114">
        <v>2.3145009999999999</v>
      </c>
      <c r="M114">
        <v>2.3783919999999998</v>
      </c>
      <c r="N114">
        <v>2.4172280000000002</v>
      </c>
      <c r="O114">
        <v>2.4103340000000002</v>
      </c>
      <c r="P114">
        <v>2.4015390000000001</v>
      </c>
      <c r="Q114">
        <v>2.3899949999999999</v>
      </c>
      <c r="R114">
        <v>2.374844</v>
      </c>
      <c r="S114">
        <v>2.358263</v>
      </c>
      <c r="T114">
        <v>2.3434050000000002</v>
      </c>
      <c r="U114">
        <v>2.3319860000000001</v>
      </c>
      <c r="V114">
        <v>2.3218320000000001</v>
      </c>
      <c r="W114">
        <v>2.3109359999999999</v>
      </c>
      <c r="X114">
        <v>2.3033830000000002</v>
      </c>
      <c r="Y114">
        <v>2.2964030000000002</v>
      </c>
      <c r="Z114">
        <v>2.2885650000000002</v>
      </c>
      <c r="AA114">
        <v>2.281882</v>
      </c>
      <c r="AB114">
        <v>2.2774179999999999</v>
      </c>
      <c r="AC114">
        <v>2.2742930000000001</v>
      </c>
      <c r="AD114">
        <v>2.2733819999999998</v>
      </c>
      <c r="AE114">
        <v>2.273685</v>
      </c>
      <c r="AF114">
        <v>2.2749600000000001</v>
      </c>
      <c r="AG114">
        <v>2.2770280000000001</v>
      </c>
      <c r="AH114">
        <v>2.279731</v>
      </c>
      <c r="AI114">
        <v>2.2838590000000001</v>
      </c>
      <c r="AJ114">
        <v>2.289193</v>
      </c>
      <c r="AK114">
        <v>2.2966470000000001</v>
      </c>
      <c r="AL114">
        <v>2.3042769999999999</v>
      </c>
      <c r="AM114">
        <v>2.3122950000000002</v>
      </c>
      <c r="AN114">
        <v>2.3220830000000001</v>
      </c>
      <c r="AO114">
        <v>2.3339099999999999</v>
      </c>
      <c r="AP114" s="7">
        <v>-1.4999999999999999E-2</v>
      </c>
    </row>
    <row r="115" spans="1:42" x14ac:dyDescent="0.25">
      <c r="A115" t="s">
        <v>96</v>
      </c>
      <c r="B115" t="s">
        <v>95</v>
      </c>
      <c r="C115" t="s">
        <v>326</v>
      </c>
      <c r="D115" t="s">
        <v>42</v>
      </c>
      <c r="H115">
        <v>1.3619999999999999E-3</v>
      </c>
      <c r="I115">
        <v>8.8000000000000005E-3</v>
      </c>
      <c r="J115">
        <v>2.7130000000000001E-3</v>
      </c>
      <c r="K115">
        <v>2.3990000000000001E-3</v>
      </c>
      <c r="L115">
        <v>2.7780000000000001E-3</v>
      </c>
      <c r="M115">
        <v>2.7950000000000002E-3</v>
      </c>
      <c r="N115">
        <v>2.6150000000000001E-3</v>
      </c>
      <c r="O115">
        <v>2.5999999999999999E-3</v>
      </c>
      <c r="P115">
        <v>2.5899999999999999E-3</v>
      </c>
      <c r="Q115">
        <v>2.5579999999999999E-3</v>
      </c>
      <c r="R115">
        <v>2.5149999999999999E-3</v>
      </c>
      <c r="S115">
        <v>2.4689999999999998E-3</v>
      </c>
      <c r="T115">
        <v>2.4220000000000001E-3</v>
      </c>
      <c r="U115">
        <v>2.369E-3</v>
      </c>
      <c r="V115">
        <v>2.3280000000000002E-3</v>
      </c>
      <c r="W115">
        <v>2.281E-3</v>
      </c>
      <c r="X115">
        <v>2.2460000000000002E-3</v>
      </c>
      <c r="Y115">
        <v>2.2109999999999999E-3</v>
      </c>
      <c r="Z115">
        <v>2.1800000000000001E-3</v>
      </c>
      <c r="AA115">
        <v>2.1580000000000002E-3</v>
      </c>
      <c r="AB115">
        <v>2.1459999999999999E-3</v>
      </c>
      <c r="AC115">
        <v>2.1389999999999998E-3</v>
      </c>
      <c r="AD115">
        <v>2.1519999999999998E-3</v>
      </c>
      <c r="AE115">
        <v>2.166E-3</v>
      </c>
      <c r="AF115">
        <v>2.1870000000000001E-3</v>
      </c>
      <c r="AG115">
        <v>2.2139999999999998E-3</v>
      </c>
      <c r="AH115">
        <v>2.2300000000000002E-3</v>
      </c>
      <c r="AI115">
        <v>2.2539999999999999E-3</v>
      </c>
      <c r="AJ115">
        <v>2.287E-3</v>
      </c>
      <c r="AK115">
        <v>2.3210000000000001E-3</v>
      </c>
      <c r="AL115">
        <v>2.362E-3</v>
      </c>
      <c r="AM115">
        <v>2.4090000000000001E-3</v>
      </c>
      <c r="AN115">
        <v>2.457E-3</v>
      </c>
      <c r="AO115">
        <v>2.5079999999999998E-3</v>
      </c>
      <c r="AP115" s="7">
        <v>3.9E-2</v>
      </c>
    </row>
    <row r="116" spans="1:42" x14ac:dyDescent="0.25">
      <c r="A116" t="s">
        <v>94</v>
      </c>
      <c r="B116" t="s">
        <v>93</v>
      </c>
      <c r="C116" t="s">
        <v>325</v>
      </c>
      <c r="D116" t="s">
        <v>42</v>
      </c>
      <c r="H116">
        <v>1.037347</v>
      </c>
      <c r="I116">
        <v>1.0670120000000001</v>
      </c>
      <c r="J116">
        <v>1.065018</v>
      </c>
      <c r="K116">
        <v>0.65032999999999996</v>
      </c>
      <c r="L116">
        <v>0.7419</v>
      </c>
      <c r="M116">
        <v>0.81612799999999996</v>
      </c>
      <c r="N116">
        <v>0.84804199999999996</v>
      </c>
      <c r="O116">
        <v>0.86960800000000005</v>
      </c>
      <c r="P116">
        <v>0.89004300000000003</v>
      </c>
      <c r="Q116">
        <v>0.90660600000000002</v>
      </c>
      <c r="R116">
        <v>0.91735100000000003</v>
      </c>
      <c r="S116">
        <v>0.92762599999999995</v>
      </c>
      <c r="T116">
        <v>0.93814500000000001</v>
      </c>
      <c r="U116">
        <v>0.95077299999999998</v>
      </c>
      <c r="V116">
        <v>0.96029900000000001</v>
      </c>
      <c r="W116">
        <v>0.96465800000000002</v>
      </c>
      <c r="X116">
        <v>0.97459300000000004</v>
      </c>
      <c r="Y116">
        <v>0.98363</v>
      </c>
      <c r="Z116">
        <v>0.99334800000000001</v>
      </c>
      <c r="AA116">
        <v>1.003212</v>
      </c>
      <c r="AB116">
        <v>1.0145770000000001</v>
      </c>
      <c r="AC116">
        <v>1.02481</v>
      </c>
      <c r="AD116">
        <v>1.036643</v>
      </c>
      <c r="AE116">
        <v>1.0500499999999999</v>
      </c>
      <c r="AF116">
        <v>1.0611679999999999</v>
      </c>
      <c r="AG116">
        <v>1.0735079999999999</v>
      </c>
      <c r="AH116">
        <v>1.0862769999999999</v>
      </c>
      <c r="AI116">
        <v>1.098276</v>
      </c>
      <c r="AJ116">
        <v>1.112455</v>
      </c>
      <c r="AK116">
        <v>1.126768</v>
      </c>
      <c r="AL116">
        <v>1.1390359999999999</v>
      </c>
      <c r="AM116">
        <v>1.1506529999999999</v>
      </c>
      <c r="AN116">
        <v>1.1642840000000001</v>
      </c>
      <c r="AO116">
        <v>1.179476</v>
      </c>
      <c r="AP116" s="7">
        <v>8.9999999999999993E-3</v>
      </c>
    </row>
    <row r="117" spans="1:42" x14ac:dyDescent="0.25">
      <c r="A117" t="s">
        <v>21</v>
      </c>
      <c r="B117" t="s">
        <v>92</v>
      </c>
      <c r="C117" t="s">
        <v>324</v>
      </c>
      <c r="D117" t="s">
        <v>42</v>
      </c>
      <c r="H117">
        <v>6.3E-5</v>
      </c>
      <c r="I117">
        <v>0</v>
      </c>
      <c r="J117">
        <v>9.2999999999999997E-5</v>
      </c>
      <c r="K117">
        <v>6.9999999999999994E-5</v>
      </c>
      <c r="L117">
        <v>7.7999999999999999E-5</v>
      </c>
      <c r="M117">
        <v>7.2999999999999999E-5</v>
      </c>
      <c r="N117">
        <v>1.63E-4</v>
      </c>
      <c r="O117">
        <v>1.36E-4</v>
      </c>
      <c r="P117">
        <v>1.3100000000000001E-4</v>
      </c>
      <c r="Q117">
        <v>1.26E-4</v>
      </c>
      <c r="R117">
        <v>1.2E-4</v>
      </c>
      <c r="S117">
        <v>1.15E-4</v>
      </c>
      <c r="T117">
        <v>1.12E-4</v>
      </c>
      <c r="U117">
        <v>1.13E-4</v>
      </c>
      <c r="V117">
        <v>5.8999999999999998E-5</v>
      </c>
      <c r="W117">
        <v>5.7000000000000003E-5</v>
      </c>
      <c r="X117">
        <v>5.0000000000000002E-5</v>
      </c>
      <c r="Y117">
        <v>4.8000000000000001E-5</v>
      </c>
      <c r="Z117">
        <v>4.6E-5</v>
      </c>
      <c r="AA117">
        <v>4.3999999999999999E-5</v>
      </c>
      <c r="AB117">
        <v>4.0000000000000003E-5</v>
      </c>
      <c r="AC117">
        <v>3.8000000000000002E-5</v>
      </c>
      <c r="AD117">
        <v>3.6999999999999998E-5</v>
      </c>
      <c r="AE117">
        <v>3.4999999999999997E-5</v>
      </c>
      <c r="AF117">
        <v>3.3000000000000003E-5</v>
      </c>
      <c r="AG117">
        <v>3.3000000000000003E-5</v>
      </c>
      <c r="AH117">
        <v>2.9E-5</v>
      </c>
      <c r="AI117">
        <v>2.5999999999999998E-5</v>
      </c>
      <c r="AJ117">
        <v>2.4000000000000001E-5</v>
      </c>
      <c r="AK117">
        <v>2.1999999999999999E-5</v>
      </c>
      <c r="AL117">
        <v>2.0999999999999999E-5</v>
      </c>
      <c r="AM117">
        <v>2.0999999999999999E-5</v>
      </c>
      <c r="AN117">
        <v>2.0999999999999999E-5</v>
      </c>
      <c r="AO117">
        <v>2.0999999999999999E-5</v>
      </c>
      <c r="AP117" t="s">
        <v>0</v>
      </c>
    </row>
    <row r="118" spans="1:42" x14ac:dyDescent="0.25">
      <c r="A118" t="s">
        <v>91</v>
      </c>
      <c r="B118" t="s">
        <v>90</v>
      </c>
      <c r="C118" t="s">
        <v>323</v>
      </c>
      <c r="D118" t="s">
        <v>42</v>
      </c>
      <c r="H118">
        <v>0.91119099999999997</v>
      </c>
      <c r="I118">
        <v>0.94904500000000003</v>
      </c>
      <c r="J118">
        <v>0.95049399999999995</v>
      </c>
      <c r="K118">
        <v>0.856491</v>
      </c>
      <c r="L118">
        <v>0.89717899999999995</v>
      </c>
      <c r="M118">
        <v>0.87658599999999998</v>
      </c>
      <c r="N118">
        <v>0.91064999999999996</v>
      </c>
      <c r="O118">
        <v>0.91062299999999996</v>
      </c>
      <c r="P118">
        <v>0.91074600000000006</v>
      </c>
      <c r="Q118">
        <v>0.90906699999999996</v>
      </c>
      <c r="R118">
        <v>0.90342699999999998</v>
      </c>
      <c r="S118">
        <v>0.89887300000000003</v>
      </c>
      <c r="T118">
        <v>0.89465399999999995</v>
      </c>
      <c r="U118">
        <v>0.89032500000000003</v>
      </c>
      <c r="V118">
        <v>0.88715100000000002</v>
      </c>
      <c r="W118">
        <v>0.88318399999999997</v>
      </c>
      <c r="X118">
        <v>0.88069799999999998</v>
      </c>
      <c r="Y118">
        <v>0.87853800000000004</v>
      </c>
      <c r="Z118">
        <v>0.87678699999999998</v>
      </c>
      <c r="AA118">
        <v>0.87559100000000001</v>
      </c>
      <c r="AB118">
        <v>0.87506200000000001</v>
      </c>
      <c r="AC118">
        <v>0.874942</v>
      </c>
      <c r="AD118">
        <v>0.87623399999999996</v>
      </c>
      <c r="AE118">
        <v>0.87576900000000002</v>
      </c>
      <c r="AF118">
        <v>0.87643000000000004</v>
      </c>
      <c r="AG118">
        <v>0.87746500000000005</v>
      </c>
      <c r="AH118">
        <v>0.877633</v>
      </c>
      <c r="AI118">
        <v>0.87814300000000001</v>
      </c>
      <c r="AJ118">
        <v>0.87996600000000003</v>
      </c>
      <c r="AK118">
        <v>0.88245300000000004</v>
      </c>
      <c r="AL118">
        <v>0.88417599999999996</v>
      </c>
      <c r="AM118">
        <v>0.88551999999999997</v>
      </c>
      <c r="AN118">
        <v>0.88734199999999996</v>
      </c>
      <c r="AO118">
        <v>0.89054800000000001</v>
      </c>
      <c r="AP118" s="7">
        <v>3.0000000000000001E-3</v>
      </c>
    </row>
    <row r="119" spans="1:42" x14ac:dyDescent="0.25">
      <c r="A119" t="s">
        <v>89</v>
      </c>
      <c r="B119" t="s">
        <v>88</v>
      </c>
      <c r="C119" t="s">
        <v>322</v>
      </c>
      <c r="D119" t="s">
        <v>42</v>
      </c>
      <c r="H119">
        <v>0.353244</v>
      </c>
      <c r="I119">
        <v>0.31502999999999998</v>
      </c>
      <c r="J119">
        <v>0.25810499999999997</v>
      </c>
      <c r="K119">
        <v>0.20072999999999999</v>
      </c>
      <c r="L119">
        <v>0.31260700000000002</v>
      </c>
      <c r="M119">
        <v>0.41139599999999998</v>
      </c>
      <c r="N119">
        <v>0.29360700000000001</v>
      </c>
      <c r="O119">
        <v>0.292543</v>
      </c>
      <c r="P119">
        <v>0.29389399999999999</v>
      </c>
      <c r="Q119">
        <v>0.28955900000000001</v>
      </c>
      <c r="R119">
        <v>0.28231400000000001</v>
      </c>
      <c r="S119">
        <v>0.278692</v>
      </c>
      <c r="T119">
        <v>0.27740500000000001</v>
      </c>
      <c r="U119">
        <v>0.27442100000000003</v>
      </c>
      <c r="V119">
        <v>0.27963199999999999</v>
      </c>
      <c r="W119">
        <v>0.27795900000000001</v>
      </c>
      <c r="X119">
        <v>0.27731600000000001</v>
      </c>
      <c r="Y119">
        <v>0.27730300000000002</v>
      </c>
      <c r="Z119">
        <v>0.27737499999999998</v>
      </c>
      <c r="AA119">
        <v>0.27801799999999999</v>
      </c>
      <c r="AB119">
        <v>0.27891500000000002</v>
      </c>
      <c r="AC119">
        <v>0.27662199999999998</v>
      </c>
      <c r="AD119">
        <v>0.27714499999999997</v>
      </c>
      <c r="AE119">
        <v>0.26924100000000001</v>
      </c>
      <c r="AF119">
        <v>0.26421600000000001</v>
      </c>
      <c r="AG119">
        <v>0.25926199999999999</v>
      </c>
      <c r="AH119">
        <v>0.25099100000000002</v>
      </c>
      <c r="AI119">
        <v>0.24463499999999999</v>
      </c>
      <c r="AJ119">
        <v>0.24160699999999999</v>
      </c>
      <c r="AK119">
        <v>0.239042</v>
      </c>
      <c r="AL119">
        <v>0.23762900000000001</v>
      </c>
      <c r="AM119">
        <v>0.23807700000000001</v>
      </c>
      <c r="AN119">
        <v>0.23791100000000001</v>
      </c>
      <c r="AO119">
        <v>0.23858099999999999</v>
      </c>
      <c r="AP119" s="7">
        <v>-1.0999999999999999E-2</v>
      </c>
    </row>
    <row r="120" spans="1:42" x14ac:dyDescent="0.25">
      <c r="A120" t="s">
        <v>87</v>
      </c>
      <c r="B120" t="s">
        <v>86</v>
      </c>
      <c r="C120" t="s">
        <v>321</v>
      </c>
      <c r="D120" t="s">
        <v>42</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t="s">
        <v>0</v>
      </c>
    </row>
    <row r="121" spans="1:42" x14ac:dyDescent="0.25">
      <c r="A121" t="s">
        <v>85</v>
      </c>
      <c r="B121" t="s">
        <v>84</v>
      </c>
      <c r="C121" t="s">
        <v>320</v>
      </c>
      <c r="D121" t="s">
        <v>42</v>
      </c>
      <c r="H121">
        <v>0.55424799999999996</v>
      </c>
      <c r="I121">
        <v>0.54416500000000001</v>
      </c>
      <c r="J121">
        <v>0.55160500000000001</v>
      </c>
      <c r="K121">
        <v>0.48769200000000001</v>
      </c>
      <c r="L121">
        <v>0.47777399999999998</v>
      </c>
      <c r="M121">
        <v>0.495112</v>
      </c>
      <c r="N121">
        <v>0.41468100000000002</v>
      </c>
      <c r="O121">
        <v>0.39590799999999998</v>
      </c>
      <c r="P121">
        <v>0.394959</v>
      </c>
      <c r="Q121">
        <v>0.408916</v>
      </c>
      <c r="R121">
        <v>0.40602199999999999</v>
      </c>
      <c r="S121">
        <v>0.41504099999999999</v>
      </c>
      <c r="T121">
        <v>0.417383</v>
      </c>
      <c r="U121">
        <v>0.42756699999999997</v>
      </c>
      <c r="V121">
        <v>0.420151</v>
      </c>
      <c r="W121">
        <v>0.43420399999999998</v>
      </c>
      <c r="X121">
        <v>0.433228</v>
      </c>
      <c r="Y121">
        <v>0.444693</v>
      </c>
      <c r="Z121">
        <v>0.452681</v>
      </c>
      <c r="AA121">
        <v>0.462704</v>
      </c>
      <c r="AB121">
        <v>0.47296899999999997</v>
      </c>
      <c r="AC121">
        <v>0.475831</v>
      </c>
      <c r="AD121">
        <v>0.480883</v>
      </c>
      <c r="AE121">
        <v>0.47851199999999999</v>
      </c>
      <c r="AF121">
        <v>0.48097800000000002</v>
      </c>
      <c r="AG121">
        <v>0.481126</v>
      </c>
      <c r="AH121">
        <v>0.46843299999999999</v>
      </c>
      <c r="AI121">
        <v>0.47143000000000002</v>
      </c>
      <c r="AJ121">
        <v>0.47128199999999998</v>
      </c>
      <c r="AK121">
        <v>0.47444999999999998</v>
      </c>
      <c r="AL121">
        <v>0.477182</v>
      </c>
      <c r="AM121">
        <v>0.47769200000000001</v>
      </c>
      <c r="AN121">
        <v>0.48030800000000001</v>
      </c>
      <c r="AO121">
        <v>0.48714499999999999</v>
      </c>
      <c r="AP121" s="7">
        <v>-5.0000000000000001E-3</v>
      </c>
    </row>
    <row r="122" spans="1:42" x14ac:dyDescent="0.25">
      <c r="A122" t="s">
        <v>83</v>
      </c>
      <c r="B122" t="s">
        <v>82</v>
      </c>
      <c r="C122" t="s">
        <v>319</v>
      </c>
      <c r="D122" t="s">
        <v>42</v>
      </c>
      <c r="H122">
        <v>5.4031909999999996</v>
      </c>
      <c r="I122">
        <v>5.4346690000000004</v>
      </c>
      <c r="J122">
        <v>5.4014470000000001</v>
      </c>
      <c r="K122">
        <v>4.4906050000000004</v>
      </c>
      <c r="L122">
        <v>4.8289140000000002</v>
      </c>
      <c r="M122">
        <v>5.0558759999999996</v>
      </c>
      <c r="N122">
        <v>4.9542809999999999</v>
      </c>
      <c r="O122">
        <v>4.9453060000000004</v>
      </c>
      <c r="P122">
        <v>4.956804</v>
      </c>
      <c r="Q122">
        <v>4.9690570000000003</v>
      </c>
      <c r="R122">
        <v>4.9488430000000001</v>
      </c>
      <c r="S122">
        <v>4.943276</v>
      </c>
      <c r="T122">
        <v>4.9357280000000001</v>
      </c>
      <c r="U122">
        <v>4.9397989999999998</v>
      </c>
      <c r="V122">
        <v>4.9333660000000004</v>
      </c>
      <c r="W122">
        <v>4.9350849999999999</v>
      </c>
      <c r="X122">
        <v>4.9332630000000002</v>
      </c>
      <c r="Y122">
        <v>4.9446339999999998</v>
      </c>
      <c r="Z122">
        <v>4.9528809999999996</v>
      </c>
      <c r="AA122">
        <v>4.9656079999999996</v>
      </c>
      <c r="AB122">
        <v>4.9832320000000001</v>
      </c>
      <c r="AC122">
        <v>4.990888</v>
      </c>
      <c r="AD122">
        <v>5.008788</v>
      </c>
      <c r="AE122">
        <v>5.0118710000000002</v>
      </c>
      <c r="AF122">
        <v>5.0224989999999998</v>
      </c>
      <c r="AG122">
        <v>5.0332800000000004</v>
      </c>
      <c r="AH122">
        <v>5.0281099999999999</v>
      </c>
      <c r="AI122">
        <v>5.0415409999999996</v>
      </c>
      <c r="AJ122">
        <v>5.0598809999999999</v>
      </c>
      <c r="AK122">
        <v>5.0849390000000003</v>
      </c>
      <c r="AL122">
        <v>5.1080920000000001</v>
      </c>
      <c r="AM122">
        <v>5.1302560000000001</v>
      </c>
      <c r="AN122">
        <v>5.1582020000000002</v>
      </c>
      <c r="AO122">
        <v>5.1962159999999997</v>
      </c>
      <c r="AP122" s="7">
        <v>-4.0000000000000001E-3</v>
      </c>
    </row>
    <row r="123" spans="1:42" x14ac:dyDescent="0.25">
      <c r="A123" t="s">
        <v>10</v>
      </c>
      <c r="B123" t="s">
        <v>81</v>
      </c>
      <c r="C123" t="s">
        <v>318</v>
      </c>
      <c r="D123" t="s">
        <v>42</v>
      </c>
      <c r="H123">
        <v>2.8276979999999998</v>
      </c>
      <c r="I123">
        <v>2.952353</v>
      </c>
      <c r="J123">
        <v>2.9493109999999998</v>
      </c>
      <c r="K123">
        <v>2.8477190000000001</v>
      </c>
      <c r="L123">
        <v>2.9474450000000001</v>
      </c>
      <c r="M123">
        <v>2.9549970000000001</v>
      </c>
      <c r="N123">
        <v>2.919025</v>
      </c>
      <c r="O123">
        <v>2.8847429999999998</v>
      </c>
      <c r="P123">
        <v>2.9449260000000002</v>
      </c>
      <c r="Q123">
        <v>3.013639</v>
      </c>
      <c r="R123">
        <v>3.0156040000000002</v>
      </c>
      <c r="S123">
        <v>3.0217420000000002</v>
      </c>
      <c r="T123">
        <v>3.026796</v>
      </c>
      <c r="U123">
        <v>3.0364469999999999</v>
      </c>
      <c r="V123">
        <v>2.848052</v>
      </c>
      <c r="W123">
        <v>2.8028119999999999</v>
      </c>
      <c r="X123">
        <v>2.7903280000000001</v>
      </c>
      <c r="Y123">
        <v>2.796951</v>
      </c>
      <c r="Z123">
        <v>2.8148599999999999</v>
      </c>
      <c r="AA123">
        <v>2.8438720000000002</v>
      </c>
      <c r="AB123">
        <v>2.867083</v>
      </c>
      <c r="AC123">
        <v>2.8722720000000002</v>
      </c>
      <c r="AD123">
        <v>2.8769149999999999</v>
      </c>
      <c r="AE123">
        <v>2.873437</v>
      </c>
      <c r="AF123">
        <v>2.897027</v>
      </c>
      <c r="AG123">
        <v>2.918561</v>
      </c>
      <c r="AH123">
        <v>2.9396620000000002</v>
      </c>
      <c r="AI123">
        <v>2.9533369999999999</v>
      </c>
      <c r="AJ123">
        <v>2.9772759999999998</v>
      </c>
      <c r="AK123">
        <v>3.00291</v>
      </c>
      <c r="AL123">
        <v>3.0371739999999998</v>
      </c>
      <c r="AM123">
        <v>3.059043</v>
      </c>
      <c r="AN123">
        <v>3.0656810000000001</v>
      </c>
      <c r="AO123">
        <v>3.1030890000000002</v>
      </c>
      <c r="AP123" s="7">
        <v>3.0000000000000001E-3</v>
      </c>
    </row>
    <row r="124" spans="1:42" x14ac:dyDescent="0.25">
      <c r="A124" t="s">
        <v>80</v>
      </c>
      <c r="B124" t="s">
        <v>79</v>
      </c>
      <c r="C124" t="s">
        <v>317</v>
      </c>
      <c r="D124" t="s">
        <v>42</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t="s">
        <v>0</v>
      </c>
    </row>
    <row r="125" spans="1:42" x14ac:dyDescent="0.25">
      <c r="A125" t="s">
        <v>78</v>
      </c>
      <c r="B125" t="s">
        <v>77</v>
      </c>
      <c r="C125" t="s">
        <v>316</v>
      </c>
      <c r="D125" t="s">
        <v>42</v>
      </c>
      <c r="H125">
        <v>0.283586</v>
      </c>
      <c r="I125">
        <v>0.29477799999999998</v>
      </c>
      <c r="J125">
        <v>0.29870200000000002</v>
      </c>
      <c r="K125">
        <v>0.28741899999999998</v>
      </c>
      <c r="L125">
        <v>0.28536099999999998</v>
      </c>
      <c r="M125">
        <v>0.26723200000000003</v>
      </c>
      <c r="N125">
        <v>0.26649600000000001</v>
      </c>
      <c r="O125">
        <v>0.26502599999999998</v>
      </c>
      <c r="P125">
        <v>0.27020499999999997</v>
      </c>
      <c r="Q125">
        <v>0.26961400000000002</v>
      </c>
      <c r="R125">
        <v>0.27246300000000001</v>
      </c>
      <c r="S125">
        <v>0.28994399999999998</v>
      </c>
      <c r="T125">
        <v>0.29267399999999999</v>
      </c>
      <c r="U125">
        <v>0.30782799999999999</v>
      </c>
      <c r="V125">
        <v>0.31601099999999999</v>
      </c>
      <c r="W125">
        <v>0.32309300000000002</v>
      </c>
      <c r="X125">
        <v>0.32730100000000001</v>
      </c>
      <c r="Y125">
        <v>0.32014199999999998</v>
      </c>
      <c r="Z125">
        <v>0.31878499999999999</v>
      </c>
      <c r="AA125">
        <v>0.31233699999999998</v>
      </c>
      <c r="AB125">
        <v>0.30601299999999998</v>
      </c>
      <c r="AC125">
        <v>0.30664799999999998</v>
      </c>
      <c r="AD125">
        <v>0.30275099999999999</v>
      </c>
      <c r="AE125">
        <v>0.30848100000000001</v>
      </c>
      <c r="AF125">
        <v>0.31149199999999999</v>
      </c>
      <c r="AG125">
        <v>0.32236799999999999</v>
      </c>
      <c r="AH125">
        <v>0.327544</v>
      </c>
      <c r="AI125">
        <v>0.320268</v>
      </c>
      <c r="AJ125">
        <v>0.31587500000000002</v>
      </c>
      <c r="AK125">
        <v>0.32370700000000002</v>
      </c>
      <c r="AL125">
        <v>0.32103999999999999</v>
      </c>
      <c r="AM125">
        <v>0.34842299999999998</v>
      </c>
      <c r="AN125">
        <v>0.348856</v>
      </c>
      <c r="AO125">
        <v>0.34811399999999998</v>
      </c>
      <c r="AP125" s="7">
        <v>0</v>
      </c>
    </row>
    <row r="126" spans="1:42" x14ac:dyDescent="0.25">
      <c r="A126" t="s">
        <v>76</v>
      </c>
      <c r="B126" t="s">
        <v>75</v>
      </c>
      <c r="C126" t="s">
        <v>315</v>
      </c>
      <c r="D126" t="s">
        <v>42</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t="s">
        <v>0</v>
      </c>
    </row>
    <row r="127" spans="1:42" x14ac:dyDescent="0.25">
      <c r="A127" t="s">
        <v>74</v>
      </c>
      <c r="B127" t="s">
        <v>73</v>
      </c>
      <c r="C127" t="s">
        <v>314</v>
      </c>
      <c r="D127" t="s">
        <v>42</v>
      </c>
      <c r="H127">
        <v>4.1980999999999997E-2</v>
      </c>
      <c r="I127">
        <v>4.3070999999999998E-2</v>
      </c>
      <c r="J127">
        <v>4.4200999999999997E-2</v>
      </c>
      <c r="K127">
        <v>4.6810999999999998E-2</v>
      </c>
      <c r="L127">
        <v>4.5700999999999999E-2</v>
      </c>
      <c r="M127">
        <v>4.6574999999999998E-2</v>
      </c>
      <c r="N127">
        <v>4.3118999999999998E-2</v>
      </c>
      <c r="O127">
        <v>4.3049999999999998E-2</v>
      </c>
      <c r="P127">
        <v>4.3298999999999997E-2</v>
      </c>
      <c r="Q127">
        <v>4.3723999999999999E-2</v>
      </c>
      <c r="R127">
        <v>4.385E-2</v>
      </c>
      <c r="S127">
        <v>4.3901999999999997E-2</v>
      </c>
      <c r="T127">
        <v>4.3886000000000001E-2</v>
      </c>
      <c r="U127">
        <v>4.3822E-2</v>
      </c>
      <c r="V127">
        <v>4.2320999999999998E-2</v>
      </c>
      <c r="W127">
        <v>4.2278999999999997E-2</v>
      </c>
      <c r="X127">
        <v>4.2303E-2</v>
      </c>
      <c r="Y127">
        <v>4.2472000000000003E-2</v>
      </c>
      <c r="Z127">
        <v>4.2698E-2</v>
      </c>
      <c r="AA127">
        <v>4.2964000000000002E-2</v>
      </c>
      <c r="AB127">
        <v>4.3365000000000001E-2</v>
      </c>
      <c r="AC127">
        <v>4.3456000000000002E-2</v>
      </c>
      <c r="AD127">
        <v>4.3636000000000001E-2</v>
      </c>
      <c r="AE127">
        <v>4.3931999999999999E-2</v>
      </c>
      <c r="AF127">
        <v>4.4249999999999998E-2</v>
      </c>
      <c r="AG127">
        <v>4.4592E-2</v>
      </c>
      <c r="AH127">
        <v>4.4947000000000001E-2</v>
      </c>
      <c r="AI127">
        <v>4.5471999999999999E-2</v>
      </c>
      <c r="AJ127">
        <v>4.5787000000000001E-2</v>
      </c>
      <c r="AK127">
        <v>4.6153E-2</v>
      </c>
      <c r="AL127">
        <v>4.6441999999999997E-2</v>
      </c>
      <c r="AM127">
        <v>4.6452E-2</v>
      </c>
      <c r="AN127">
        <v>4.6677000000000003E-2</v>
      </c>
      <c r="AO127">
        <v>4.6808000000000002E-2</v>
      </c>
      <c r="AP127" s="7">
        <v>5.0000000000000001E-3</v>
      </c>
    </row>
    <row r="128" spans="1:42" x14ac:dyDescent="0.25">
      <c r="A128" t="s">
        <v>72</v>
      </c>
      <c r="B128" t="s">
        <v>71</v>
      </c>
      <c r="C128" t="s">
        <v>313</v>
      </c>
      <c r="D128" t="s">
        <v>42</v>
      </c>
      <c r="H128">
        <v>3.1532650000000002</v>
      </c>
      <c r="I128">
        <v>3.290203</v>
      </c>
      <c r="J128">
        <v>3.2922129999999998</v>
      </c>
      <c r="K128">
        <v>3.1819489999999999</v>
      </c>
      <c r="L128">
        <v>3.2785069999999998</v>
      </c>
      <c r="M128">
        <v>3.2688039999999998</v>
      </c>
      <c r="N128">
        <v>3.22864</v>
      </c>
      <c r="O128">
        <v>3.1928179999999999</v>
      </c>
      <c r="P128">
        <v>3.2584300000000002</v>
      </c>
      <c r="Q128">
        <v>3.3269769999999999</v>
      </c>
      <c r="R128">
        <v>3.3319169999999998</v>
      </c>
      <c r="S128">
        <v>3.355588</v>
      </c>
      <c r="T128">
        <v>3.363356</v>
      </c>
      <c r="U128">
        <v>3.3880970000000001</v>
      </c>
      <c r="V128">
        <v>3.2063830000000002</v>
      </c>
      <c r="W128">
        <v>3.1681840000000001</v>
      </c>
      <c r="X128">
        <v>3.1599330000000001</v>
      </c>
      <c r="Y128">
        <v>3.1595650000000002</v>
      </c>
      <c r="Z128">
        <v>3.1763430000000001</v>
      </c>
      <c r="AA128">
        <v>3.199173</v>
      </c>
      <c r="AB128">
        <v>3.2164609999999998</v>
      </c>
      <c r="AC128">
        <v>3.222375</v>
      </c>
      <c r="AD128">
        <v>3.223303</v>
      </c>
      <c r="AE128">
        <v>3.225851</v>
      </c>
      <c r="AF128">
        <v>3.2527689999999998</v>
      </c>
      <c r="AG128">
        <v>3.2855210000000001</v>
      </c>
      <c r="AH128">
        <v>3.312154</v>
      </c>
      <c r="AI128">
        <v>3.3190770000000001</v>
      </c>
      <c r="AJ128">
        <v>3.3389380000000002</v>
      </c>
      <c r="AK128">
        <v>3.3727689999999999</v>
      </c>
      <c r="AL128">
        <v>3.4046569999999998</v>
      </c>
      <c r="AM128">
        <v>3.4539179999999998</v>
      </c>
      <c r="AN128">
        <v>3.461214</v>
      </c>
      <c r="AO128">
        <v>3.498011</v>
      </c>
      <c r="AP128" s="7">
        <v>3.0000000000000001E-3</v>
      </c>
    </row>
    <row r="129" spans="1:42" x14ac:dyDescent="0.25">
      <c r="A129" t="s">
        <v>70</v>
      </c>
      <c r="B129" t="s">
        <v>69</v>
      </c>
      <c r="C129" t="s">
        <v>312</v>
      </c>
      <c r="D129" t="s">
        <v>42</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t="s">
        <v>0</v>
      </c>
    </row>
    <row r="130" spans="1:42" x14ac:dyDescent="0.25">
      <c r="A130" t="s">
        <v>68</v>
      </c>
      <c r="B130" t="s">
        <v>67</v>
      </c>
      <c r="C130" t="s">
        <v>311</v>
      </c>
      <c r="D130" t="s">
        <v>42</v>
      </c>
      <c r="H130">
        <v>0.14021400000000001</v>
      </c>
      <c r="I130">
        <v>0.167684</v>
      </c>
      <c r="J130">
        <v>0.14306099999999999</v>
      </c>
      <c r="K130">
        <v>0.117439</v>
      </c>
      <c r="L130">
        <v>9.0961E-2</v>
      </c>
      <c r="M130">
        <v>9.3276999999999999E-2</v>
      </c>
      <c r="N130">
        <v>9.4144000000000005E-2</v>
      </c>
      <c r="O130">
        <v>9.6609E-2</v>
      </c>
      <c r="P130">
        <v>9.5755999999999994E-2</v>
      </c>
      <c r="Q130">
        <v>5.7970000000000001E-2</v>
      </c>
      <c r="R130">
        <v>5.7910000000000003E-2</v>
      </c>
      <c r="S130">
        <v>5.7999000000000002E-2</v>
      </c>
      <c r="T130">
        <v>5.7978000000000002E-2</v>
      </c>
      <c r="U130">
        <v>5.7908000000000001E-2</v>
      </c>
      <c r="V130">
        <v>5.7870999999999999E-2</v>
      </c>
      <c r="W130">
        <v>5.7835999999999999E-2</v>
      </c>
      <c r="X130">
        <v>5.7806999999999997E-2</v>
      </c>
      <c r="Y130">
        <v>5.7763000000000002E-2</v>
      </c>
      <c r="Z130">
        <v>5.7734000000000001E-2</v>
      </c>
      <c r="AA130">
        <v>5.7591000000000003E-2</v>
      </c>
      <c r="AB130">
        <v>5.7445999999999997E-2</v>
      </c>
      <c r="AC130">
        <v>5.7320000000000003E-2</v>
      </c>
      <c r="AD130">
        <v>5.7188000000000003E-2</v>
      </c>
      <c r="AE130">
        <v>5.7047E-2</v>
      </c>
      <c r="AF130">
        <v>5.6628999999999999E-2</v>
      </c>
      <c r="AG130">
        <v>5.6034E-2</v>
      </c>
      <c r="AH130">
        <v>5.5468999999999997E-2</v>
      </c>
      <c r="AI130">
        <v>5.4844999999999998E-2</v>
      </c>
      <c r="AJ130">
        <v>5.4358999999999998E-2</v>
      </c>
      <c r="AK130">
        <v>5.4468000000000003E-2</v>
      </c>
      <c r="AL130">
        <v>5.4578000000000002E-2</v>
      </c>
      <c r="AM130">
        <v>5.4671999999999998E-2</v>
      </c>
      <c r="AN130">
        <v>5.4789999999999998E-2</v>
      </c>
      <c r="AO130">
        <v>5.4940999999999997E-2</v>
      </c>
      <c r="AP130" s="7">
        <v>-3.7999999999999999E-2</v>
      </c>
    </row>
    <row r="131" spans="1:42" x14ac:dyDescent="0.25">
      <c r="A131" t="s">
        <v>66</v>
      </c>
      <c r="B131" t="s">
        <v>65</v>
      </c>
      <c r="C131" t="s">
        <v>310</v>
      </c>
      <c r="D131" t="s">
        <v>42</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t="s">
        <v>0</v>
      </c>
    </row>
    <row r="132" spans="1:42" x14ac:dyDescent="0.25">
      <c r="A132" t="s">
        <v>64</v>
      </c>
      <c r="B132" t="s">
        <v>63</v>
      </c>
      <c r="C132" t="s">
        <v>309</v>
      </c>
      <c r="D132" t="s">
        <v>42</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t="s">
        <v>0</v>
      </c>
    </row>
    <row r="133" spans="1:42" x14ac:dyDescent="0.25">
      <c r="A133" t="s">
        <v>62</v>
      </c>
      <c r="B133" t="s">
        <v>61</v>
      </c>
      <c r="C133" t="s">
        <v>308</v>
      </c>
      <c r="D133" t="s">
        <v>42</v>
      </c>
      <c r="H133">
        <v>0.14021400000000001</v>
      </c>
      <c r="I133">
        <v>0.167684</v>
      </c>
      <c r="J133">
        <v>0.14306099999999999</v>
      </c>
      <c r="K133">
        <v>0.117439</v>
      </c>
      <c r="L133">
        <v>9.0961E-2</v>
      </c>
      <c r="M133">
        <v>9.3276999999999999E-2</v>
      </c>
      <c r="N133">
        <v>9.4144000000000005E-2</v>
      </c>
      <c r="O133">
        <v>9.6609E-2</v>
      </c>
      <c r="P133">
        <v>9.5755999999999994E-2</v>
      </c>
      <c r="Q133">
        <v>5.7970000000000001E-2</v>
      </c>
      <c r="R133">
        <v>5.7910000000000003E-2</v>
      </c>
      <c r="S133">
        <v>5.7999000000000002E-2</v>
      </c>
      <c r="T133">
        <v>5.7978000000000002E-2</v>
      </c>
      <c r="U133">
        <v>5.7908000000000001E-2</v>
      </c>
      <c r="V133">
        <v>5.7870999999999999E-2</v>
      </c>
      <c r="W133">
        <v>5.7835999999999999E-2</v>
      </c>
      <c r="X133">
        <v>5.7806999999999997E-2</v>
      </c>
      <c r="Y133">
        <v>5.7763000000000002E-2</v>
      </c>
      <c r="Z133">
        <v>5.7734000000000001E-2</v>
      </c>
      <c r="AA133">
        <v>5.7591000000000003E-2</v>
      </c>
      <c r="AB133">
        <v>5.7445999999999997E-2</v>
      </c>
      <c r="AC133">
        <v>5.7320000000000003E-2</v>
      </c>
      <c r="AD133">
        <v>5.7188000000000003E-2</v>
      </c>
      <c r="AE133">
        <v>5.7047E-2</v>
      </c>
      <c r="AF133">
        <v>5.6628999999999999E-2</v>
      </c>
      <c r="AG133">
        <v>5.6034E-2</v>
      </c>
      <c r="AH133">
        <v>5.5468999999999997E-2</v>
      </c>
      <c r="AI133">
        <v>5.4844999999999998E-2</v>
      </c>
      <c r="AJ133">
        <v>5.4358999999999998E-2</v>
      </c>
      <c r="AK133">
        <v>5.4468000000000003E-2</v>
      </c>
      <c r="AL133">
        <v>5.4578000000000002E-2</v>
      </c>
      <c r="AM133">
        <v>5.4671999999999998E-2</v>
      </c>
      <c r="AN133">
        <v>5.4789999999999998E-2</v>
      </c>
      <c r="AO133">
        <v>5.4940999999999997E-2</v>
      </c>
      <c r="AP133" s="7">
        <v>-3.7999999999999999E-2</v>
      </c>
    </row>
    <row r="134" spans="1:42" x14ac:dyDescent="0.25">
      <c r="A134" t="s">
        <v>60</v>
      </c>
      <c r="B134" t="s">
        <v>59</v>
      </c>
      <c r="C134" t="s">
        <v>307</v>
      </c>
      <c r="D134" t="s">
        <v>42</v>
      </c>
      <c r="H134">
        <v>0.28512100000000001</v>
      </c>
      <c r="I134">
        <v>0.28783300000000001</v>
      </c>
      <c r="J134">
        <v>0.28642200000000001</v>
      </c>
      <c r="K134">
        <v>0.27961599999999998</v>
      </c>
      <c r="L134">
        <v>0.280111</v>
      </c>
      <c r="M134">
        <v>0.28257900000000002</v>
      </c>
      <c r="N134">
        <v>0.28235399999999999</v>
      </c>
      <c r="O134">
        <v>0.28212900000000002</v>
      </c>
      <c r="P134">
        <v>0.18696099999999999</v>
      </c>
      <c r="Q134">
        <v>9.5522999999999997E-2</v>
      </c>
      <c r="R134">
        <v>9.5522999999999997E-2</v>
      </c>
      <c r="S134">
        <v>9.5522999999999997E-2</v>
      </c>
      <c r="T134">
        <v>9.5522999999999997E-2</v>
      </c>
      <c r="U134">
        <v>9.5522999999999997E-2</v>
      </c>
      <c r="V134">
        <v>9.5522999999999997E-2</v>
      </c>
      <c r="W134">
        <v>9.5522999999999997E-2</v>
      </c>
      <c r="X134">
        <v>9.5522999999999997E-2</v>
      </c>
      <c r="Y134">
        <v>9.5522999999999997E-2</v>
      </c>
      <c r="Z134">
        <v>9.5522999999999997E-2</v>
      </c>
      <c r="AA134">
        <v>9.5522999999999997E-2</v>
      </c>
      <c r="AB134">
        <v>9.5522999999999997E-2</v>
      </c>
      <c r="AC134">
        <v>9.5522999999999997E-2</v>
      </c>
      <c r="AD134">
        <v>9.5522999999999997E-2</v>
      </c>
      <c r="AE134">
        <v>9.5522999999999997E-2</v>
      </c>
      <c r="AF134">
        <v>9.5522999999999997E-2</v>
      </c>
      <c r="AG134">
        <v>9.5522999999999997E-2</v>
      </c>
      <c r="AH134">
        <v>9.5522999999999997E-2</v>
      </c>
      <c r="AI134">
        <v>9.5522999999999997E-2</v>
      </c>
      <c r="AJ134">
        <v>9.5522999999999997E-2</v>
      </c>
      <c r="AK134">
        <v>9.5522999999999997E-2</v>
      </c>
      <c r="AL134">
        <v>9.5522999999999997E-2</v>
      </c>
      <c r="AM134">
        <v>9.5522999999999997E-2</v>
      </c>
      <c r="AN134">
        <v>9.5522999999999997E-2</v>
      </c>
      <c r="AO134">
        <v>9.5522999999999997E-2</v>
      </c>
      <c r="AP134" s="7">
        <v>-3.2000000000000001E-2</v>
      </c>
    </row>
    <row r="135" spans="1:42" x14ac:dyDescent="0.25">
      <c r="A135" t="s">
        <v>58</v>
      </c>
      <c r="B135" t="s">
        <v>57</v>
      </c>
      <c r="C135" t="s">
        <v>306</v>
      </c>
      <c r="D135" t="s">
        <v>42</v>
      </c>
      <c r="H135">
        <v>0.111349</v>
      </c>
      <c r="I135">
        <v>0.11107400000000001</v>
      </c>
      <c r="J135">
        <v>0.128689</v>
      </c>
      <c r="K135">
        <v>0.12955700000000001</v>
      </c>
      <c r="L135">
        <v>0.13327900000000001</v>
      </c>
      <c r="M135">
        <v>0.13589599999999999</v>
      </c>
      <c r="N135">
        <v>0.13069800000000001</v>
      </c>
      <c r="O135">
        <v>0.13081699999999999</v>
      </c>
      <c r="P135">
        <v>0.13226299999999999</v>
      </c>
      <c r="Q135">
        <v>0.13269600000000001</v>
      </c>
      <c r="R135">
        <v>0.13301199999999999</v>
      </c>
      <c r="S135">
        <v>0.133239</v>
      </c>
      <c r="T135">
        <v>0.13320199999999999</v>
      </c>
      <c r="U135">
        <v>0.134045</v>
      </c>
      <c r="V135">
        <v>0.13453499999999999</v>
      </c>
      <c r="W135">
        <v>0.13508200000000001</v>
      </c>
      <c r="X135">
        <v>0.13577700000000001</v>
      </c>
      <c r="Y135">
        <v>0.136379</v>
      </c>
      <c r="Z135">
        <v>0.13703599999999999</v>
      </c>
      <c r="AA135">
        <v>0.13771600000000001</v>
      </c>
      <c r="AB135">
        <v>0.13852300000000001</v>
      </c>
      <c r="AC135">
        <v>0.139372</v>
      </c>
      <c r="AD135">
        <v>0.140374</v>
      </c>
      <c r="AE135">
        <v>0.14244399999999999</v>
      </c>
      <c r="AF135">
        <v>0.14342199999999999</v>
      </c>
      <c r="AG135">
        <v>0.144458</v>
      </c>
      <c r="AH135">
        <v>0.14554900000000001</v>
      </c>
      <c r="AI135">
        <v>0.14669199999999999</v>
      </c>
      <c r="AJ135">
        <v>0.14794399999999999</v>
      </c>
      <c r="AK135">
        <v>0.14926200000000001</v>
      </c>
      <c r="AL135">
        <v>0.15062900000000001</v>
      </c>
      <c r="AM135">
        <v>0.15317500000000001</v>
      </c>
      <c r="AN135">
        <v>0.15471199999999999</v>
      </c>
      <c r="AO135">
        <v>0.156365</v>
      </c>
      <c r="AP135" s="7">
        <v>-5.0000000000000001E-3</v>
      </c>
    </row>
    <row r="136" spans="1:42" x14ac:dyDescent="0.25">
      <c r="A136" t="s">
        <v>56</v>
      </c>
      <c r="B136" t="s">
        <v>55</v>
      </c>
      <c r="C136" t="s">
        <v>305</v>
      </c>
      <c r="D136" t="s">
        <v>42</v>
      </c>
      <c r="H136">
        <v>2.4880620000000002</v>
      </c>
      <c r="I136">
        <v>2.4706769999999998</v>
      </c>
      <c r="J136">
        <v>2.3776670000000002</v>
      </c>
      <c r="K136">
        <v>2.3084750000000001</v>
      </c>
      <c r="L136">
        <v>2.2102010000000001</v>
      </c>
      <c r="M136">
        <v>2.3506079999999998</v>
      </c>
      <c r="N136">
        <v>2.440086</v>
      </c>
      <c r="O136">
        <v>2.5084279999999999</v>
      </c>
      <c r="P136">
        <v>2.4866239999999999</v>
      </c>
      <c r="Q136">
        <v>2.4724029999999999</v>
      </c>
      <c r="R136">
        <v>2.4750269999999999</v>
      </c>
      <c r="S136">
        <v>2.4752580000000002</v>
      </c>
      <c r="T136">
        <v>2.490939</v>
      </c>
      <c r="U136">
        <v>2.537515</v>
      </c>
      <c r="V136">
        <v>2.6219100000000002</v>
      </c>
      <c r="W136">
        <v>2.6570330000000002</v>
      </c>
      <c r="X136">
        <v>2.6586150000000002</v>
      </c>
      <c r="Y136">
        <v>2.6726580000000002</v>
      </c>
      <c r="Z136">
        <v>2.6827740000000002</v>
      </c>
      <c r="AA136">
        <v>2.7012710000000002</v>
      </c>
      <c r="AB136">
        <v>2.7070949999999998</v>
      </c>
      <c r="AC136">
        <v>2.7124229999999998</v>
      </c>
      <c r="AD136">
        <v>2.7235360000000002</v>
      </c>
      <c r="AE136">
        <v>2.762877</v>
      </c>
      <c r="AF136">
        <v>2.7673899999999998</v>
      </c>
      <c r="AG136">
        <v>2.8247800000000001</v>
      </c>
      <c r="AH136">
        <v>2.9102510000000001</v>
      </c>
      <c r="AI136">
        <v>2.9407890000000001</v>
      </c>
      <c r="AJ136">
        <v>2.978361</v>
      </c>
      <c r="AK136">
        <v>3.0188929999999998</v>
      </c>
      <c r="AL136">
        <v>3.0646429999999998</v>
      </c>
      <c r="AM136">
        <v>3.0562290000000001</v>
      </c>
      <c r="AN136">
        <v>3.1068630000000002</v>
      </c>
      <c r="AO136">
        <v>3.1466400000000001</v>
      </c>
      <c r="AP136" s="7">
        <v>0.01</v>
      </c>
    </row>
    <row r="137" spans="1:42" x14ac:dyDescent="0.25">
      <c r="A137" t="s">
        <v>19</v>
      </c>
      <c r="B137" t="s">
        <v>54</v>
      </c>
      <c r="C137" t="s">
        <v>304</v>
      </c>
      <c r="D137" t="s">
        <v>42</v>
      </c>
      <c r="H137">
        <v>9.2999999999999997E-5</v>
      </c>
      <c r="I137">
        <v>1.92E-4</v>
      </c>
      <c r="J137">
        <v>9.8999999999999994E-5</v>
      </c>
      <c r="K137">
        <v>2.2100000000000001E-4</v>
      </c>
      <c r="L137">
        <v>3.3199999999999999E-4</v>
      </c>
      <c r="M137">
        <v>3.9599999999999998E-4</v>
      </c>
      <c r="N137">
        <v>4.4499999999999997E-4</v>
      </c>
      <c r="O137">
        <v>4.8299999999999998E-4</v>
      </c>
      <c r="P137">
        <v>5.1900000000000004E-4</v>
      </c>
      <c r="Q137">
        <v>5.5099999999999995E-4</v>
      </c>
      <c r="R137">
        <v>5.8299999999999997E-4</v>
      </c>
      <c r="S137">
        <v>6.1499999999999999E-4</v>
      </c>
      <c r="T137">
        <v>6.4999999999999997E-4</v>
      </c>
      <c r="U137">
        <v>6.8599999999999998E-4</v>
      </c>
      <c r="V137">
        <v>7.27E-4</v>
      </c>
      <c r="W137">
        <v>7.7300000000000003E-4</v>
      </c>
      <c r="X137">
        <v>8.1999999999999998E-4</v>
      </c>
      <c r="Y137">
        <v>8.7000000000000001E-4</v>
      </c>
      <c r="Z137">
        <v>9.19E-4</v>
      </c>
      <c r="AA137">
        <v>9.6900000000000003E-4</v>
      </c>
      <c r="AB137">
        <v>1.0169999999999999E-3</v>
      </c>
      <c r="AC137">
        <v>1.067E-3</v>
      </c>
      <c r="AD137">
        <v>1.119E-3</v>
      </c>
      <c r="AE137">
        <v>1.17E-3</v>
      </c>
      <c r="AF137">
        <v>1.2210000000000001E-3</v>
      </c>
      <c r="AG137">
        <v>1.274E-3</v>
      </c>
      <c r="AH137">
        <v>1.3259999999999999E-3</v>
      </c>
      <c r="AI137">
        <v>1.3780000000000001E-3</v>
      </c>
      <c r="AJ137">
        <v>1.431E-3</v>
      </c>
      <c r="AK137">
        <v>1.4840000000000001E-3</v>
      </c>
      <c r="AL137">
        <v>1.534E-3</v>
      </c>
      <c r="AM137">
        <v>1.5820000000000001E-3</v>
      </c>
      <c r="AN137">
        <v>1.627E-3</v>
      </c>
      <c r="AO137">
        <v>1.67E-3</v>
      </c>
      <c r="AP137" s="7">
        <v>0.11</v>
      </c>
    </row>
    <row r="138" spans="1:42" x14ac:dyDescent="0.25">
      <c r="A138" t="s">
        <v>53</v>
      </c>
      <c r="B138" t="s">
        <v>52</v>
      </c>
      <c r="C138" t="s">
        <v>303</v>
      </c>
      <c r="D138" t="s">
        <v>42</v>
      </c>
      <c r="H138">
        <v>5.5599999999999998E-3</v>
      </c>
      <c r="I138">
        <v>5.5599999999999998E-3</v>
      </c>
      <c r="J138">
        <v>5.2700000000000004E-3</v>
      </c>
      <c r="K138">
        <v>5.5420000000000001E-3</v>
      </c>
      <c r="L138">
        <v>5.6769999999999998E-3</v>
      </c>
      <c r="M138">
        <v>5.6769999999999998E-3</v>
      </c>
      <c r="N138">
        <v>5.6769999999999998E-3</v>
      </c>
      <c r="O138">
        <v>5.6769999999999998E-3</v>
      </c>
      <c r="P138">
        <v>5.6769999999999998E-3</v>
      </c>
      <c r="Q138">
        <v>5.6769999999999998E-3</v>
      </c>
      <c r="R138">
        <v>5.6769999999999998E-3</v>
      </c>
      <c r="S138">
        <v>5.6769999999999998E-3</v>
      </c>
      <c r="T138">
        <v>5.6769999999999998E-3</v>
      </c>
      <c r="U138">
        <v>5.6769999999999998E-3</v>
      </c>
      <c r="V138">
        <v>5.6769999999999998E-3</v>
      </c>
      <c r="W138">
        <v>5.6769999999999998E-3</v>
      </c>
      <c r="X138">
        <v>5.6769999999999998E-3</v>
      </c>
      <c r="Y138">
        <v>5.6769999999999998E-3</v>
      </c>
      <c r="Z138">
        <v>5.6769999999999998E-3</v>
      </c>
      <c r="AA138">
        <v>5.6769999999999998E-3</v>
      </c>
      <c r="AB138">
        <v>5.6769999999999998E-3</v>
      </c>
      <c r="AC138">
        <v>5.6769999999999998E-3</v>
      </c>
      <c r="AD138">
        <v>5.6769999999999998E-3</v>
      </c>
      <c r="AE138">
        <v>5.6769999999999998E-3</v>
      </c>
      <c r="AF138">
        <v>5.6769999999999998E-3</v>
      </c>
      <c r="AG138">
        <v>5.6769999999999998E-3</v>
      </c>
      <c r="AH138">
        <v>5.6769999999999998E-3</v>
      </c>
      <c r="AI138">
        <v>5.6769999999999998E-3</v>
      </c>
      <c r="AJ138">
        <v>5.6769999999999998E-3</v>
      </c>
      <c r="AK138">
        <v>5.6769999999999998E-3</v>
      </c>
      <c r="AL138">
        <v>5.6769999999999998E-3</v>
      </c>
      <c r="AM138">
        <v>5.6769999999999998E-3</v>
      </c>
      <c r="AN138">
        <v>5.6769999999999998E-3</v>
      </c>
      <c r="AO138">
        <v>5.6769999999999998E-3</v>
      </c>
      <c r="AP138" s="7">
        <v>0</v>
      </c>
    </row>
    <row r="139" spans="1:42" x14ac:dyDescent="0.25">
      <c r="A139" t="s">
        <v>51</v>
      </c>
      <c r="B139" t="s">
        <v>50</v>
      </c>
      <c r="C139" t="s">
        <v>302</v>
      </c>
      <c r="D139" t="s">
        <v>42</v>
      </c>
      <c r="H139">
        <v>1.5768999999999998E-2</v>
      </c>
      <c r="I139">
        <v>1.5095000000000001E-2</v>
      </c>
      <c r="J139">
        <v>1.2452E-2</v>
      </c>
      <c r="K139">
        <v>3.336E-3</v>
      </c>
      <c r="L139">
        <v>3.6347999999999998E-2</v>
      </c>
      <c r="M139">
        <v>2.7438000000000001E-2</v>
      </c>
      <c r="N139">
        <v>2.3605000000000001E-2</v>
      </c>
      <c r="O139">
        <v>2.4104E-2</v>
      </c>
      <c r="P139">
        <v>2.2422000000000001E-2</v>
      </c>
      <c r="Q139">
        <v>2.3258999999999998E-2</v>
      </c>
      <c r="R139">
        <v>2.5603000000000001E-2</v>
      </c>
      <c r="S139">
        <v>2.6981999999999999E-2</v>
      </c>
      <c r="T139">
        <v>2.7456999999999999E-2</v>
      </c>
      <c r="U139">
        <v>2.8506E-2</v>
      </c>
      <c r="V139">
        <v>2.7238999999999999E-2</v>
      </c>
      <c r="W139">
        <v>2.7878E-2</v>
      </c>
      <c r="X139">
        <v>2.7113000000000002E-2</v>
      </c>
      <c r="Y139">
        <v>2.7949999999999999E-2</v>
      </c>
      <c r="Z139">
        <v>2.7089999999999999E-2</v>
      </c>
      <c r="AA139">
        <v>2.6584E-2</v>
      </c>
      <c r="AB139">
        <v>2.6182E-2</v>
      </c>
      <c r="AC139">
        <v>2.6329000000000002E-2</v>
      </c>
      <c r="AD139">
        <v>2.6813E-2</v>
      </c>
      <c r="AE139">
        <v>2.6977999999999999E-2</v>
      </c>
      <c r="AF139">
        <v>2.6187999999999999E-2</v>
      </c>
      <c r="AG139">
        <v>2.5752000000000001E-2</v>
      </c>
      <c r="AH139">
        <v>2.5309999999999999E-2</v>
      </c>
      <c r="AI139">
        <v>2.5770999999999999E-2</v>
      </c>
      <c r="AJ139">
        <v>2.5211999999999998E-2</v>
      </c>
      <c r="AK139">
        <v>2.5301000000000001E-2</v>
      </c>
      <c r="AL139">
        <v>2.5305999999999999E-2</v>
      </c>
      <c r="AM139">
        <v>2.5403999999999999E-2</v>
      </c>
      <c r="AN139">
        <v>2.5433000000000001E-2</v>
      </c>
      <c r="AO139">
        <v>2.5498E-2</v>
      </c>
      <c r="AP139" s="7">
        <v>2E-3</v>
      </c>
    </row>
    <row r="140" spans="1:42" x14ac:dyDescent="0.25">
      <c r="A140" t="s">
        <v>29</v>
      </c>
      <c r="B140" t="s">
        <v>49</v>
      </c>
      <c r="C140" t="s">
        <v>301</v>
      </c>
      <c r="D140" t="s">
        <v>42</v>
      </c>
      <c r="H140">
        <v>11.602622999999999</v>
      </c>
      <c r="I140">
        <v>11.782988</v>
      </c>
      <c r="J140">
        <v>11.647322000000001</v>
      </c>
      <c r="K140">
        <v>10.51674</v>
      </c>
      <c r="L140">
        <v>10.864329</v>
      </c>
      <c r="M140">
        <v>11.220551</v>
      </c>
      <c r="N140">
        <v>11.159929</v>
      </c>
      <c r="O140">
        <v>11.186370999999999</v>
      </c>
      <c r="P140">
        <v>11.145455999999999</v>
      </c>
      <c r="Q140">
        <v>11.084114</v>
      </c>
      <c r="R140">
        <v>11.074095</v>
      </c>
      <c r="S140">
        <v>11.094156999999999</v>
      </c>
      <c r="T140">
        <v>11.11051</v>
      </c>
      <c r="U140">
        <v>11.187757</v>
      </c>
      <c r="V140">
        <v>11.083232000000001</v>
      </c>
      <c r="W140">
        <v>11.083072</v>
      </c>
      <c r="X140">
        <v>11.074529999999999</v>
      </c>
      <c r="Y140">
        <v>11.101018</v>
      </c>
      <c r="Z140">
        <v>11.135978</v>
      </c>
      <c r="AA140">
        <v>11.190111999999999</v>
      </c>
      <c r="AB140">
        <v>11.231157</v>
      </c>
      <c r="AC140">
        <v>11.250975</v>
      </c>
      <c r="AD140">
        <v>11.28232</v>
      </c>
      <c r="AE140">
        <v>11.329439000000001</v>
      </c>
      <c r="AF140">
        <v>11.371319</v>
      </c>
      <c r="AG140">
        <v>11.472300000000001</v>
      </c>
      <c r="AH140">
        <v>11.579369</v>
      </c>
      <c r="AI140">
        <v>11.631294</v>
      </c>
      <c r="AJ140">
        <v>11.707326999999999</v>
      </c>
      <c r="AK140">
        <v>11.808317000000001</v>
      </c>
      <c r="AL140">
        <v>11.910640000000001</v>
      </c>
      <c r="AM140">
        <v>11.976437000000001</v>
      </c>
      <c r="AN140">
        <v>12.064042000000001</v>
      </c>
      <c r="AO140">
        <v>12.180542000000001</v>
      </c>
      <c r="AP140" s="7">
        <v>1E-3</v>
      </c>
    </row>
    <row r="141" spans="1:42" x14ac:dyDescent="0.25">
      <c r="A141" t="s">
        <v>1</v>
      </c>
      <c r="C141" t="s">
        <v>300</v>
      </c>
    </row>
    <row r="142" spans="1:42" x14ac:dyDescent="0.25">
      <c r="A142" t="s">
        <v>48</v>
      </c>
      <c r="B142" t="s">
        <v>47</v>
      </c>
      <c r="C142" t="s">
        <v>299</v>
      </c>
      <c r="D142" t="s">
        <v>42</v>
      </c>
      <c r="H142">
        <v>9.4579419999999992</v>
      </c>
      <c r="I142">
        <v>9.6013710000000003</v>
      </c>
      <c r="J142">
        <v>9.6055220000000006</v>
      </c>
      <c r="K142">
        <v>8.5675439999999998</v>
      </c>
      <c r="L142">
        <v>8.9983979999999999</v>
      </c>
      <c r="M142">
        <v>9.2933850000000007</v>
      </c>
      <c r="N142">
        <v>9.1599880000000002</v>
      </c>
      <c r="O142">
        <v>9.1841699999999999</v>
      </c>
      <c r="P142">
        <v>9.2520070000000008</v>
      </c>
      <c r="Q142">
        <v>9.3067250000000001</v>
      </c>
      <c r="R142">
        <v>9.3122760000000007</v>
      </c>
      <c r="S142">
        <v>9.3520079999999997</v>
      </c>
      <c r="T142">
        <v>9.3694579999999998</v>
      </c>
      <c r="U142">
        <v>9.4121190000000006</v>
      </c>
      <c r="V142">
        <v>9.3486720000000005</v>
      </c>
      <c r="W142">
        <v>9.3672090000000008</v>
      </c>
      <c r="X142">
        <v>9.381653</v>
      </c>
      <c r="Y142">
        <v>9.4079610000000002</v>
      </c>
      <c r="Z142">
        <v>9.4437470000000001</v>
      </c>
      <c r="AA142">
        <v>9.4835449999999994</v>
      </c>
      <c r="AB142">
        <v>9.5309760000000008</v>
      </c>
      <c r="AC142">
        <v>9.5713089999999994</v>
      </c>
      <c r="AD142">
        <v>9.6180439999999994</v>
      </c>
      <c r="AE142">
        <v>9.6656069999999996</v>
      </c>
      <c r="AF142">
        <v>9.7184930000000005</v>
      </c>
      <c r="AG142">
        <v>9.7792370000000002</v>
      </c>
      <c r="AH142">
        <v>9.8190749999999998</v>
      </c>
      <c r="AI142">
        <v>9.8687520000000006</v>
      </c>
      <c r="AJ142">
        <v>9.9217980000000008</v>
      </c>
      <c r="AK142">
        <v>9.9919580000000003</v>
      </c>
      <c r="AL142">
        <v>10.051443000000001</v>
      </c>
      <c r="AM142">
        <v>10.133328000000001</v>
      </c>
      <c r="AN142">
        <v>10.202669</v>
      </c>
      <c r="AO142">
        <v>10.290127</v>
      </c>
      <c r="AP142" s="7">
        <v>1E-3</v>
      </c>
    </row>
    <row r="143" spans="1:42" x14ac:dyDescent="0.25">
      <c r="A143" t="s">
        <v>46</v>
      </c>
      <c r="B143" t="s">
        <v>45</v>
      </c>
      <c r="C143" t="s">
        <v>298</v>
      </c>
      <c r="D143" t="s">
        <v>42</v>
      </c>
      <c r="H143">
        <v>11.602622999999999</v>
      </c>
      <c r="I143">
        <v>11.782988</v>
      </c>
      <c r="J143">
        <v>11.647322000000001</v>
      </c>
      <c r="K143">
        <v>10.51674</v>
      </c>
      <c r="L143">
        <v>10.864329</v>
      </c>
      <c r="M143">
        <v>11.220551</v>
      </c>
      <c r="N143">
        <v>11.159929</v>
      </c>
      <c r="O143">
        <v>11.186370999999999</v>
      </c>
      <c r="P143">
        <v>11.145455999999999</v>
      </c>
      <c r="Q143">
        <v>11.084114</v>
      </c>
      <c r="R143">
        <v>11.074095</v>
      </c>
      <c r="S143">
        <v>11.094156999999999</v>
      </c>
      <c r="T143">
        <v>11.11051</v>
      </c>
      <c r="U143">
        <v>11.187757</v>
      </c>
      <c r="V143">
        <v>11.083232000000001</v>
      </c>
      <c r="W143">
        <v>11.083072</v>
      </c>
      <c r="X143">
        <v>11.074529999999999</v>
      </c>
      <c r="Y143">
        <v>11.101018</v>
      </c>
      <c r="Z143">
        <v>11.135978</v>
      </c>
      <c r="AA143">
        <v>11.190111999999999</v>
      </c>
      <c r="AB143">
        <v>11.231157</v>
      </c>
      <c r="AC143">
        <v>11.250975</v>
      </c>
      <c r="AD143">
        <v>11.28232</v>
      </c>
      <c r="AE143">
        <v>11.329439000000001</v>
      </c>
      <c r="AF143">
        <v>11.371319</v>
      </c>
      <c r="AG143">
        <v>11.472300000000001</v>
      </c>
      <c r="AH143">
        <v>11.579369</v>
      </c>
      <c r="AI143">
        <v>11.631294</v>
      </c>
      <c r="AJ143">
        <v>11.707326999999999</v>
      </c>
      <c r="AK143">
        <v>11.808317000000001</v>
      </c>
      <c r="AL143">
        <v>11.910640000000001</v>
      </c>
      <c r="AM143">
        <v>11.976437000000001</v>
      </c>
      <c r="AN143">
        <v>12.064042000000001</v>
      </c>
      <c r="AO143">
        <v>12.180542000000001</v>
      </c>
      <c r="AP143" s="7">
        <v>1E-3</v>
      </c>
    </row>
    <row r="144" spans="1:42" x14ac:dyDescent="0.25">
      <c r="A144" t="s">
        <v>44</v>
      </c>
      <c r="B144" t="s">
        <v>43</v>
      </c>
      <c r="C144" t="s">
        <v>297</v>
      </c>
      <c r="D144" t="s">
        <v>42</v>
      </c>
      <c r="H144">
        <v>0.17319100000000001</v>
      </c>
      <c r="I144">
        <v>0.18026500000000001</v>
      </c>
      <c r="J144">
        <v>0.176757</v>
      </c>
      <c r="K144">
        <v>0.15634000000000001</v>
      </c>
      <c r="L144">
        <v>0.16456599999999999</v>
      </c>
      <c r="M144">
        <v>0.16911000000000001</v>
      </c>
      <c r="N144">
        <v>0.17189599999999999</v>
      </c>
      <c r="O144">
        <v>0.171403</v>
      </c>
      <c r="P144">
        <v>0.170788</v>
      </c>
      <c r="Q144">
        <v>0.16996600000000001</v>
      </c>
      <c r="R144">
        <v>0.16888300000000001</v>
      </c>
      <c r="S144">
        <v>0.16769700000000001</v>
      </c>
      <c r="T144">
        <v>0.166633</v>
      </c>
      <c r="U144">
        <v>0.16580600000000001</v>
      </c>
      <c r="V144">
        <v>0.16506199999999999</v>
      </c>
      <c r="W144">
        <v>0.16427600000000001</v>
      </c>
      <c r="X144">
        <v>0.16372800000000001</v>
      </c>
      <c r="Y144">
        <v>0.16322500000000001</v>
      </c>
      <c r="Z144">
        <v>0.162664</v>
      </c>
      <c r="AA144">
        <v>0.162188</v>
      </c>
      <c r="AB144">
        <v>0.16187299999999999</v>
      </c>
      <c r="AC144">
        <v>0.16165599999999999</v>
      </c>
      <c r="AD144">
        <v>0.161607</v>
      </c>
      <c r="AE144">
        <v>0.16164400000000001</v>
      </c>
      <c r="AF144">
        <v>0.16175200000000001</v>
      </c>
      <c r="AG144">
        <v>0.16192000000000001</v>
      </c>
      <c r="AH144">
        <v>0.162132</v>
      </c>
      <c r="AI144">
        <v>0.16244500000000001</v>
      </c>
      <c r="AJ144">
        <v>0.16284699999999999</v>
      </c>
      <c r="AK144">
        <v>0.16339899999999999</v>
      </c>
      <c r="AL144">
        <v>0.163968</v>
      </c>
      <c r="AM144">
        <v>0.16456699999999999</v>
      </c>
      <c r="AN144">
        <v>0.16529199999999999</v>
      </c>
      <c r="AO144">
        <v>0.16616300000000001</v>
      </c>
      <c r="AP144" s="7">
        <v>-1.2E-2</v>
      </c>
    </row>
    <row r="145" spans="1:42" x14ac:dyDescent="0.25">
      <c r="A145" t="s">
        <v>41</v>
      </c>
      <c r="B145" t="s">
        <v>40</v>
      </c>
      <c r="C145" t="s">
        <v>296</v>
      </c>
      <c r="D145" t="s">
        <v>39</v>
      </c>
      <c r="H145">
        <v>53.473274000000004</v>
      </c>
      <c r="I145">
        <v>53.976073999999997</v>
      </c>
      <c r="J145">
        <v>54.506439</v>
      </c>
      <c r="K145">
        <v>54.504367999999999</v>
      </c>
      <c r="L145">
        <v>54.851779999999998</v>
      </c>
      <c r="M145">
        <v>55.117165</v>
      </c>
      <c r="N145">
        <v>55.439906999999998</v>
      </c>
      <c r="O145">
        <v>55.779986999999998</v>
      </c>
      <c r="P145">
        <v>56.136004999999997</v>
      </c>
      <c r="Q145">
        <v>56.491982</v>
      </c>
      <c r="R145">
        <v>56.848193999999999</v>
      </c>
      <c r="S145">
        <v>57.204998000000003</v>
      </c>
      <c r="T145">
        <v>57.562859000000003</v>
      </c>
      <c r="U145">
        <v>57.919693000000002</v>
      </c>
      <c r="V145">
        <v>58.272342999999999</v>
      </c>
      <c r="W145">
        <v>58.616847999999997</v>
      </c>
      <c r="X145">
        <v>58.951484999999998</v>
      </c>
      <c r="Y145">
        <v>59.277447000000002</v>
      </c>
      <c r="Z145">
        <v>59.593895000000003</v>
      </c>
      <c r="AA145">
        <v>59.900950999999999</v>
      </c>
      <c r="AB145">
        <v>60.199821</v>
      </c>
      <c r="AC145">
        <v>60.491447000000001</v>
      </c>
      <c r="AD145">
        <v>60.778309</v>
      </c>
      <c r="AE145">
        <v>61.06147</v>
      </c>
      <c r="AF145">
        <v>61.342007000000002</v>
      </c>
      <c r="AG145">
        <v>61.621535999999999</v>
      </c>
      <c r="AH145">
        <v>61.899825999999997</v>
      </c>
      <c r="AI145">
        <v>62.17662</v>
      </c>
      <c r="AJ145">
        <v>62.452156000000002</v>
      </c>
      <c r="AK145">
        <v>62.724319000000001</v>
      </c>
      <c r="AL145">
        <v>62.989243000000002</v>
      </c>
      <c r="AM145">
        <v>63.246898999999999</v>
      </c>
      <c r="AN145">
        <v>63.504662000000003</v>
      </c>
      <c r="AO145">
        <v>63.767944</v>
      </c>
      <c r="AP145" s="7">
        <v>6.0000000000000001E-3</v>
      </c>
    </row>
    <row r="146" spans="1:42" x14ac:dyDescent="0.25">
      <c r="A146" t="s">
        <v>38</v>
      </c>
      <c r="B146" t="s">
        <v>37</v>
      </c>
      <c r="C146" t="s">
        <v>295</v>
      </c>
      <c r="D146" t="s">
        <v>36</v>
      </c>
      <c r="H146">
        <v>17096.179688</v>
      </c>
      <c r="I146">
        <v>17581.587890999999</v>
      </c>
      <c r="J146">
        <v>19061.34375</v>
      </c>
      <c r="K146">
        <v>18171.386718999998</v>
      </c>
      <c r="L146">
        <v>19438.871093999998</v>
      </c>
      <c r="M146">
        <v>20303.056640999999</v>
      </c>
      <c r="N146">
        <v>20862.089843999998</v>
      </c>
      <c r="O146">
        <v>21484.091797000001</v>
      </c>
      <c r="P146">
        <v>22061.072265999999</v>
      </c>
      <c r="Q146">
        <v>22609.408202999999</v>
      </c>
      <c r="R146">
        <v>23060.261718999998</v>
      </c>
      <c r="S146">
        <v>23516.820312</v>
      </c>
      <c r="T146">
        <v>24014.523438</v>
      </c>
      <c r="U146">
        <v>24555.001952999999</v>
      </c>
      <c r="V146">
        <v>25077.849609000001</v>
      </c>
      <c r="W146">
        <v>25619.294922000001</v>
      </c>
      <c r="X146">
        <v>26179.601562</v>
      </c>
      <c r="Y146">
        <v>26734.855468999998</v>
      </c>
      <c r="Z146">
        <v>27278.783202999999</v>
      </c>
      <c r="AA146">
        <v>27816.730468999998</v>
      </c>
      <c r="AB146">
        <v>28383.761718999998</v>
      </c>
      <c r="AC146">
        <v>28943.429688</v>
      </c>
      <c r="AD146">
        <v>29525.474609000001</v>
      </c>
      <c r="AE146">
        <v>30134.960938</v>
      </c>
      <c r="AF146">
        <v>30703.847656000002</v>
      </c>
      <c r="AG146">
        <v>31299.001952999999</v>
      </c>
      <c r="AH146">
        <v>31912.464843999998</v>
      </c>
      <c r="AI146">
        <v>32530.056640999999</v>
      </c>
      <c r="AJ146">
        <v>33192.914062000003</v>
      </c>
      <c r="AK146">
        <v>33877.378905999998</v>
      </c>
      <c r="AL146">
        <v>34526.265625</v>
      </c>
      <c r="AM146">
        <v>35184.417969000002</v>
      </c>
      <c r="AN146">
        <v>35901.257812000003</v>
      </c>
      <c r="AO146">
        <v>36652.417969000002</v>
      </c>
      <c r="AP146" s="7">
        <v>1.9E-2</v>
      </c>
    </row>
    <row r="147" spans="1:42" x14ac:dyDescent="0.25">
      <c r="A147" t="s">
        <v>35</v>
      </c>
      <c r="C147" t="s">
        <v>294</v>
      </c>
    </row>
    <row r="148" spans="1:42" x14ac:dyDescent="0.25">
      <c r="A148" t="s">
        <v>34</v>
      </c>
      <c r="B148" t="s">
        <v>33</v>
      </c>
      <c r="C148" t="s">
        <v>293</v>
      </c>
      <c r="D148" t="s">
        <v>32</v>
      </c>
      <c r="H148">
        <v>548.44409199999996</v>
      </c>
      <c r="I148">
        <v>558.13116500000001</v>
      </c>
      <c r="J148">
        <v>552.03271500000005</v>
      </c>
      <c r="K148">
        <v>468.78430200000003</v>
      </c>
      <c r="L148">
        <v>486.764771</v>
      </c>
      <c r="M148">
        <v>511.33511399999998</v>
      </c>
      <c r="N148">
        <v>493.85299700000002</v>
      </c>
      <c r="O148">
        <v>491.92748999999998</v>
      </c>
      <c r="P148">
        <v>495.85382099999998</v>
      </c>
      <c r="Q148">
        <v>496.87265000000002</v>
      </c>
      <c r="R148">
        <v>496.03478999999999</v>
      </c>
      <c r="S148">
        <v>497.05981400000002</v>
      </c>
      <c r="T148">
        <v>496.91220099999998</v>
      </c>
      <c r="U148">
        <v>498.644409</v>
      </c>
      <c r="V148">
        <v>488.11651599999999</v>
      </c>
      <c r="W148">
        <v>486.26431300000002</v>
      </c>
      <c r="X148">
        <v>485.67074600000001</v>
      </c>
      <c r="Y148">
        <v>486.34570300000001</v>
      </c>
      <c r="Z148">
        <v>487.59973100000002</v>
      </c>
      <c r="AA148">
        <v>489.61535600000002</v>
      </c>
      <c r="AB148">
        <v>491.47912600000001</v>
      </c>
      <c r="AC148">
        <v>492.08142099999998</v>
      </c>
      <c r="AD148">
        <v>493.1651</v>
      </c>
      <c r="AE148">
        <v>494.06448399999999</v>
      </c>
      <c r="AF148">
        <v>496.20187399999998</v>
      </c>
      <c r="AG148">
        <v>498.69988999999998</v>
      </c>
      <c r="AH148">
        <v>499.89538599999997</v>
      </c>
      <c r="AI148">
        <v>501.16345200000001</v>
      </c>
      <c r="AJ148">
        <v>503.380066</v>
      </c>
      <c r="AK148">
        <v>506.91863999999998</v>
      </c>
      <c r="AL148">
        <v>510.18713400000001</v>
      </c>
      <c r="AM148">
        <v>514.08563200000003</v>
      </c>
      <c r="AN148">
        <v>516.22515899999996</v>
      </c>
      <c r="AO148">
        <v>520.59625200000005</v>
      </c>
      <c r="AP148" s="7">
        <v>-3.0000000000000001E-3</v>
      </c>
    </row>
  </sheetData>
  <hyperlinks>
    <hyperlink ref="A2" r:id="rId1" location="/?id=2-AEO2020&amp;region=1-9&amp;cases=ref2020&amp;start=2018&amp;end=2050&amp;f=A&amp;linechart=ref2020-d112119a.3-2-AEO2020.1-9&amp;map=ref2020-d112119a.5-2-AEO2020.1-9&amp;sourcekey=0" xr:uid="{00000000-0004-0000-06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48"/>
  <sheetViews>
    <sheetView workbookViewId="0">
      <selection activeCell="L8" sqref="L8:AO48"/>
    </sheetView>
  </sheetViews>
  <sheetFormatPr defaultRowHeight="15" x14ac:dyDescent="0.25"/>
  <cols>
    <col min="1" max="1" width="43.28515625" customWidth="1"/>
    <col min="2" max="2" width="94.85546875" bestFit="1" customWidth="1"/>
  </cols>
  <sheetData>
    <row r="1" spans="1:41" x14ac:dyDescent="0.25">
      <c r="A1" t="s">
        <v>660</v>
      </c>
    </row>
    <row r="2" spans="1:41" x14ac:dyDescent="0.25">
      <c r="A2" s="90" t="s">
        <v>661</v>
      </c>
    </row>
    <row r="3" spans="1:41" x14ac:dyDescent="0.25">
      <c r="A3" t="s">
        <v>662</v>
      </c>
    </row>
    <row r="4" spans="1:41" x14ac:dyDescent="0.25">
      <c r="A4" t="s">
        <v>216</v>
      </c>
    </row>
    <row r="5" spans="1:41" x14ac:dyDescent="0.25">
      <c r="B5" t="s">
        <v>215</v>
      </c>
      <c r="C5" t="s">
        <v>214</v>
      </c>
      <c r="D5" t="s">
        <v>9</v>
      </c>
      <c r="E5">
        <v>2014</v>
      </c>
      <c r="F5">
        <v>2015</v>
      </c>
      <c r="G5">
        <v>2016</v>
      </c>
      <c r="H5">
        <v>2017</v>
      </c>
      <c r="I5">
        <v>2018</v>
      </c>
      <c r="J5">
        <v>2019</v>
      </c>
      <c r="K5">
        <v>2020</v>
      </c>
      <c r="L5">
        <v>2021</v>
      </c>
      <c r="M5">
        <v>2022</v>
      </c>
      <c r="N5">
        <v>2023</v>
      </c>
      <c r="O5">
        <v>2024</v>
      </c>
      <c r="P5">
        <v>2025</v>
      </c>
      <c r="Q5">
        <v>2026</v>
      </c>
      <c r="R5">
        <v>2027</v>
      </c>
      <c r="S5">
        <v>2028</v>
      </c>
      <c r="T5">
        <v>2029</v>
      </c>
      <c r="U5">
        <v>2030</v>
      </c>
      <c r="V5">
        <v>2031</v>
      </c>
      <c r="W5">
        <v>2032</v>
      </c>
      <c r="X5">
        <v>2033</v>
      </c>
      <c r="Y5">
        <v>2034</v>
      </c>
      <c r="Z5">
        <v>2035</v>
      </c>
      <c r="AA5">
        <v>2036</v>
      </c>
      <c r="AB5">
        <v>2037</v>
      </c>
      <c r="AC5">
        <v>2038</v>
      </c>
      <c r="AD5">
        <v>2039</v>
      </c>
      <c r="AE5">
        <v>2040</v>
      </c>
      <c r="AF5">
        <v>2041</v>
      </c>
      <c r="AG5">
        <v>2042</v>
      </c>
      <c r="AH5">
        <v>2043</v>
      </c>
      <c r="AI5">
        <v>2044</v>
      </c>
      <c r="AJ5">
        <v>2045</v>
      </c>
      <c r="AK5">
        <v>2046</v>
      </c>
      <c r="AL5">
        <v>2047</v>
      </c>
      <c r="AM5">
        <v>2048</v>
      </c>
      <c r="AN5">
        <v>2049</v>
      </c>
      <c r="AO5">
        <v>2050</v>
      </c>
    </row>
    <row r="6" spans="1:41" x14ac:dyDescent="0.25">
      <c r="A6" t="s">
        <v>546</v>
      </c>
    </row>
    <row r="7" spans="1:41" x14ac:dyDescent="0.25">
      <c r="A7" t="s">
        <v>545</v>
      </c>
      <c r="C7" t="s">
        <v>544</v>
      </c>
    </row>
    <row r="8" spans="1:41" x14ac:dyDescent="0.25">
      <c r="A8" t="s">
        <v>543</v>
      </c>
      <c r="B8" t="s">
        <v>542</v>
      </c>
      <c r="C8" t="s">
        <v>541</v>
      </c>
      <c r="D8" t="s">
        <v>42</v>
      </c>
      <c r="H8">
        <v>0.36779099999999998</v>
      </c>
      <c r="I8">
        <v>0.43935099999999999</v>
      </c>
      <c r="J8">
        <v>0.52879799999999999</v>
      </c>
      <c r="K8">
        <v>0.45751199999999997</v>
      </c>
      <c r="L8">
        <v>0.46377800000000002</v>
      </c>
      <c r="M8">
        <v>0.48373500000000003</v>
      </c>
      <c r="N8">
        <v>0.453515</v>
      </c>
      <c r="O8">
        <v>0.45087899999999997</v>
      </c>
      <c r="P8">
        <v>0.44873000000000002</v>
      </c>
      <c r="Q8">
        <v>0.446162</v>
      </c>
      <c r="R8">
        <v>0.44251200000000002</v>
      </c>
      <c r="S8">
        <v>0.43797000000000003</v>
      </c>
      <c r="T8">
        <v>0.43209500000000001</v>
      </c>
      <c r="U8">
        <v>0.42460100000000001</v>
      </c>
      <c r="V8">
        <v>0.417937</v>
      </c>
      <c r="W8">
        <v>0.411333</v>
      </c>
      <c r="X8">
        <v>0.40426499999999999</v>
      </c>
      <c r="Y8">
        <v>0.39680700000000002</v>
      </c>
      <c r="Z8">
        <v>0.38940399999999997</v>
      </c>
      <c r="AA8">
        <v>0.382276</v>
      </c>
      <c r="AB8">
        <v>0.37601000000000001</v>
      </c>
      <c r="AC8">
        <v>0.37000699999999997</v>
      </c>
      <c r="AD8">
        <v>0.36373699999999998</v>
      </c>
      <c r="AE8">
        <v>0.35793700000000001</v>
      </c>
      <c r="AF8">
        <v>0.35236699999999999</v>
      </c>
      <c r="AG8">
        <v>0.34685199999999999</v>
      </c>
      <c r="AH8">
        <v>0.34216800000000003</v>
      </c>
      <c r="AI8">
        <v>0.33841300000000002</v>
      </c>
      <c r="AJ8">
        <v>0.33475199999999999</v>
      </c>
      <c r="AK8">
        <v>0.33147300000000002</v>
      </c>
      <c r="AL8">
        <v>0.32768599999999998</v>
      </c>
      <c r="AM8">
        <v>0.32328000000000001</v>
      </c>
      <c r="AN8">
        <v>0.318664</v>
      </c>
      <c r="AO8">
        <v>0.31390800000000002</v>
      </c>
    </row>
    <row r="9" spans="1:41" x14ac:dyDescent="0.25">
      <c r="A9" t="s">
        <v>540</v>
      </c>
      <c r="B9" t="s">
        <v>539</v>
      </c>
      <c r="C9" t="s">
        <v>538</v>
      </c>
      <c r="D9" t="s">
        <v>42</v>
      </c>
      <c r="H9">
        <v>0.141097</v>
      </c>
      <c r="I9">
        <v>0.141097</v>
      </c>
      <c r="J9">
        <v>0.13072</v>
      </c>
      <c r="K9">
        <v>0.131216</v>
      </c>
      <c r="L9">
        <v>0.124386</v>
      </c>
      <c r="M9">
        <v>0.124386</v>
      </c>
      <c r="N9">
        <v>0.124386</v>
      </c>
      <c r="O9">
        <v>0.124386</v>
      </c>
      <c r="P9">
        <v>0.124386</v>
      </c>
      <c r="Q9">
        <v>0.124386</v>
      </c>
      <c r="R9">
        <v>0.124386</v>
      </c>
      <c r="S9">
        <v>0.124386</v>
      </c>
      <c r="T9">
        <v>0.124386</v>
      </c>
      <c r="U9">
        <v>0.124386</v>
      </c>
      <c r="V9">
        <v>0.124386</v>
      </c>
      <c r="W9">
        <v>0.124386</v>
      </c>
      <c r="X9">
        <v>0.124386</v>
      </c>
      <c r="Y9">
        <v>0.124386</v>
      </c>
      <c r="Z9">
        <v>0.124386</v>
      </c>
      <c r="AA9">
        <v>0.124386</v>
      </c>
      <c r="AB9">
        <v>0.124386</v>
      </c>
      <c r="AC9">
        <v>0.124386</v>
      </c>
      <c r="AD9">
        <v>0.124386</v>
      </c>
      <c r="AE9">
        <v>0.124386</v>
      </c>
      <c r="AF9">
        <v>0.124386</v>
      </c>
      <c r="AG9">
        <v>0.124386</v>
      </c>
      <c r="AH9">
        <v>0.124386</v>
      </c>
      <c r="AI9">
        <v>0.124386</v>
      </c>
      <c r="AJ9">
        <v>0.124386</v>
      </c>
      <c r="AK9">
        <v>0.124386</v>
      </c>
      <c r="AL9">
        <v>0.124386</v>
      </c>
      <c r="AM9">
        <v>0.124386</v>
      </c>
      <c r="AN9">
        <v>0.124386</v>
      </c>
      <c r="AO9">
        <v>0.124386</v>
      </c>
    </row>
    <row r="10" spans="1:41" x14ac:dyDescent="0.25">
      <c r="A10" t="s">
        <v>188</v>
      </c>
      <c r="B10" t="s">
        <v>537</v>
      </c>
      <c r="C10" t="s">
        <v>536</v>
      </c>
      <c r="D10" t="s">
        <v>42</v>
      </c>
      <c r="H10">
        <v>2.4297200000000001</v>
      </c>
      <c r="I10">
        <v>2.4196249999999999</v>
      </c>
      <c r="J10">
        <v>2.5275859999999999</v>
      </c>
      <c r="K10">
        <v>2.4349829999999999</v>
      </c>
      <c r="L10">
        <v>2.4966439999999999</v>
      </c>
      <c r="M10">
        <v>2.530462</v>
      </c>
      <c r="N10">
        <v>2.4978880000000001</v>
      </c>
      <c r="O10">
        <v>2.5235349999999999</v>
      </c>
      <c r="P10">
        <v>2.5557129999999999</v>
      </c>
      <c r="Q10">
        <v>2.571653</v>
      </c>
      <c r="R10">
        <v>2.5803739999999999</v>
      </c>
      <c r="S10">
        <v>2.5932680000000001</v>
      </c>
      <c r="T10">
        <v>2.609464</v>
      </c>
      <c r="U10">
        <v>2.6292520000000001</v>
      </c>
      <c r="V10">
        <v>2.64608</v>
      </c>
      <c r="W10">
        <v>2.6597119999999999</v>
      </c>
      <c r="X10">
        <v>2.672037</v>
      </c>
      <c r="Y10">
        <v>2.6826850000000002</v>
      </c>
      <c r="Z10">
        <v>2.6933029999999998</v>
      </c>
      <c r="AA10">
        <v>2.7049620000000001</v>
      </c>
      <c r="AB10">
        <v>2.7190729999999999</v>
      </c>
      <c r="AC10">
        <v>2.7353420000000002</v>
      </c>
      <c r="AD10">
        <v>2.7516940000000001</v>
      </c>
      <c r="AE10">
        <v>2.7764120000000001</v>
      </c>
      <c r="AF10">
        <v>2.7984529999999999</v>
      </c>
      <c r="AG10">
        <v>2.8224629999999999</v>
      </c>
      <c r="AH10">
        <v>2.8467289999999998</v>
      </c>
      <c r="AI10">
        <v>2.8673829999999998</v>
      </c>
      <c r="AJ10">
        <v>2.887165</v>
      </c>
      <c r="AK10">
        <v>2.9125580000000002</v>
      </c>
      <c r="AL10">
        <v>2.9349789999999998</v>
      </c>
      <c r="AM10">
        <v>2.9629430000000001</v>
      </c>
      <c r="AN10">
        <v>2.9880840000000002</v>
      </c>
      <c r="AO10">
        <v>3.020718</v>
      </c>
    </row>
    <row r="11" spans="1:41" x14ac:dyDescent="0.25">
      <c r="A11" t="s">
        <v>504</v>
      </c>
      <c r="B11" t="s">
        <v>535</v>
      </c>
      <c r="C11" t="s">
        <v>534</v>
      </c>
      <c r="D11" t="s">
        <v>42</v>
      </c>
      <c r="H11">
        <v>5.2400000000000005E-4</v>
      </c>
      <c r="I11">
        <v>1.1069999999999999E-3</v>
      </c>
      <c r="J11">
        <v>8.2700000000000004E-4</v>
      </c>
      <c r="K11">
        <v>1.2289E-2</v>
      </c>
      <c r="L11">
        <v>1.0519000000000001E-2</v>
      </c>
      <c r="M11">
        <v>1.0658000000000001E-2</v>
      </c>
      <c r="N11">
        <v>1.0817999999999999E-2</v>
      </c>
      <c r="O11">
        <v>1.0976E-2</v>
      </c>
      <c r="P11">
        <v>1.1128000000000001E-2</v>
      </c>
      <c r="Q11">
        <v>1.1272000000000001E-2</v>
      </c>
      <c r="R11">
        <v>1.1405E-2</v>
      </c>
      <c r="S11">
        <v>1.1526E-2</v>
      </c>
      <c r="T11">
        <v>1.1632E-2</v>
      </c>
      <c r="U11">
        <v>1.1721000000000001E-2</v>
      </c>
      <c r="V11">
        <v>1.1792E-2</v>
      </c>
      <c r="W11">
        <v>1.1844E-2</v>
      </c>
      <c r="X11">
        <v>1.1875E-2</v>
      </c>
      <c r="Y11">
        <v>1.1886000000000001E-2</v>
      </c>
      <c r="Z11">
        <v>1.1886000000000001E-2</v>
      </c>
      <c r="AA11">
        <v>1.1886000000000001E-2</v>
      </c>
      <c r="AB11">
        <v>1.1886000000000001E-2</v>
      </c>
      <c r="AC11">
        <v>1.1886000000000001E-2</v>
      </c>
      <c r="AD11">
        <v>1.1886000000000001E-2</v>
      </c>
      <c r="AE11">
        <v>1.1886000000000001E-2</v>
      </c>
      <c r="AF11">
        <v>1.1886000000000001E-2</v>
      </c>
      <c r="AG11">
        <v>1.1886000000000001E-2</v>
      </c>
      <c r="AH11">
        <v>1.1886000000000001E-2</v>
      </c>
      <c r="AI11">
        <v>1.1886000000000001E-2</v>
      </c>
      <c r="AJ11">
        <v>1.1886000000000001E-2</v>
      </c>
      <c r="AK11">
        <v>1.1886000000000001E-2</v>
      </c>
      <c r="AL11">
        <v>1.1886000000000001E-2</v>
      </c>
      <c r="AM11">
        <v>1.1886000000000001E-2</v>
      </c>
      <c r="AN11">
        <v>1.1886000000000001E-2</v>
      </c>
      <c r="AO11">
        <v>1.1886000000000001E-2</v>
      </c>
    </row>
    <row r="12" spans="1:41" x14ac:dyDescent="0.25">
      <c r="A12" t="s">
        <v>533</v>
      </c>
      <c r="B12" t="s">
        <v>532</v>
      </c>
      <c r="C12" t="s">
        <v>531</v>
      </c>
      <c r="D12" t="s">
        <v>42</v>
      </c>
      <c r="H12">
        <v>0.1653</v>
      </c>
      <c r="I12">
        <v>0.16800000000000001</v>
      </c>
      <c r="J12">
        <v>0.16470000000000001</v>
      </c>
      <c r="K12">
        <v>0.16345499999999999</v>
      </c>
      <c r="L12">
        <v>0.156335</v>
      </c>
      <c r="M12">
        <v>0.15481400000000001</v>
      </c>
      <c r="N12">
        <v>0.15681</v>
      </c>
      <c r="O12">
        <v>0.15962899999999999</v>
      </c>
      <c r="P12">
        <v>0.16169</v>
      </c>
      <c r="Q12">
        <v>0.16316700000000001</v>
      </c>
      <c r="R12">
        <v>0.16441800000000001</v>
      </c>
      <c r="S12">
        <v>0.16477700000000001</v>
      </c>
      <c r="T12">
        <v>0.165245</v>
      </c>
      <c r="U12">
        <v>0.16607</v>
      </c>
      <c r="V12">
        <v>0.166877</v>
      </c>
      <c r="W12">
        <v>0.16713500000000001</v>
      </c>
      <c r="X12">
        <v>0.167544</v>
      </c>
      <c r="Y12">
        <v>0.16795299999999999</v>
      </c>
      <c r="Z12">
        <v>0.168182</v>
      </c>
      <c r="AA12">
        <v>0.16822200000000001</v>
      </c>
      <c r="AB12">
        <v>0.16817499999999999</v>
      </c>
      <c r="AC12">
        <v>0.168405</v>
      </c>
      <c r="AD12">
        <v>0.16858500000000001</v>
      </c>
      <c r="AE12">
        <v>0.16958500000000001</v>
      </c>
      <c r="AF12">
        <v>0.17050100000000001</v>
      </c>
      <c r="AG12">
        <v>0.17135900000000001</v>
      </c>
      <c r="AH12">
        <v>0.172656</v>
      </c>
      <c r="AI12">
        <v>0.173904</v>
      </c>
      <c r="AJ12">
        <v>0.175097</v>
      </c>
      <c r="AK12">
        <v>0.176401</v>
      </c>
      <c r="AL12">
        <v>0.17763399999999999</v>
      </c>
      <c r="AM12">
        <v>0.17891799999999999</v>
      </c>
      <c r="AN12">
        <v>0.18022099999999999</v>
      </c>
      <c r="AO12">
        <v>0.18173700000000001</v>
      </c>
    </row>
    <row r="13" spans="1:41" x14ac:dyDescent="0.25">
      <c r="A13" t="s">
        <v>495</v>
      </c>
      <c r="B13" t="s">
        <v>530</v>
      </c>
      <c r="C13" t="s">
        <v>529</v>
      </c>
      <c r="D13" t="s">
        <v>42</v>
      </c>
      <c r="H13">
        <v>1.4799</v>
      </c>
      <c r="I13">
        <v>1.4681</v>
      </c>
      <c r="J13">
        <v>1.4597</v>
      </c>
      <c r="K13">
        <v>1.35443</v>
      </c>
      <c r="L13">
        <v>1.3895999999999999</v>
      </c>
      <c r="M13">
        <v>1.4102220000000001</v>
      </c>
      <c r="N13">
        <v>1.414995</v>
      </c>
      <c r="O13">
        <v>1.4355910000000001</v>
      </c>
      <c r="P13">
        <v>1.4541869999999999</v>
      </c>
      <c r="Q13">
        <v>1.4649570000000001</v>
      </c>
      <c r="R13">
        <v>1.4698580000000001</v>
      </c>
      <c r="S13">
        <v>1.480521</v>
      </c>
      <c r="T13">
        <v>1.4960450000000001</v>
      </c>
      <c r="U13">
        <v>1.5084489999999999</v>
      </c>
      <c r="V13">
        <v>1.5200130000000001</v>
      </c>
      <c r="W13">
        <v>1.5288930000000001</v>
      </c>
      <c r="X13">
        <v>1.534837</v>
      </c>
      <c r="Y13">
        <v>1.5396570000000001</v>
      </c>
      <c r="Z13">
        <v>1.544073</v>
      </c>
      <c r="AA13">
        <v>1.5494680000000001</v>
      </c>
      <c r="AB13">
        <v>1.5562689999999999</v>
      </c>
      <c r="AC13">
        <v>1.564724</v>
      </c>
      <c r="AD13">
        <v>1.572327</v>
      </c>
      <c r="AE13">
        <v>1.5796410000000001</v>
      </c>
      <c r="AF13">
        <v>1.59223</v>
      </c>
      <c r="AG13">
        <v>1.606303</v>
      </c>
      <c r="AH13">
        <v>1.619699</v>
      </c>
      <c r="AI13">
        <v>1.628914</v>
      </c>
      <c r="AJ13">
        <v>1.636636</v>
      </c>
      <c r="AK13">
        <v>1.648889</v>
      </c>
      <c r="AL13">
        <v>1.6580790000000001</v>
      </c>
      <c r="AM13">
        <v>1.6642140000000001</v>
      </c>
      <c r="AN13">
        <v>1.6747160000000001</v>
      </c>
      <c r="AO13">
        <v>1.691527</v>
      </c>
    </row>
    <row r="14" spans="1:41" x14ac:dyDescent="0.25">
      <c r="A14" t="s">
        <v>58</v>
      </c>
      <c r="B14" t="s">
        <v>528</v>
      </c>
      <c r="C14" t="s">
        <v>527</v>
      </c>
      <c r="D14" t="s">
        <v>42</v>
      </c>
      <c r="H14">
        <v>0.78399600000000003</v>
      </c>
      <c r="I14">
        <v>0.78241799999999995</v>
      </c>
      <c r="J14">
        <v>0.90236000000000005</v>
      </c>
      <c r="K14">
        <v>0.90481</v>
      </c>
      <c r="L14">
        <v>0.94018999999999997</v>
      </c>
      <c r="M14">
        <v>0.95476700000000003</v>
      </c>
      <c r="N14">
        <v>0.91526399999999997</v>
      </c>
      <c r="O14">
        <v>0.91733799999999999</v>
      </c>
      <c r="P14">
        <v>0.92870900000000001</v>
      </c>
      <c r="Q14">
        <v>0.93225800000000003</v>
      </c>
      <c r="R14">
        <v>0.93469199999999997</v>
      </c>
      <c r="S14">
        <v>0.93644400000000005</v>
      </c>
      <c r="T14">
        <v>0.93654300000000001</v>
      </c>
      <c r="U14">
        <v>0.94301199999999996</v>
      </c>
      <c r="V14">
        <v>0.94739700000000004</v>
      </c>
      <c r="W14">
        <v>0.95184100000000005</v>
      </c>
      <c r="X14">
        <v>0.95778099999999999</v>
      </c>
      <c r="Y14">
        <v>0.96318800000000004</v>
      </c>
      <c r="Z14">
        <v>0.96916199999999997</v>
      </c>
      <c r="AA14">
        <v>0.97538599999999998</v>
      </c>
      <c r="AB14">
        <v>0.98274399999999995</v>
      </c>
      <c r="AC14">
        <v>0.99032699999999996</v>
      </c>
      <c r="AD14">
        <v>0.99889600000000001</v>
      </c>
      <c r="AE14">
        <v>1.015301</v>
      </c>
      <c r="AF14">
        <v>1.023836</v>
      </c>
      <c r="AG14">
        <v>1.032915</v>
      </c>
      <c r="AH14">
        <v>1.0424880000000001</v>
      </c>
      <c r="AI14">
        <v>1.0526800000000001</v>
      </c>
      <c r="AJ14">
        <v>1.063547</v>
      </c>
      <c r="AK14">
        <v>1.075383</v>
      </c>
      <c r="AL14">
        <v>1.0873809999999999</v>
      </c>
      <c r="AM14">
        <v>1.107926</v>
      </c>
      <c r="AN14">
        <v>1.121262</v>
      </c>
      <c r="AO14">
        <v>1.1355690000000001</v>
      </c>
    </row>
    <row r="15" spans="1:41" x14ac:dyDescent="0.25">
      <c r="A15" t="s">
        <v>163</v>
      </c>
      <c r="B15" t="s">
        <v>526</v>
      </c>
      <c r="C15" t="s">
        <v>525</v>
      </c>
      <c r="D15" t="s">
        <v>42</v>
      </c>
      <c r="H15">
        <v>1.519158</v>
      </c>
      <c r="I15">
        <v>1.5506930000000001</v>
      </c>
      <c r="J15">
        <v>1.5304629999999999</v>
      </c>
      <c r="K15">
        <v>1.331656</v>
      </c>
      <c r="L15">
        <v>1.4810829999999999</v>
      </c>
      <c r="M15">
        <v>1.5959719999999999</v>
      </c>
      <c r="N15">
        <v>1.570117</v>
      </c>
      <c r="O15">
        <v>1.569048</v>
      </c>
      <c r="P15">
        <v>1.567658</v>
      </c>
      <c r="Q15">
        <v>1.5665990000000001</v>
      </c>
      <c r="R15">
        <v>1.5656289999999999</v>
      </c>
      <c r="S15">
        <v>1.564616</v>
      </c>
      <c r="T15">
        <v>1.5637620000000001</v>
      </c>
      <c r="U15">
        <v>1.562576</v>
      </c>
      <c r="V15">
        <v>1.561213</v>
      </c>
      <c r="W15">
        <v>1.5599419999999999</v>
      </c>
      <c r="X15">
        <v>1.5587800000000001</v>
      </c>
      <c r="Y15">
        <v>1.5576840000000001</v>
      </c>
      <c r="Z15">
        <v>1.573331</v>
      </c>
      <c r="AA15">
        <v>1.568047</v>
      </c>
      <c r="AB15">
        <v>1.5762670000000001</v>
      </c>
      <c r="AC15">
        <v>1.6136299999999999</v>
      </c>
      <c r="AD15">
        <v>1.618422</v>
      </c>
      <c r="AE15">
        <v>1.6195949999999999</v>
      </c>
      <c r="AF15">
        <v>1.640474</v>
      </c>
      <c r="AG15">
        <v>1.6547069999999999</v>
      </c>
      <c r="AH15">
        <v>1.685681</v>
      </c>
      <c r="AI15">
        <v>1.7152829999999999</v>
      </c>
      <c r="AJ15">
        <v>1.7294909999999999</v>
      </c>
      <c r="AK15">
        <v>1.7512970000000001</v>
      </c>
      <c r="AL15">
        <v>1.765245</v>
      </c>
      <c r="AM15">
        <v>1.7883929999999999</v>
      </c>
      <c r="AN15">
        <v>1.8116620000000001</v>
      </c>
      <c r="AO15">
        <v>1.829423</v>
      </c>
    </row>
    <row r="16" spans="1:41" s="95" customFormat="1" x14ac:dyDescent="0.25">
      <c r="A16" s="95" t="s">
        <v>524</v>
      </c>
      <c r="B16" s="95" t="s">
        <v>523</v>
      </c>
      <c r="C16" s="95" t="s">
        <v>522</v>
      </c>
      <c r="D16" s="95" t="s">
        <v>42</v>
      </c>
      <c r="E16" s="95">
        <v>0</v>
      </c>
      <c r="F16" s="95">
        <v>0</v>
      </c>
      <c r="G16" s="95">
        <v>0</v>
      </c>
      <c r="H16" s="95">
        <v>6.0400000000000002E-3</v>
      </c>
      <c r="I16" s="95">
        <v>2.7022999999999998E-2</v>
      </c>
      <c r="J16" s="95">
        <v>9.8600000000000007E-3</v>
      </c>
      <c r="K16" s="95">
        <v>2.0695999999999999E-2</v>
      </c>
      <c r="L16" s="95">
        <v>2.3879999999999998E-2</v>
      </c>
      <c r="M16" s="95">
        <v>2.4521999999999999E-2</v>
      </c>
      <c r="N16" s="95">
        <v>2.2863999999999999E-2</v>
      </c>
      <c r="O16" s="95">
        <v>2.2616000000000001E-2</v>
      </c>
      <c r="P16" s="95">
        <v>2.2372E-2</v>
      </c>
      <c r="Q16" s="95">
        <v>2.1777000000000001E-2</v>
      </c>
      <c r="R16" s="95">
        <v>2.1070999999999999E-2</v>
      </c>
      <c r="S16" s="95">
        <v>2.0277E-2</v>
      </c>
      <c r="T16" s="95">
        <v>1.9567000000000001E-2</v>
      </c>
      <c r="U16" s="95">
        <v>1.8792E-2</v>
      </c>
      <c r="V16" s="95">
        <v>1.7954000000000001E-2</v>
      </c>
      <c r="W16" s="95">
        <v>1.7219999999999999E-2</v>
      </c>
      <c r="X16" s="95">
        <v>1.6794E-2</v>
      </c>
      <c r="Y16" s="95">
        <v>1.5886999999999998E-2</v>
      </c>
      <c r="Z16" s="95">
        <v>1.5386E-2</v>
      </c>
      <c r="AA16" s="95">
        <v>1.5355000000000001E-2</v>
      </c>
      <c r="AB16" s="95">
        <v>1.5245E-2</v>
      </c>
      <c r="AC16" s="95">
        <v>1.5007E-2</v>
      </c>
      <c r="AD16" s="95">
        <v>1.5037999999999999E-2</v>
      </c>
      <c r="AE16" s="95">
        <v>1.5082999999999999E-2</v>
      </c>
      <c r="AF16" s="95">
        <v>1.512E-2</v>
      </c>
      <c r="AG16" s="95">
        <v>1.5291000000000001E-2</v>
      </c>
      <c r="AH16" s="95">
        <v>1.5417999999999999E-2</v>
      </c>
      <c r="AI16" s="95">
        <v>1.5547999999999999E-2</v>
      </c>
      <c r="AJ16" s="95">
        <v>1.5729E-2</v>
      </c>
      <c r="AK16" s="95">
        <v>1.5907000000000001E-2</v>
      </c>
      <c r="AL16" s="95">
        <v>1.6133000000000002E-2</v>
      </c>
      <c r="AM16" s="95">
        <v>1.6389999999999998E-2</v>
      </c>
      <c r="AN16" s="95">
        <v>1.6655E-2</v>
      </c>
      <c r="AO16" s="95">
        <v>1.6945999999999999E-2</v>
      </c>
    </row>
    <row r="17" spans="1:41" s="95" customFormat="1" x14ac:dyDescent="0.25">
      <c r="A17" s="95" t="s">
        <v>521</v>
      </c>
      <c r="B17" s="95" t="s">
        <v>520</v>
      </c>
      <c r="C17" s="95" t="s">
        <v>519</v>
      </c>
      <c r="D17" s="95" t="s">
        <v>42</v>
      </c>
      <c r="E17" s="95">
        <v>1.1100000000000001</v>
      </c>
      <c r="F17" s="95">
        <v>1.1499999999999999</v>
      </c>
      <c r="G17" s="95">
        <v>1.17</v>
      </c>
      <c r="H17" s="95">
        <v>1.1932579999999999</v>
      </c>
      <c r="I17" s="95">
        <v>1.1600429999999999</v>
      </c>
      <c r="J17" s="95">
        <v>1.170234</v>
      </c>
      <c r="K17" s="95">
        <v>1.0145219999999999</v>
      </c>
      <c r="L17" s="95">
        <v>1.0965640000000001</v>
      </c>
      <c r="M17" s="95">
        <v>1.1304190000000001</v>
      </c>
      <c r="N17" s="95">
        <v>1.169692</v>
      </c>
      <c r="O17" s="95">
        <v>1.1691879999999999</v>
      </c>
      <c r="P17" s="95">
        <v>1.1737010000000001</v>
      </c>
      <c r="Q17" s="95">
        <v>1.17659</v>
      </c>
      <c r="R17" s="95">
        <v>1.1770400000000001</v>
      </c>
      <c r="S17" s="95">
        <v>1.176579</v>
      </c>
      <c r="T17" s="95">
        <v>1.177181</v>
      </c>
      <c r="U17" s="95">
        <v>1.1795070000000001</v>
      </c>
      <c r="V17" s="95">
        <v>1.1828749999999999</v>
      </c>
      <c r="W17" s="95">
        <v>1.185697</v>
      </c>
      <c r="X17" s="95">
        <v>1.190464</v>
      </c>
      <c r="Y17" s="95">
        <v>1.195611</v>
      </c>
      <c r="Z17" s="95">
        <v>1.2004570000000001</v>
      </c>
      <c r="AA17" s="95">
        <v>1.2043759999999999</v>
      </c>
      <c r="AB17" s="95">
        <v>1.209625</v>
      </c>
      <c r="AC17" s="95">
        <v>1.2154499999999999</v>
      </c>
      <c r="AD17" s="95">
        <v>1.222369</v>
      </c>
      <c r="AE17" s="95">
        <v>1.229884</v>
      </c>
      <c r="AF17" s="95">
        <v>1.2371840000000001</v>
      </c>
      <c r="AG17" s="95">
        <v>1.2451430000000001</v>
      </c>
      <c r="AH17" s="95">
        <v>1.25352</v>
      </c>
      <c r="AI17" s="95">
        <v>1.2627740000000001</v>
      </c>
      <c r="AJ17" s="95">
        <v>1.2730239999999999</v>
      </c>
      <c r="AK17" s="95">
        <v>1.2846249999999999</v>
      </c>
      <c r="AL17" s="95">
        <v>1.296338</v>
      </c>
      <c r="AM17" s="95">
        <v>1.3079890000000001</v>
      </c>
      <c r="AN17" s="95">
        <v>1.3210710000000001</v>
      </c>
      <c r="AO17" s="95">
        <v>1.3355030000000001</v>
      </c>
    </row>
    <row r="18" spans="1:41" s="95" customFormat="1" x14ac:dyDescent="0.25">
      <c r="A18" s="95" t="s">
        <v>518</v>
      </c>
      <c r="B18" s="95" t="s">
        <v>517</v>
      </c>
      <c r="C18" s="95" t="s">
        <v>516</v>
      </c>
      <c r="D18" s="95" t="s">
        <v>42</v>
      </c>
      <c r="E18" s="95">
        <v>0.19</v>
      </c>
      <c r="F18" s="95">
        <v>0.22</v>
      </c>
      <c r="G18" s="95">
        <v>0.31</v>
      </c>
      <c r="H18" s="95">
        <v>0.26588699999999998</v>
      </c>
      <c r="I18" s="95">
        <v>0.295344</v>
      </c>
      <c r="J18" s="95">
        <v>0.28631400000000001</v>
      </c>
      <c r="K18" s="95">
        <v>0.22708700000000001</v>
      </c>
      <c r="L18" s="95">
        <v>0.21432399999999999</v>
      </c>
      <c r="M18" s="95">
        <v>0.24085699999999999</v>
      </c>
      <c r="N18" s="95">
        <v>0.16556699999999999</v>
      </c>
      <c r="O18" s="95">
        <v>0.165352</v>
      </c>
      <c r="P18" s="95">
        <v>0.159718</v>
      </c>
      <c r="Q18" s="95">
        <v>0.15842899999999999</v>
      </c>
      <c r="R18" s="95">
        <v>0.160165</v>
      </c>
      <c r="S18" s="95">
        <v>0.16136700000000001</v>
      </c>
      <c r="T18" s="95">
        <v>0.164184</v>
      </c>
      <c r="U18" s="95">
        <v>0.163796</v>
      </c>
      <c r="V18" s="95">
        <v>0.156588</v>
      </c>
      <c r="W18" s="95">
        <v>0.15267</v>
      </c>
      <c r="X18" s="95">
        <v>0.15092800000000001</v>
      </c>
      <c r="Y18" s="95">
        <v>0.15130199999999999</v>
      </c>
      <c r="Z18" s="95">
        <v>0.15642900000000001</v>
      </c>
      <c r="AA18" s="95">
        <v>0.15721499999999999</v>
      </c>
      <c r="AB18" s="95">
        <v>0.160409</v>
      </c>
      <c r="AC18" s="95">
        <v>0.176145</v>
      </c>
      <c r="AD18" s="95">
        <v>0.17749400000000001</v>
      </c>
      <c r="AE18" s="95">
        <v>0.179785</v>
      </c>
      <c r="AF18" s="95">
        <v>0.18399399999999999</v>
      </c>
      <c r="AG18" s="95">
        <v>0.18618000000000001</v>
      </c>
      <c r="AH18" s="95">
        <v>0.20001099999999999</v>
      </c>
      <c r="AI18" s="95">
        <v>0.213223</v>
      </c>
      <c r="AJ18" s="95">
        <v>0.21684200000000001</v>
      </c>
      <c r="AK18" s="95">
        <v>0.22495200000000001</v>
      </c>
      <c r="AL18" s="95">
        <v>0.22911200000000001</v>
      </c>
      <c r="AM18" s="95">
        <v>0.23655100000000001</v>
      </c>
      <c r="AN18" s="95">
        <v>0.24348500000000001</v>
      </c>
      <c r="AO18" s="95">
        <v>0.24746599999999999</v>
      </c>
    </row>
    <row r="19" spans="1:41" x14ac:dyDescent="0.25">
      <c r="A19" t="s">
        <v>515</v>
      </c>
      <c r="B19" t="s">
        <v>514</v>
      </c>
      <c r="C19" t="s">
        <v>513</v>
      </c>
      <c r="D19" t="s">
        <v>42</v>
      </c>
      <c r="H19">
        <v>0</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row>
    <row r="20" spans="1:41" x14ac:dyDescent="0.25">
      <c r="A20" t="s">
        <v>512</v>
      </c>
      <c r="B20" t="s">
        <v>511</v>
      </c>
      <c r="C20" t="s">
        <v>510</v>
      </c>
      <c r="D20" t="s">
        <v>42</v>
      </c>
      <c r="H20">
        <v>0</v>
      </c>
      <c r="I20">
        <v>3.4099999999999999E-4</v>
      </c>
      <c r="J20">
        <v>2.745E-3</v>
      </c>
      <c r="K20">
        <v>0</v>
      </c>
      <c r="L20">
        <v>1.2999999999999999E-5</v>
      </c>
      <c r="M20">
        <v>0</v>
      </c>
      <c r="N20">
        <v>2.4699999999999999E-4</v>
      </c>
      <c r="O20">
        <v>0</v>
      </c>
      <c r="P20">
        <v>2.1800000000000001E-4</v>
      </c>
      <c r="Q20">
        <v>0</v>
      </c>
      <c r="R20">
        <v>0</v>
      </c>
      <c r="S20">
        <v>0</v>
      </c>
      <c r="T20">
        <v>0</v>
      </c>
      <c r="U20">
        <v>0</v>
      </c>
      <c r="V20">
        <v>2.5300000000000002E-4</v>
      </c>
      <c r="W20">
        <v>0</v>
      </c>
      <c r="X20">
        <v>0</v>
      </c>
      <c r="Y20">
        <v>0</v>
      </c>
      <c r="Z20">
        <v>0</v>
      </c>
      <c r="AA20">
        <v>0</v>
      </c>
      <c r="AB20">
        <v>0</v>
      </c>
      <c r="AC20">
        <v>0</v>
      </c>
      <c r="AD20">
        <v>0</v>
      </c>
      <c r="AE20">
        <v>0</v>
      </c>
      <c r="AF20">
        <v>0</v>
      </c>
      <c r="AG20">
        <v>0</v>
      </c>
      <c r="AH20">
        <v>0</v>
      </c>
      <c r="AI20">
        <v>2.5300000000000002E-4</v>
      </c>
      <c r="AJ20">
        <v>0</v>
      </c>
      <c r="AK20">
        <v>2.5300000000000002E-4</v>
      </c>
      <c r="AL20">
        <v>2.4800000000000001E-4</v>
      </c>
      <c r="AM20">
        <v>2.5300000000000002E-4</v>
      </c>
      <c r="AN20">
        <v>2.5300000000000002E-4</v>
      </c>
      <c r="AO20">
        <v>2.5300000000000002E-4</v>
      </c>
    </row>
    <row r="21" spans="1:41" s="95" customFormat="1" x14ac:dyDescent="0.25">
      <c r="A21" s="95" t="s">
        <v>509</v>
      </c>
      <c r="B21" s="95" t="s">
        <v>508</v>
      </c>
      <c r="C21" s="95" t="s">
        <v>507</v>
      </c>
      <c r="D21" s="95" t="s">
        <v>42</v>
      </c>
      <c r="E21" s="95">
        <v>0</v>
      </c>
      <c r="F21" s="95">
        <v>0.01</v>
      </c>
      <c r="G21" s="95">
        <v>0.04</v>
      </c>
      <c r="H21" s="95">
        <v>5.3973E-2</v>
      </c>
      <c r="I21" s="95">
        <v>6.7943000000000003E-2</v>
      </c>
      <c r="J21" s="95">
        <v>6.1310999999999997E-2</v>
      </c>
      <c r="K21" s="95">
        <v>6.9350999999999996E-2</v>
      </c>
      <c r="L21" s="95">
        <v>0.14630299999999999</v>
      </c>
      <c r="M21" s="95">
        <v>0.20017399999999999</v>
      </c>
      <c r="N21" s="95">
        <v>0.21174699999999999</v>
      </c>
      <c r="O21" s="95">
        <v>0.211891</v>
      </c>
      <c r="P21" s="95">
        <v>0.211649</v>
      </c>
      <c r="Q21" s="95">
        <v>0.20980299999999999</v>
      </c>
      <c r="R21" s="95">
        <v>0.20735300000000001</v>
      </c>
      <c r="S21" s="95">
        <v>0.20639299999999999</v>
      </c>
      <c r="T21" s="95">
        <v>0.20282900000000001</v>
      </c>
      <c r="U21" s="95">
        <v>0.20048099999999999</v>
      </c>
      <c r="V21" s="95">
        <v>0.203543</v>
      </c>
      <c r="W21" s="95">
        <v>0.20435600000000001</v>
      </c>
      <c r="X21" s="95">
        <v>0.20059399999999999</v>
      </c>
      <c r="Y21" s="95">
        <v>0.194884</v>
      </c>
      <c r="Z21" s="95">
        <v>0.20105899999999999</v>
      </c>
      <c r="AA21" s="95">
        <v>0.19110099999999999</v>
      </c>
      <c r="AB21" s="95">
        <v>0.19098799999999999</v>
      </c>
      <c r="AC21" s="95">
        <v>0.20702799999999999</v>
      </c>
      <c r="AD21" s="95">
        <v>0.20352100000000001</v>
      </c>
      <c r="AE21" s="95">
        <v>0.19484299999999999</v>
      </c>
      <c r="AF21" s="95">
        <v>0.204176</v>
      </c>
      <c r="AG21" s="95">
        <v>0.208094</v>
      </c>
      <c r="AH21" s="95">
        <v>0.21673200000000001</v>
      </c>
      <c r="AI21" s="95">
        <v>0.22348599999999999</v>
      </c>
      <c r="AJ21" s="95">
        <v>0.22389600000000001</v>
      </c>
      <c r="AK21" s="95">
        <v>0.22556100000000001</v>
      </c>
      <c r="AL21" s="95">
        <v>0.223414</v>
      </c>
      <c r="AM21" s="95">
        <v>0.22721</v>
      </c>
      <c r="AN21" s="95">
        <v>0.23019899999999999</v>
      </c>
      <c r="AO21" s="95">
        <v>0.22925499999999999</v>
      </c>
    </row>
    <row r="22" spans="1:41" x14ac:dyDescent="0.25">
      <c r="A22" t="s">
        <v>112</v>
      </c>
      <c r="B22" t="s">
        <v>506</v>
      </c>
      <c r="C22" t="s">
        <v>505</v>
      </c>
      <c r="D22" t="s">
        <v>42</v>
      </c>
      <c r="H22">
        <v>6.246861</v>
      </c>
      <c r="I22">
        <v>6.428922</v>
      </c>
      <c r="J22">
        <v>6.6521280000000003</v>
      </c>
      <c r="K22">
        <v>6.9892469999999998</v>
      </c>
      <c r="L22">
        <v>7.1648370000000003</v>
      </c>
      <c r="M22">
        <v>7.9548899999999998</v>
      </c>
      <c r="N22">
        <v>8.6090099999999996</v>
      </c>
      <c r="O22">
        <v>9.6675819999999995</v>
      </c>
      <c r="P22">
        <v>10.268406000000001</v>
      </c>
      <c r="Q22">
        <v>10.528873000000001</v>
      </c>
      <c r="R22">
        <v>10.6873</v>
      </c>
      <c r="S22">
        <v>10.936318999999999</v>
      </c>
      <c r="T22">
        <v>11.463621</v>
      </c>
      <c r="U22">
        <v>11.873926000000001</v>
      </c>
      <c r="V22">
        <v>12.113972</v>
      </c>
      <c r="W22">
        <v>12.317895999999999</v>
      </c>
      <c r="X22">
        <v>12.656253</v>
      </c>
      <c r="Y22">
        <v>13.125913000000001</v>
      </c>
      <c r="Z22">
        <v>13.512784999999999</v>
      </c>
      <c r="AA22">
        <v>13.861454</v>
      </c>
      <c r="AB22">
        <v>14.081443999999999</v>
      </c>
      <c r="AC22">
        <v>14.214426</v>
      </c>
      <c r="AD22">
        <v>14.396395</v>
      </c>
      <c r="AE22">
        <v>14.565773</v>
      </c>
      <c r="AF22">
        <v>14.657819</v>
      </c>
      <c r="AG22">
        <v>14.808374000000001</v>
      </c>
      <c r="AH22">
        <v>15.045956</v>
      </c>
      <c r="AI22">
        <v>15.162731000000001</v>
      </c>
      <c r="AJ22">
        <v>15.315306</v>
      </c>
      <c r="AK22">
        <v>15.491807</v>
      </c>
      <c r="AL22">
        <v>15.703849999999999</v>
      </c>
      <c r="AM22">
        <v>15.925936</v>
      </c>
      <c r="AN22">
        <v>16.170849</v>
      </c>
      <c r="AO22">
        <v>16.416498000000001</v>
      </c>
    </row>
    <row r="23" spans="1:41" x14ac:dyDescent="0.25">
      <c r="A23" t="s">
        <v>504</v>
      </c>
      <c r="B23" t="s">
        <v>503</v>
      </c>
      <c r="C23" t="s">
        <v>502</v>
      </c>
      <c r="D23" t="s">
        <v>42</v>
      </c>
      <c r="H23">
        <v>2.7571279999999998</v>
      </c>
      <c r="I23">
        <v>2.6098940000000002</v>
      </c>
      <c r="J23">
        <v>2.6263960000000002</v>
      </c>
      <c r="K23">
        <v>2.5221230000000001</v>
      </c>
      <c r="L23">
        <v>2.2785090000000001</v>
      </c>
      <c r="M23">
        <v>2.386126</v>
      </c>
      <c r="N23">
        <v>2.5063490000000002</v>
      </c>
      <c r="O23">
        <v>2.5972650000000002</v>
      </c>
      <c r="P23">
        <v>2.5478930000000002</v>
      </c>
      <c r="Q23">
        <v>2.5212330000000001</v>
      </c>
      <c r="R23">
        <v>2.505932</v>
      </c>
      <c r="S23">
        <v>2.4810810000000001</v>
      </c>
      <c r="T23">
        <v>2.4700319999999998</v>
      </c>
      <c r="U23">
        <v>2.4489540000000001</v>
      </c>
      <c r="V23">
        <v>2.4375990000000001</v>
      </c>
      <c r="W23">
        <v>2.4292009999999999</v>
      </c>
      <c r="X23">
        <v>2.4163510000000001</v>
      </c>
      <c r="Y23">
        <v>2.407975</v>
      </c>
      <c r="Z23">
        <v>2.390304</v>
      </c>
      <c r="AA23">
        <v>2.377386</v>
      </c>
      <c r="AB23">
        <v>2.3639610000000002</v>
      </c>
      <c r="AC23">
        <v>2.3502559999999999</v>
      </c>
      <c r="AD23">
        <v>2.3369610000000001</v>
      </c>
      <c r="AE23">
        <v>2.3360460000000001</v>
      </c>
      <c r="AF23">
        <v>2.3318880000000002</v>
      </c>
      <c r="AG23">
        <v>2.3164699999999998</v>
      </c>
      <c r="AH23">
        <v>2.3020119999999999</v>
      </c>
      <c r="AI23">
        <v>2.2998270000000001</v>
      </c>
      <c r="AJ23">
        <v>2.290988</v>
      </c>
      <c r="AK23">
        <v>2.284513</v>
      </c>
      <c r="AL23">
        <v>2.2786439999999999</v>
      </c>
      <c r="AM23">
        <v>2.2453609999999999</v>
      </c>
      <c r="AN23">
        <v>2.230556</v>
      </c>
      <c r="AO23">
        <v>2.2278889999999998</v>
      </c>
    </row>
    <row r="24" spans="1:41" x14ac:dyDescent="0.25">
      <c r="A24" t="s">
        <v>501</v>
      </c>
      <c r="B24" t="s">
        <v>500</v>
      </c>
      <c r="C24" t="s">
        <v>499</v>
      </c>
      <c r="D24" t="s">
        <v>42</v>
      </c>
      <c r="H24">
        <v>0.14647099999999999</v>
      </c>
      <c r="I24">
        <v>0.15135499999999999</v>
      </c>
      <c r="J24">
        <v>0.15040100000000001</v>
      </c>
      <c r="K24">
        <v>0.13980699999999999</v>
      </c>
      <c r="L24">
        <v>0.139767</v>
      </c>
      <c r="M24">
        <v>0.14014499999999999</v>
      </c>
      <c r="N24">
        <v>0.139517</v>
      </c>
      <c r="O24">
        <v>0.13769000000000001</v>
      </c>
      <c r="P24">
        <v>0.144374</v>
      </c>
      <c r="Q24">
        <v>0.15201300000000001</v>
      </c>
      <c r="R24">
        <v>0.161825</v>
      </c>
      <c r="S24">
        <v>0.17132500000000001</v>
      </c>
      <c r="T24">
        <v>0.182837</v>
      </c>
      <c r="U24">
        <v>0.192774</v>
      </c>
      <c r="V24">
        <v>0.20222699999999999</v>
      </c>
      <c r="W24">
        <v>0.215724</v>
      </c>
      <c r="X24">
        <v>0.226798</v>
      </c>
      <c r="Y24">
        <v>0.24060799999999999</v>
      </c>
      <c r="Z24">
        <v>0.25264799999999998</v>
      </c>
      <c r="AA24">
        <v>0.265345</v>
      </c>
      <c r="AB24">
        <v>0.27673599999999998</v>
      </c>
      <c r="AC24">
        <v>0.28721000000000002</v>
      </c>
      <c r="AD24">
        <v>0.29714699999999999</v>
      </c>
      <c r="AE24">
        <v>0.30782300000000001</v>
      </c>
      <c r="AF24">
        <v>0.31676599999999999</v>
      </c>
      <c r="AG24">
        <v>0.32266800000000001</v>
      </c>
      <c r="AH24">
        <v>0.32896900000000001</v>
      </c>
      <c r="AI24">
        <v>0.33783200000000002</v>
      </c>
      <c r="AJ24">
        <v>0.345586</v>
      </c>
      <c r="AK24">
        <v>0.35162399999999999</v>
      </c>
      <c r="AL24">
        <v>0.355346</v>
      </c>
      <c r="AM24">
        <v>0.35873100000000002</v>
      </c>
      <c r="AN24">
        <v>0.36248599999999997</v>
      </c>
      <c r="AO24">
        <v>0.36586800000000003</v>
      </c>
    </row>
    <row r="25" spans="1:41" x14ac:dyDescent="0.25">
      <c r="A25" t="s">
        <v>498</v>
      </c>
      <c r="B25" t="s">
        <v>497</v>
      </c>
      <c r="C25" t="s">
        <v>496</v>
      </c>
      <c r="D25" t="s">
        <v>42</v>
      </c>
      <c r="H25">
        <v>0.27030700000000002</v>
      </c>
      <c r="I25">
        <v>0.30338500000000002</v>
      </c>
      <c r="J25">
        <v>0.30125400000000002</v>
      </c>
      <c r="K25">
        <v>0.29455799999999999</v>
      </c>
      <c r="L25">
        <v>0.28105400000000003</v>
      </c>
      <c r="M25">
        <v>0.28147100000000003</v>
      </c>
      <c r="N25">
        <v>0.29791600000000001</v>
      </c>
      <c r="O25">
        <v>0.309257</v>
      </c>
      <c r="P25">
        <v>0.31826700000000002</v>
      </c>
      <c r="Q25">
        <v>0.32755000000000001</v>
      </c>
      <c r="R25">
        <v>0.34025499999999997</v>
      </c>
      <c r="S25">
        <v>0.34511799999999998</v>
      </c>
      <c r="T25">
        <v>0.35494999999999999</v>
      </c>
      <c r="U25">
        <v>0.363817</v>
      </c>
      <c r="V25">
        <v>0.373888</v>
      </c>
      <c r="W25">
        <v>0.38710099999999997</v>
      </c>
      <c r="X25">
        <v>0.40103</v>
      </c>
      <c r="Y25">
        <v>0.40898400000000001</v>
      </c>
      <c r="Z25">
        <v>0.42267199999999999</v>
      </c>
      <c r="AA25">
        <v>0.43479000000000001</v>
      </c>
      <c r="AB25">
        <v>0.445378</v>
      </c>
      <c r="AC25">
        <v>0.460285</v>
      </c>
      <c r="AD25">
        <v>0.46767999999999998</v>
      </c>
      <c r="AE25">
        <v>0.47550399999999998</v>
      </c>
      <c r="AF25">
        <v>0.48556500000000002</v>
      </c>
      <c r="AG25">
        <v>0.49446600000000002</v>
      </c>
      <c r="AH25">
        <v>0.50627</v>
      </c>
      <c r="AI25">
        <v>0.51477200000000001</v>
      </c>
      <c r="AJ25">
        <v>0.52160799999999996</v>
      </c>
      <c r="AK25">
        <v>0.52797499999999997</v>
      </c>
      <c r="AL25">
        <v>0.54013</v>
      </c>
      <c r="AM25">
        <v>0.54454999999999998</v>
      </c>
      <c r="AN25">
        <v>0.55781499999999995</v>
      </c>
      <c r="AO25">
        <v>0.56517799999999996</v>
      </c>
    </row>
    <row r="26" spans="1:41" x14ac:dyDescent="0.25">
      <c r="A26" t="s">
        <v>495</v>
      </c>
      <c r="B26" t="s">
        <v>494</v>
      </c>
      <c r="C26" t="s">
        <v>493</v>
      </c>
      <c r="D26" t="s">
        <v>42</v>
      </c>
      <c r="H26">
        <v>0.230408</v>
      </c>
      <c r="I26">
        <v>0.22256999999999999</v>
      </c>
      <c r="J26">
        <v>0.20382</v>
      </c>
      <c r="K26">
        <v>0.204482</v>
      </c>
      <c r="L26">
        <v>0.205146</v>
      </c>
      <c r="M26">
        <v>0.19200800000000001</v>
      </c>
      <c r="N26">
        <v>0.18832499999999999</v>
      </c>
      <c r="O26">
        <v>0.18188799999999999</v>
      </c>
      <c r="P26">
        <v>0.18600700000000001</v>
      </c>
      <c r="Q26">
        <v>0.18368999999999999</v>
      </c>
      <c r="R26">
        <v>0.180898</v>
      </c>
      <c r="S26">
        <v>0.17294499999999999</v>
      </c>
      <c r="T26">
        <v>0.17330100000000001</v>
      </c>
      <c r="U26">
        <v>0.17174500000000001</v>
      </c>
      <c r="V26">
        <v>0.17504700000000001</v>
      </c>
      <c r="W26">
        <v>0.174542</v>
      </c>
      <c r="X26">
        <v>0.17777599999999999</v>
      </c>
      <c r="Y26">
        <v>0.17744599999999999</v>
      </c>
      <c r="Z26">
        <v>0.17594099999999999</v>
      </c>
      <c r="AA26">
        <v>0.17483000000000001</v>
      </c>
      <c r="AB26">
        <v>0.17527999999999999</v>
      </c>
      <c r="AC26">
        <v>0.175844</v>
      </c>
      <c r="AD26">
        <v>0.17557300000000001</v>
      </c>
      <c r="AE26">
        <v>0.17538500000000001</v>
      </c>
      <c r="AF26">
        <v>0.17521700000000001</v>
      </c>
      <c r="AG26">
        <v>0.17443600000000001</v>
      </c>
      <c r="AH26">
        <v>0.17460000000000001</v>
      </c>
      <c r="AI26">
        <v>0.17480399999999999</v>
      </c>
      <c r="AJ26">
        <v>0.17480599999999999</v>
      </c>
      <c r="AK26">
        <v>0.174621</v>
      </c>
      <c r="AL26">
        <v>0.17474400000000001</v>
      </c>
      <c r="AM26">
        <v>0.17475499999999999</v>
      </c>
      <c r="AN26">
        <v>0.17454</v>
      </c>
      <c r="AO26">
        <v>0.174565</v>
      </c>
    </row>
    <row r="27" spans="1:41" x14ac:dyDescent="0.25">
      <c r="A27" t="s">
        <v>492</v>
      </c>
      <c r="B27" t="s">
        <v>491</v>
      </c>
      <c r="C27" t="s">
        <v>490</v>
      </c>
      <c r="D27" t="s">
        <v>42</v>
      </c>
      <c r="H27">
        <v>0.177645</v>
      </c>
      <c r="I27">
        <v>0.17693800000000001</v>
      </c>
      <c r="J27">
        <v>0.166522</v>
      </c>
      <c r="K27">
        <v>0.16355900000000001</v>
      </c>
      <c r="L27">
        <v>0.16906399999999999</v>
      </c>
      <c r="M27">
        <v>0.15864700000000001</v>
      </c>
      <c r="N27">
        <v>0.15654699999999999</v>
      </c>
      <c r="O27">
        <v>0.15043999999999999</v>
      </c>
      <c r="P27">
        <v>0.149862</v>
      </c>
      <c r="Q27">
        <v>0.14976100000000001</v>
      </c>
      <c r="R27">
        <v>0.14967800000000001</v>
      </c>
      <c r="S27">
        <v>0.14294999999999999</v>
      </c>
      <c r="T27">
        <v>0.14239199999999999</v>
      </c>
      <c r="U27">
        <v>0.14211699999999999</v>
      </c>
      <c r="V27">
        <v>0.144788</v>
      </c>
      <c r="W27">
        <v>0.14383799999999999</v>
      </c>
      <c r="X27">
        <v>0.146949</v>
      </c>
      <c r="Y27">
        <v>0.14694599999999999</v>
      </c>
      <c r="Z27">
        <v>0.145868</v>
      </c>
      <c r="AA27">
        <v>0.145283</v>
      </c>
      <c r="AB27">
        <v>0.14534900000000001</v>
      </c>
      <c r="AC27">
        <v>0.14543800000000001</v>
      </c>
      <c r="AD27">
        <v>0.14513100000000001</v>
      </c>
      <c r="AE27">
        <v>0.145375</v>
      </c>
      <c r="AF27">
        <v>0.14537600000000001</v>
      </c>
      <c r="AG27">
        <v>0.144652</v>
      </c>
      <c r="AH27">
        <v>0.14454900000000001</v>
      </c>
      <c r="AI27">
        <v>0.144369</v>
      </c>
      <c r="AJ27">
        <v>0.144376</v>
      </c>
      <c r="AK27">
        <v>0.144205</v>
      </c>
      <c r="AL27">
        <v>0.14431099999999999</v>
      </c>
      <c r="AM27">
        <v>0.14432200000000001</v>
      </c>
      <c r="AN27">
        <v>0.14413699999999999</v>
      </c>
      <c r="AO27">
        <v>0.14415600000000001</v>
      </c>
    </row>
    <row r="28" spans="1:41" x14ac:dyDescent="0.25">
      <c r="A28" t="s">
        <v>489</v>
      </c>
      <c r="B28" t="s">
        <v>488</v>
      </c>
      <c r="C28" t="s">
        <v>487</v>
      </c>
      <c r="D28" t="s">
        <v>42</v>
      </c>
      <c r="H28">
        <v>5.2762999999999997E-2</v>
      </c>
      <c r="I28">
        <v>4.5631999999999999E-2</v>
      </c>
      <c r="J28">
        <v>3.7296999999999997E-2</v>
      </c>
      <c r="K28">
        <v>4.0923000000000001E-2</v>
      </c>
      <c r="L28">
        <v>3.6082999999999997E-2</v>
      </c>
      <c r="M28">
        <v>3.3361000000000002E-2</v>
      </c>
      <c r="N28">
        <v>3.1778000000000001E-2</v>
      </c>
      <c r="O28">
        <v>3.1447999999999997E-2</v>
      </c>
      <c r="P28">
        <v>3.6144999999999997E-2</v>
      </c>
      <c r="Q28">
        <v>3.3929000000000001E-2</v>
      </c>
      <c r="R28">
        <v>3.1220000000000001E-2</v>
      </c>
      <c r="S28">
        <v>2.9995000000000001E-2</v>
      </c>
      <c r="T28">
        <v>3.0908999999999999E-2</v>
      </c>
      <c r="U28">
        <v>2.9628000000000002E-2</v>
      </c>
      <c r="V28">
        <v>3.0259000000000001E-2</v>
      </c>
      <c r="W28">
        <v>3.0703000000000001E-2</v>
      </c>
      <c r="X28">
        <v>3.0825999999999999E-2</v>
      </c>
      <c r="Y28">
        <v>3.0499999999999999E-2</v>
      </c>
      <c r="Z28">
        <v>3.0072999999999999E-2</v>
      </c>
      <c r="AA28">
        <v>2.9548000000000001E-2</v>
      </c>
      <c r="AB28">
        <v>2.9930999999999999E-2</v>
      </c>
      <c r="AC28">
        <v>3.0405999999999999E-2</v>
      </c>
      <c r="AD28">
        <v>3.0442E-2</v>
      </c>
      <c r="AE28">
        <v>3.0010999999999999E-2</v>
      </c>
      <c r="AF28">
        <v>2.9840999999999999E-2</v>
      </c>
      <c r="AG28">
        <v>2.9784000000000001E-2</v>
      </c>
      <c r="AH28">
        <v>3.0051000000000001E-2</v>
      </c>
      <c r="AI28">
        <v>3.0433999999999999E-2</v>
      </c>
      <c r="AJ28">
        <v>3.0429999999999999E-2</v>
      </c>
      <c r="AK28">
        <v>3.0415999999999999E-2</v>
      </c>
      <c r="AL28">
        <v>3.0432000000000001E-2</v>
      </c>
      <c r="AM28">
        <v>3.0433000000000002E-2</v>
      </c>
      <c r="AN28">
        <v>3.0402999999999999E-2</v>
      </c>
      <c r="AO28">
        <v>3.0408999999999999E-2</v>
      </c>
    </row>
    <row r="29" spans="1:41" x14ac:dyDescent="0.25">
      <c r="A29" t="s">
        <v>445</v>
      </c>
      <c r="B29" t="s">
        <v>486</v>
      </c>
      <c r="C29" t="s">
        <v>485</v>
      </c>
      <c r="D29" t="s">
        <v>42</v>
      </c>
      <c r="H29">
        <v>3.0306E-2</v>
      </c>
      <c r="I29">
        <v>3.3104000000000001E-2</v>
      </c>
      <c r="J29">
        <v>3.1074000000000001E-2</v>
      </c>
      <c r="K29">
        <v>2.9326000000000001E-2</v>
      </c>
      <c r="L29">
        <v>2.8909000000000001E-2</v>
      </c>
      <c r="M29">
        <v>2.7994000000000002E-2</v>
      </c>
      <c r="N29">
        <v>2.6036E-2</v>
      </c>
      <c r="O29">
        <v>2.5486000000000002E-2</v>
      </c>
      <c r="P29">
        <v>2.5027000000000001E-2</v>
      </c>
      <c r="Q29">
        <v>2.4038E-2</v>
      </c>
      <c r="R29">
        <v>2.3782000000000001E-2</v>
      </c>
      <c r="S29">
        <v>2.4011000000000001E-2</v>
      </c>
      <c r="T29">
        <v>2.3512000000000002E-2</v>
      </c>
      <c r="U29">
        <v>2.3401000000000002E-2</v>
      </c>
      <c r="V29">
        <v>2.2884999999999999E-2</v>
      </c>
      <c r="W29">
        <v>2.3164000000000001E-2</v>
      </c>
      <c r="X29">
        <v>2.3164000000000001E-2</v>
      </c>
      <c r="Y29">
        <v>2.3088999999999998E-2</v>
      </c>
      <c r="Z29">
        <v>2.3039E-2</v>
      </c>
      <c r="AA29">
        <v>2.3255000000000001E-2</v>
      </c>
      <c r="AB29">
        <v>2.2915999999999999E-2</v>
      </c>
      <c r="AC29">
        <v>2.2349999999999998E-2</v>
      </c>
      <c r="AD29">
        <v>2.2422999999999998E-2</v>
      </c>
      <c r="AE29">
        <v>2.1824E-2</v>
      </c>
      <c r="AF29">
        <v>2.2436000000000001E-2</v>
      </c>
      <c r="AG29">
        <v>2.0022000000000002E-2</v>
      </c>
      <c r="AH29">
        <v>2.2952E-2</v>
      </c>
      <c r="AI29">
        <v>2.0868999999999999E-2</v>
      </c>
      <c r="AJ29">
        <v>2.0237000000000002E-2</v>
      </c>
      <c r="AK29">
        <v>2.0551E-2</v>
      </c>
      <c r="AL29">
        <v>2.0455000000000001E-2</v>
      </c>
      <c r="AM29">
        <v>2.0353E-2</v>
      </c>
      <c r="AN29">
        <v>1.9675999999999999E-2</v>
      </c>
      <c r="AO29">
        <v>2.2030999999999999E-2</v>
      </c>
    </row>
    <row r="30" spans="1:41" x14ac:dyDescent="0.25">
      <c r="A30" t="s">
        <v>442</v>
      </c>
      <c r="B30" t="s">
        <v>484</v>
      </c>
      <c r="C30" t="s">
        <v>483</v>
      </c>
      <c r="D30" t="s">
        <v>42</v>
      </c>
      <c r="H30">
        <v>0.46062399999999998</v>
      </c>
      <c r="I30">
        <v>0.58218800000000004</v>
      </c>
      <c r="J30">
        <v>0.63320299999999996</v>
      </c>
      <c r="K30">
        <v>0.73886200000000002</v>
      </c>
      <c r="L30">
        <v>0.91008199999999995</v>
      </c>
      <c r="M30">
        <v>1.204032</v>
      </c>
      <c r="N30">
        <v>1.5994330000000001</v>
      </c>
      <c r="O30">
        <v>2.3969969999999998</v>
      </c>
      <c r="P30">
        <v>2.642442</v>
      </c>
      <c r="Q30">
        <v>2.7731880000000002</v>
      </c>
      <c r="R30">
        <v>2.9005800000000002</v>
      </c>
      <c r="S30">
        <v>3.1401080000000001</v>
      </c>
      <c r="T30">
        <v>3.5919249999999998</v>
      </c>
      <c r="U30">
        <v>3.8193570000000001</v>
      </c>
      <c r="V30">
        <v>4.0016619999999996</v>
      </c>
      <c r="W30">
        <v>4.1886299999999999</v>
      </c>
      <c r="X30">
        <v>4.5193789999999998</v>
      </c>
      <c r="Y30">
        <v>4.8497349999999999</v>
      </c>
      <c r="Z30">
        <v>5.0466930000000003</v>
      </c>
      <c r="AA30">
        <v>5.3048260000000003</v>
      </c>
      <c r="AB30">
        <v>5.4768480000000004</v>
      </c>
      <c r="AC30">
        <v>5.59964</v>
      </c>
      <c r="AD30">
        <v>5.7790350000000004</v>
      </c>
      <c r="AE30">
        <v>5.9068889999999996</v>
      </c>
      <c r="AF30">
        <v>5.969163</v>
      </c>
      <c r="AG30">
        <v>6.0807390000000003</v>
      </c>
      <c r="AH30">
        <v>6.2341920000000002</v>
      </c>
      <c r="AI30">
        <v>6.350657</v>
      </c>
      <c r="AJ30">
        <v>6.4921889999999998</v>
      </c>
      <c r="AK30">
        <v>6.6009830000000003</v>
      </c>
      <c r="AL30">
        <v>6.7669730000000001</v>
      </c>
      <c r="AM30">
        <v>6.998704</v>
      </c>
      <c r="AN30">
        <v>7.2059519999999999</v>
      </c>
      <c r="AO30">
        <v>7.372166</v>
      </c>
    </row>
    <row r="31" spans="1:41" x14ac:dyDescent="0.25">
      <c r="A31" t="s">
        <v>439</v>
      </c>
      <c r="B31" t="s">
        <v>482</v>
      </c>
      <c r="C31" t="s">
        <v>481</v>
      </c>
      <c r="D31" t="s">
        <v>42</v>
      </c>
      <c r="H31">
        <v>2.3516159999999999</v>
      </c>
      <c r="I31">
        <v>2.5264250000000001</v>
      </c>
      <c r="J31">
        <v>2.705981</v>
      </c>
      <c r="K31">
        <v>3.0600890000000001</v>
      </c>
      <c r="L31">
        <v>3.3213710000000001</v>
      </c>
      <c r="M31">
        <v>3.723115</v>
      </c>
      <c r="N31">
        <v>3.8514330000000001</v>
      </c>
      <c r="O31">
        <v>4.0189979999999998</v>
      </c>
      <c r="P31">
        <v>4.4043970000000003</v>
      </c>
      <c r="Q31">
        <v>4.5471599999999999</v>
      </c>
      <c r="R31">
        <v>4.5740280000000002</v>
      </c>
      <c r="S31">
        <v>4.6017320000000002</v>
      </c>
      <c r="T31">
        <v>4.6670639999999999</v>
      </c>
      <c r="U31">
        <v>4.8538779999999999</v>
      </c>
      <c r="V31">
        <v>4.9006639999999999</v>
      </c>
      <c r="W31">
        <v>4.8995340000000001</v>
      </c>
      <c r="X31">
        <v>4.8917549999999999</v>
      </c>
      <c r="Y31">
        <v>5.0180749999999996</v>
      </c>
      <c r="Z31">
        <v>5.2014880000000003</v>
      </c>
      <c r="AA31">
        <v>5.281021</v>
      </c>
      <c r="AB31">
        <v>5.3203250000000004</v>
      </c>
      <c r="AC31">
        <v>5.3188409999999999</v>
      </c>
      <c r="AD31">
        <v>5.3175759999999999</v>
      </c>
      <c r="AE31">
        <v>5.342301</v>
      </c>
      <c r="AF31">
        <v>5.3567840000000002</v>
      </c>
      <c r="AG31">
        <v>5.3995730000000002</v>
      </c>
      <c r="AH31">
        <v>5.4769610000000002</v>
      </c>
      <c r="AI31">
        <v>5.4639709999999999</v>
      </c>
      <c r="AJ31">
        <v>5.4698919999999998</v>
      </c>
      <c r="AK31">
        <v>5.5315399999999997</v>
      </c>
      <c r="AL31">
        <v>5.5675559999999997</v>
      </c>
      <c r="AM31">
        <v>5.5834820000000001</v>
      </c>
      <c r="AN31">
        <v>5.6198220000000001</v>
      </c>
      <c r="AO31">
        <v>5.6887999999999996</v>
      </c>
    </row>
    <row r="32" spans="1:41" x14ac:dyDescent="0.25">
      <c r="A32" t="s">
        <v>480</v>
      </c>
      <c r="B32" t="s">
        <v>479</v>
      </c>
      <c r="C32" t="s">
        <v>478</v>
      </c>
      <c r="D32" t="s">
        <v>42</v>
      </c>
      <c r="H32">
        <v>10.704628</v>
      </c>
      <c r="I32">
        <v>10.979689</v>
      </c>
      <c r="J32">
        <v>11.369695999999999</v>
      </c>
      <c r="K32">
        <v>11.344614999999999</v>
      </c>
      <c r="L32">
        <v>11.730729</v>
      </c>
      <c r="M32">
        <v>12.689444</v>
      </c>
      <c r="N32">
        <v>13.254916</v>
      </c>
      <c r="O32">
        <v>14.335429</v>
      </c>
      <c r="P32">
        <v>14.964892000000001</v>
      </c>
      <c r="Q32">
        <v>15.237674999999999</v>
      </c>
      <c r="R32">
        <v>15.4002</v>
      </c>
      <c r="S32">
        <v>15.656560000000001</v>
      </c>
      <c r="T32">
        <v>16.193328999999999</v>
      </c>
      <c r="U32">
        <v>16.614742</v>
      </c>
      <c r="V32">
        <v>16.863588</v>
      </c>
      <c r="W32">
        <v>17.073269</v>
      </c>
      <c r="X32">
        <v>17.41572</v>
      </c>
      <c r="Y32">
        <v>17.887474000000001</v>
      </c>
      <c r="Z32">
        <v>18.293209000000001</v>
      </c>
      <c r="AA32">
        <v>18.641124999999999</v>
      </c>
      <c r="AB32">
        <v>18.877179999999999</v>
      </c>
      <c r="AC32">
        <v>19.057791000000002</v>
      </c>
      <c r="AD32">
        <v>19.254635</v>
      </c>
      <c r="AE32">
        <v>19.444102999999998</v>
      </c>
      <c r="AF32">
        <v>19.573499999999999</v>
      </c>
      <c r="AG32">
        <v>19.756782999999999</v>
      </c>
      <c r="AH32">
        <v>20.044920000000001</v>
      </c>
      <c r="AI32">
        <v>20.208196999999998</v>
      </c>
      <c r="AJ32">
        <v>20.391100000000002</v>
      </c>
      <c r="AK32">
        <v>20.611522999999998</v>
      </c>
      <c r="AL32">
        <v>20.856145999999999</v>
      </c>
      <c r="AM32">
        <v>21.124939000000001</v>
      </c>
      <c r="AN32">
        <v>21.413647000000001</v>
      </c>
      <c r="AO32">
        <v>21.704933</v>
      </c>
    </row>
    <row r="33" spans="1:41" x14ac:dyDescent="0.25">
      <c r="A33" t="s">
        <v>477</v>
      </c>
      <c r="C33" t="s">
        <v>476</v>
      </c>
    </row>
    <row r="34" spans="1:41" x14ac:dyDescent="0.25">
      <c r="A34" t="s">
        <v>475</v>
      </c>
      <c r="B34" t="s">
        <v>474</v>
      </c>
      <c r="C34" t="s">
        <v>473</v>
      </c>
      <c r="D34" t="s">
        <v>42</v>
      </c>
      <c r="H34">
        <v>1.3092159999999999</v>
      </c>
      <c r="I34">
        <v>1.3181339999999999</v>
      </c>
      <c r="J34">
        <v>1.294333</v>
      </c>
      <c r="K34">
        <v>1.133613</v>
      </c>
      <c r="L34">
        <v>1.2178500000000001</v>
      </c>
      <c r="M34">
        <v>1.2601420000000001</v>
      </c>
      <c r="N34">
        <v>1.3338620000000001</v>
      </c>
      <c r="O34">
        <v>1.3364149999999999</v>
      </c>
      <c r="P34">
        <v>1.3519749999999999</v>
      </c>
      <c r="Q34">
        <v>1.3576330000000001</v>
      </c>
      <c r="R34">
        <v>1.3614930000000001</v>
      </c>
      <c r="S34">
        <v>1.364473</v>
      </c>
      <c r="T34">
        <v>1.3645590000000001</v>
      </c>
      <c r="U34">
        <v>1.374466</v>
      </c>
      <c r="V34">
        <v>1.3812439999999999</v>
      </c>
      <c r="W34">
        <v>1.3881129999999999</v>
      </c>
      <c r="X34">
        <v>1.397095</v>
      </c>
      <c r="Y34">
        <v>1.4060980000000001</v>
      </c>
      <c r="Z34">
        <v>1.4153260000000001</v>
      </c>
      <c r="AA34">
        <v>1.4242170000000001</v>
      </c>
      <c r="AB34">
        <v>1.4344939999999999</v>
      </c>
      <c r="AC34">
        <v>1.445341</v>
      </c>
      <c r="AD34">
        <v>1.4576720000000001</v>
      </c>
      <c r="AE34">
        <v>1.4815480000000001</v>
      </c>
      <c r="AF34">
        <v>1.4948220000000001</v>
      </c>
      <c r="AG34">
        <v>1.5090300000000001</v>
      </c>
      <c r="AH34">
        <v>1.5237700000000001</v>
      </c>
      <c r="AI34">
        <v>1.5397799999999999</v>
      </c>
      <c r="AJ34">
        <v>1.5565150000000001</v>
      </c>
      <c r="AK34">
        <v>1.5752520000000001</v>
      </c>
      <c r="AL34">
        <v>1.5940700000000001</v>
      </c>
      <c r="AM34">
        <v>1.62578</v>
      </c>
      <c r="AN34">
        <v>1.64666</v>
      </c>
      <c r="AO34">
        <v>1.669157</v>
      </c>
    </row>
    <row r="35" spans="1:41" x14ac:dyDescent="0.25">
      <c r="A35" t="s">
        <v>472</v>
      </c>
      <c r="B35" t="s">
        <v>471</v>
      </c>
      <c r="C35" t="s">
        <v>470</v>
      </c>
      <c r="D35" t="s">
        <v>42</v>
      </c>
      <c r="H35">
        <v>7.3800000000000005E-4</v>
      </c>
      <c r="I35">
        <v>1.8959999999999999E-3</v>
      </c>
      <c r="J35">
        <v>5.0500000000000002E-4</v>
      </c>
      <c r="K35">
        <v>9.9999999999999995E-7</v>
      </c>
      <c r="L35">
        <v>1.4139999999999999E-3</v>
      </c>
      <c r="M35">
        <v>6.8900000000000005E-4</v>
      </c>
      <c r="N35">
        <v>4.6799999999999999E-4</v>
      </c>
      <c r="O35">
        <v>7.1000000000000002E-4</v>
      </c>
      <c r="P35">
        <v>4.9600000000000002E-4</v>
      </c>
      <c r="Q35">
        <v>7.1000000000000002E-4</v>
      </c>
      <c r="R35">
        <v>7.1000000000000002E-4</v>
      </c>
      <c r="S35">
        <v>7.1000000000000002E-4</v>
      </c>
      <c r="T35">
        <v>7.1000000000000002E-4</v>
      </c>
      <c r="U35">
        <v>7.1000000000000002E-4</v>
      </c>
      <c r="V35">
        <v>4.6299999999999998E-4</v>
      </c>
      <c r="W35">
        <v>7.1000000000000002E-4</v>
      </c>
      <c r="X35">
        <v>7.1000000000000002E-4</v>
      </c>
      <c r="Y35">
        <v>7.1000000000000002E-4</v>
      </c>
      <c r="Z35">
        <v>7.1000000000000002E-4</v>
      </c>
      <c r="AA35">
        <v>7.1000000000000002E-4</v>
      </c>
      <c r="AB35">
        <v>7.1000000000000002E-4</v>
      </c>
      <c r="AC35">
        <v>7.1000000000000002E-4</v>
      </c>
      <c r="AD35">
        <v>7.1000000000000002E-4</v>
      </c>
      <c r="AE35">
        <v>7.1000000000000002E-4</v>
      </c>
      <c r="AF35">
        <v>7.1000000000000002E-4</v>
      </c>
      <c r="AG35">
        <v>7.1000000000000002E-4</v>
      </c>
      <c r="AH35">
        <v>7.1000000000000002E-4</v>
      </c>
      <c r="AI35">
        <v>4.6299999999999998E-4</v>
      </c>
      <c r="AJ35">
        <v>7.1000000000000002E-4</v>
      </c>
      <c r="AK35">
        <v>4.6299999999999998E-4</v>
      </c>
      <c r="AL35">
        <v>4.6700000000000002E-4</v>
      </c>
      <c r="AM35">
        <v>4.6299999999999998E-4</v>
      </c>
      <c r="AN35">
        <v>4.6299999999999998E-4</v>
      </c>
      <c r="AO35">
        <v>4.6299999999999998E-4</v>
      </c>
    </row>
    <row r="36" spans="1:41" x14ac:dyDescent="0.25">
      <c r="A36" t="s">
        <v>469</v>
      </c>
      <c r="B36" t="s">
        <v>468</v>
      </c>
      <c r="C36" t="s">
        <v>467</v>
      </c>
      <c r="D36" t="s">
        <v>42</v>
      </c>
      <c r="H36">
        <v>-0.110655</v>
      </c>
      <c r="I36">
        <v>-0.132965</v>
      </c>
      <c r="J36">
        <v>-0.114745</v>
      </c>
      <c r="K36">
        <v>-9.8394999999999996E-2</v>
      </c>
      <c r="L36">
        <v>-9.8820000000000005E-2</v>
      </c>
      <c r="M36">
        <v>-0.10589</v>
      </c>
      <c r="N36">
        <v>-0.14177500000000001</v>
      </c>
      <c r="O36">
        <v>-0.14532</v>
      </c>
      <c r="P36">
        <v>-0.15639900000000001</v>
      </c>
      <c r="Q36">
        <v>-0.15997600000000001</v>
      </c>
      <c r="R36">
        <v>-0.16409299999999999</v>
      </c>
      <c r="S36">
        <v>-0.16832800000000001</v>
      </c>
      <c r="T36">
        <v>-0.168521</v>
      </c>
      <c r="U36">
        <v>-0.17687800000000001</v>
      </c>
      <c r="V36">
        <v>-0.18087700000000001</v>
      </c>
      <c r="W36">
        <v>-0.18590599999999999</v>
      </c>
      <c r="X36">
        <v>-0.190548</v>
      </c>
      <c r="Y36">
        <v>-0.19531000000000001</v>
      </c>
      <c r="Z36">
        <v>-0.20019300000000001</v>
      </c>
      <c r="AA36">
        <v>-0.20519599999999999</v>
      </c>
      <c r="AB36">
        <v>-0.21033499999999999</v>
      </c>
      <c r="AC36">
        <v>-0.21559500000000001</v>
      </c>
      <c r="AD36">
        <v>-0.220975</v>
      </c>
      <c r="AE36">
        <v>-0.237292</v>
      </c>
      <c r="AF36">
        <v>-0.243228</v>
      </c>
      <c r="AG36">
        <v>-0.249306</v>
      </c>
      <c r="AH36">
        <v>-0.25554300000000002</v>
      </c>
      <c r="AI36">
        <v>-0.26192100000000001</v>
      </c>
      <c r="AJ36">
        <v>-0.26847300000000002</v>
      </c>
      <c r="AK36">
        <v>-0.27518300000000001</v>
      </c>
      <c r="AL36">
        <v>-0.28206599999999998</v>
      </c>
      <c r="AM36">
        <v>-0.30186400000000002</v>
      </c>
      <c r="AN36">
        <v>-0.30939699999999998</v>
      </c>
      <c r="AO36">
        <v>-0.31717099999999998</v>
      </c>
    </row>
    <row r="37" spans="1:41" x14ac:dyDescent="0.25">
      <c r="A37" t="s">
        <v>466</v>
      </c>
      <c r="B37" t="s">
        <v>465</v>
      </c>
      <c r="C37" t="s">
        <v>464</v>
      </c>
      <c r="D37" t="s">
        <v>42</v>
      </c>
      <c r="H37">
        <v>1.1992989999999999</v>
      </c>
      <c r="I37">
        <v>1.187066</v>
      </c>
      <c r="J37">
        <v>1.180094</v>
      </c>
      <c r="K37">
        <v>1.035218</v>
      </c>
      <c r="L37">
        <v>1.120444</v>
      </c>
      <c r="M37">
        <v>1.1549400000000001</v>
      </c>
      <c r="N37">
        <v>1.192555</v>
      </c>
      <c r="O37">
        <v>1.191805</v>
      </c>
      <c r="P37">
        <v>1.196072</v>
      </c>
      <c r="Q37">
        <v>1.198367</v>
      </c>
      <c r="R37">
        <v>1.1981109999999999</v>
      </c>
      <c r="S37">
        <v>1.1968559999999999</v>
      </c>
      <c r="T37">
        <v>1.1967479999999999</v>
      </c>
      <c r="U37">
        <v>1.198299</v>
      </c>
      <c r="V37">
        <v>1.2008289999999999</v>
      </c>
      <c r="W37">
        <v>1.2029160000000001</v>
      </c>
      <c r="X37">
        <v>1.207257</v>
      </c>
      <c r="Y37">
        <v>1.211498</v>
      </c>
      <c r="Z37">
        <v>1.215843</v>
      </c>
      <c r="AA37">
        <v>1.2197309999999999</v>
      </c>
      <c r="AB37">
        <v>1.224869</v>
      </c>
      <c r="AC37">
        <v>1.230456</v>
      </c>
      <c r="AD37">
        <v>1.2374069999999999</v>
      </c>
      <c r="AE37">
        <v>1.244966</v>
      </c>
      <c r="AF37">
        <v>1.2523040000000001</v>
      </c>
      <c r="AG37">
        <v>1.2604329999999999</v>
      </c>
      <c r="AH37">
        <v>1.2689379999999999</v>
      </c>
      <c r="AI37">
        <v>1.278322</v>
      </c>
      <c r="AJ37">
        <v>1.288753</v>
      </c>
      <c r="AK37">
        <v>1.300532</v>
      </c>
      <c r="AL37">
        <v>1.3124709999999999</v>
      </c>
      <c r="AM37">
        <v>1.324379</v>
      </c>
      <c r="AN37">
        <v>1.337726</v>
      </c>
      <c r="AO37">
        <v>1.352449</v>
      </c>
    </row>
    <row r="38" spans="1:41" x14ac:dyDescent="0.25">
      <c r="A38" t="s">
        <v>463</v>
      </c>
      <c r="C38" t="s">
        <v>462</v>
      </c>
    </row>
    <row r="39" spans="1:41" x14ac:dyDescent="0.25">
      <c r="A39" t="s">
        <v>461</v>
      </c>
      <c r="C39" t="s">
        <v>460</v>
      </c>
    </row>
    <row r="40" spans="1:41" x14ac:dyDescent="0.25">
      <c r="A40" t="s">
        <v>213</v>
      </c>
      <c r="B40" t="s">
        <v>459</v>
      </c>
      <c r="C40" t="s">
        <v>458</v>
      </c>
      <c r="D40" t="s">
        <v>42</v>
      </c>
      <c r="H40">
        <v>0.18323200000000001</v>
      </c>
      <c r="I40">
        <v>0.229909</v>
      </c>
      <c r="J40">
        <v>0.24008599999999999</v>
      </c>
      <c r="K40">
        <v>0.27982400000000002</v>
      </c>
      <c r="L40">
        <v>0.34078799999999998</v>
      </c>
      <c r="M40">
        <v>0.38130900000000001</v>
      </c>
      <c r="N40">
        <v>0.419325</v>
      </c>
      <c r="O40">
        <v>0.442722</v>
      </c>
      <c r="P40">
        <v>0.46782299999999999</v>
      </c>
      <c r="Q40">
        <v>0.49006499999999997</v>
      </c>
      <c r="R40">
        <v>0.51699799999999996</v>
      </c>
      <c r="S40">
        <v>0.544956</v>
      </c>
      <c r="T40">
        <v>0.57255100000000003</v>
      </c>
      <c r="U40">
        <v>0.60084000000000004</v>
      </c>
      <c r="V40">
        <v>0.63319599999999998</v>
      </c>
      <c r="W40">
        <v>0.66405599999999998</v>
      </c>
      <c r="X40">
        <v>0.697855</v>
      </c>
      <c r="Y40">
        <v>0.73196099999999997</v>
      </c>
      <c r="Z40">
        <v>0.767872</v>
      </c>
      <c r="AA40">
        <v>0.80532000000000004</v>
      </c>
      <c r="AB40">
        <v>0.84686700000000004</v>
      </c>
      <c r="AC40">
        <v>0.89003900000000002</v>
      </c>
      <c r="AD40">
        <v>0.93750199999999995</v>
      </c>
      <c r="AE40">
        <v>0.986676</v>
      </c>
      <c r="AF40">
        <v>1.0352650000000001</v>
      </c>
      <c r="AG40">
        <v>1.0890610000000001</v>
      </c>
      <c r="AH40">
        <v>1.148234</v>
      </c>
      <c r="AI40">
        <v>1.205276</v>
      </c>
      <c r="AJ40">
        <v>1.2679100000000001</v>
      </c>
      <c r="AK40">
        <v>1.331056</v>
      </c>
      <c r="AL40">
        <v>1.3985719999999999</v>
      </c>
      <c r="AM40">
        <v>1.474351</v>
      </c>
      <c r="AN40">
        <v>1.5559069999999999</v>
      </c>
      <c r="AO40">
        <v>1.6330100000000001</v>
      </c>
    </row>
    <row r="41" spans="1:41" x14ac:dyDescent="0.25">
      <c r="A41" t="s">
        <v>457</v>
      </c>
      <c r="B41" t="s">
        <v>456</v>
      </c>
      <c r="C41" t="s">
        <v>455</v>
      </c>
      <c r="D41" t="s">
        <v>42</v>
      </c>
      <c r="H41">
        <v>2.1384E-2</v>
      </c>
      <c r="I41">
        <v>2.9434999999999999E-2</v>
      </c>
      <c r="J41">
        <v>3.7303999999999997E-2</v>
      </c>
      <c r="K41">
        <v>4.1875999999999997E-2</v>
      </c>
      <c r="L41">
        <v>4.8448999999999999E-2</v>
      </c>
      <c r="M41">
        <v>5.4094000000000003E-2</v>
      </c>
      <c r="N41">
        <v>5.7747E-2</v>
      </c>
      <c r="O41">
        <v>5.7009999999999998E-2</v>
      </c>
      <c r="P41">
        <v>5.6903000000000002E-2</v>
      </c>
      <c r="Q41">
        <v>5.6572999999999998E-2</v>
      </c>
      <c r="R41">
        <v>5.6634999999999998E-2</v>
      </c>
      <c r="S41">
        <v>5.6603000000000001E-2</v>
      </c>
      <c r="T41">
        <v>5.6563000000000002E-2</v>
      </c>
      <c r="U41">
        <v>5.6604000000000002E-2</v>
      </c>
      <c r="V41">
        <v>5.6899999999999999E-2</v>
      </c>
      <c r="W41">
        <v>5.7070999999999997E-2</v>
      </c>
      <c r="X41">
        <v>5.7255E-2</v>
      </c>
      <c r="Y41">
        <v>5.7186000000000001E-2</v>
      </c>
      <c r="Z41">
        <v>5.7152000000000001E-2</v>
      </c>
      <c r="AA41">
        <v>5.7105000000000003E-2</v>
      </c>
      <c r="AB41">
        <v>5.7269E-2</v>
      </c>
      <c r="AC41">
        <v>5.7570999999999997E-2</v>
      </c>
      <c r="AD41">
        <v>5.7896999999999997E-2</v>
      </c>
      <c r="AE41">
        <v>5.8241000000000001E-2</v>
      </c>
      <c r="AF41">
        <v>5.8430000000000003E-2</v>
      </c>
      <c r="AG41">
        <v>5.8645999999999997E-2</v>
      </c>
      <c r="AH41">
        <v>5.8916999999999997E-2</v>
      </c>
      <c r="AI41">
        <v>5.919E-2</v>
      </c>
      <c r="AJ41">
        <v>5.9469000000000001E-2</v>
      </c>
      <c r="AK41">
        <v>5.9692000000000002E-2</v>
      </c>
      <c r="AL41">
        <v>6.0042999999999999E-2</v>
      </c>
      <c r="AM41">
        <v>6.0540999999999998E-2</v>
      </c>
      <c r="AN41">
        <v>6.1066000000000002E-2</v>
      </c>
      <c r="AO41">
        <v>6.1330000000000003E-2</v>
      </c>
    </row>
    <row r="42" spans="1:41" x14ac:dyDescent="0.25">
      <c r="A42" t="s">
        <v>454</v>
      </c>
      <c r="B42" t="s">
        <v>453</v>
      </c>
      <c r="C42" t="s">
        <v>452</v>
      </c>
      <c r="D42" t="s">
        <v>42</v>
      </c>
      <c r="H42">
        <v>3.2333000000000001E-2</v>
      </c>
      <c r="I42">
        <v>4.3832999999999997E-2</v>
      </c>
      <c r="J42">
        <v>1.4064E-2</v>
      </c>
      <c r="K42">
        <v>1.3027E-2</v>
      </c>
      <c r="L42">
        <v>1.3932E-2</v>
      </c>
      <c r="M42">
        <v>1.5855999999999999E-2</v>
      </c>
      <c r="N42">
        <v>1.7781999999999999E-2</v>
      </c>
      <c r="O42">
        <v>1.8918000000000001E-2</v>
      </c>
      <c r="P42">
        <v>2.0091999999999999E-2</v>
      </c>
      <c r="Q42">
        <v>2.1167999999999999E-2</v>
      </c>
      <c r="R42">
        <v>2.2105E-2</v>
      </c>
      <c r="S42">
        <v>2.2981999999999999E-2</v>
      </c>
      <c r="T42">
        <v>2.3713999999999999E-2</v>
      </c>
      <c r="U42">
        <v>2.4542999999999999E-2</v>
      </c>
      <c r="V42">
        <v>2.5250000000000002E-2</v>
      </c>
      <c r="W42">
        <v>2.5888999999999999E-2</v>
      </c>
      <c r="X42">
        <v>2.6539E-2</v>
      </c>
      <c r="Y42">
        <v>2.7040999999999999E-2</v>
      </c>
      <c r="Z42">
        <v>2.7588000000000001E-2</v>
      </c>
      <c r="AA42">
        <v>2.8108999999999999E-2</v>
      </c>
      <c r="AB42">
        <v>2.8677999999999999E-2</v>
      </c>
      <c r="AC42">
        <v>2.9276E-2</v>
      </c>
      <c r="AD42">
        <v>2.9916999999999999E-2</v>
      </c>
      <c r="AE42">
        <v>3.0578000000000001E-2</v>
      </c>
      <c r="AF42">
        <v>3.1274999999999997E-2</v>
      </c>
      <c r="AG42">
        <v>3.2049000000000001E-2</v>
      </c>
      <c r="AH42">
        <v>3.2847000000000001E-2</v>
      </c>
      <c r="AI42">
        <v>3.3649999999999999E-2</v>
      </c>
      <c r="AJ42">
        <v>3.4512000000000001E-2</v>
      </c>
      <c r="AK42">
        <v>3.5466999999999999E-2</v>
      </c>
      <c r="AL42">
        <v>3.6450000000000003E-2</v>
      </c>
      <c r="AM42">
        <v>3.7478999999999998E-2</v>
      </c>
      <c r="AN42">
        <v>3.8462999999999997E-2</v>
      </c>
      <c r="AO42">
        <v>3.9398000000000002E-2</v>
      </c>
    </row>
    <row r="43" spans="1:41" x14ac:dyDescent="0.25">
      <c r="A43" t="s">
        <v>442</v>
      </c>
      <c r="B43" t="s">
        <v>451</v>
      </c>
      <c r="C43" t="s">
        <v>450</v>
      </c>
      <c r="D43" t="s">
        <v>42</v>
      </c>
      <c r="H43">
        <v>0.12917999999999999</v>
      </c>
      <c r="I43">
        <v>0.15629999999999999</v>
      </c>
      <c r="J43">
        <v>0.18854299999999999</v>
      </c>
      <c r="K43">
        <v>0.224748</v>
      </c>
      <c r="L43">
        <v>0.27823500000000001</v>
      </c>
      <c r="M43">
        <v>0.31118699999999999</v>
      </c>
      <c r="N43">
        <v>0.34362599999999999</v>
      </c>
      <c r="O43">
        <v>0.36662499999999998</v>
      </c>
      <c r="P43">
        <v>0.39066099999999998</v>
      </c>
      <c r="Q43">
        <v>0.41216000000000003</v>
      </c>
      <c r="R43">
        <v>0.43809399999999998</v>
      </c>
      <c r="S43">
        <v>0.46520800000000001</v>
      </c>
      <c r="T43">
        <v>0.49211100000000002</v>
      </c>
      <c r="U43">
        <v>0.51953099999999997</v>
      </c>
      <c r="V43">
        <v>0.55088499999999996</v>
      </c>
      <c r="W43">
        <v>0.58093600000000001</v>
      </c>
      <c r="X43">
        <v>0.6139</v>
      </c>
      <c r="Y43">
        <v>0.64757500000000001</v>
      </c>
      <c r="Z43">
        <v>0.68297099999999999</v>
      </c>
      <c r="AA43">
        <v>0.719947</v>
      </c>
      <c r="AB43">
        <v>0.76076100000000002</v>
      </c>
      <c r="AC43">
        <v>0.803033</v>
      </c>
      <c r="AD43">
        <v>0.84952899999999998</v>
      </c>
      <c r="AE43">
        <v>0.89769600000000005</v>
      </c>
      <c r="AF43">
        <v>0.94539799999999996</v>
      </c>
      <c r="AG43">
        <v>0.99820299999999995</v>
      </c>
      <c r="AH43">
        <v>1.0563039999999999</v>
      </c>
      <c r="AI43">
        <v>1.112269</v>
      </c>
      <c r="AJ43">
        <v>1.173759</v>
      </c>
      <c r="AK43">
        <v>1.2357260000000001</v>
      </c>
      <c r="AL43">
        <v>1.301906</v>
      </c>
      <c r="AM43">
        <v>1.376155</v>
      </c>
      <c r="AN43">
        <v>1.456199</v>
      </c>
      <c r="AO43">
        <v>1.5321020000000001</v>
      </c>
    </row>
    <row r="44" spans="1:41" x14ac:dyDescent="0.25">
      <c r="A44" t="s">
        <v>439</v>
      </c>
      <c r="B44" t="s">
        <v>449</v>
      </c>
      <c r="C44" t="s">
        <v>448</v>
      </c>
      <c r="D44" t="s">
        <v>42</v>
      </c>
      <c r="H44">
        <v>3.3500000000000001E-4</v>
      </c>
      <c r="I44">
        <v>3.4099999999999999E-4</v>
      </c>
      <c r="J44">
        <v>1.75E-4</v>
      </c>
      <c r="K44">
        <v>1.7200000000000001E-4</v>
      </c>
      <c r="L44">
        <v>1.7200000000000001E-4</v>
      </c>
      <c r="M44">
        <v>1.7200000000000001E-4</v>
      </c>
      <c r="N44">
        <v>1.7000000000000001E-4</v>
      </c>
      <c r="O44">
        <v>1.6799999999999999E-4</v>
      </c>
      <c r="P44">
        <v>1.66E-4</v>
      </c>
      <c r="Q44">
        <v>1.65E-4</v>
      </c>
      <c r="R44">
        <v>1.63E-4</v>
      </c>
      <c r="S44">
        <v>1.63E-4</v>
      </c>
      <c r="T44">
        <v>1.6200000000000001E-4</v>
      </c>
      <c r="U44">
        <v>1.6200000000000001E-4</v>
      </c>
      <c r="V44">
        <v>1.6100000000000001E-4</v>
      </c>
      <c r="W44">
        <v>1.6100000000000001E-4</v>
      </c>
      <c r="X44">
        <v>1.6100000000000001E-4</v>
      </c>
      <c r="Y44">
        <v>1.6000000000000001E-4</v>
      </c>
      <c r="Z44">
        <v>1.6000000000000001E-4</v>
      </c>
      <c r="AA44">
        <v>1.5899999999999999E-4</v>
      </c>
      <c r="AB44">
        <v>1.5899999999999999E-4</v>
      </c>
      <c r="AC44">
        <v>1.5899999999999999E-4</v>
      </c>
      <c r="AD44">
        <v>1.6000000000000001E-4</v>
      </c>
      <c r="AE44">
        <v>1.6000000000000001E-4</v>
      </c>
      <c r="AF44">
        <v>1.6200000000000001E-4</v>
      </c>
      <c r="AG44">
        <v>1.64E-4</v>
      </c>
      <c r="AH44">
        <v>1.66E-4</v>
      </c>
      <c r="AI44">
        <v>1.6799999999999999E-4</v>
      </c>
      <c r="AJ44">
        <v>1.7000000000000001E-4</v>
      </c>
      <c r="AK44">
        <v>1.7200000000000001E-4</v>
      </c>
      <c r="AL44">
        <v>1.74E-4</v>
      </c>
      <c r="AM44">
        <v>1.76E-4</v>
      </c>
      <c r="AN44">
        <v>1.7799999999999999E-4</v>
      </c>
      <c r="AO44">
        <v>1.8000000000000001E-4</v>
      </c>
    </row>
    <row r="45" spans="1:41" x14ac:dyDescent="0.25">
      <c r="A45" t="s">
        <v>203</v>
      </c>
      <c r="B45" t="s">
        <v>447</v>
      </c>
      <c r="C45" t="s">
        <v>446</v>
      </c>
      <c r="D45" t="s">
        <v>42</v>
      </c>
      <c r="H45">
        <v>0.195633</v>
      </c>
      <c r="I45">
        <v>0.216303</v>
      </c>
      <c r="J45">
        <v>0.244787</v>
      </c>
      <c r="K45">
        <v>0.246143</v>
      </c>
      <c r="L45">
        <v>0.27771200000000001</v>
      </c>
      <c r="M45">
        <v>0.30379699999999998</v>
      </c>
      <c r="N45">
        <v>0.32962399999999997</v>
      </c>
      <c r="O45">
        <v>0.35322900000000002</v>
      </c>
      <c r="P45">
        <v>0.36963299999999999</v>
      </c>
      <c r="Q45">
        <v>0.38559100000000002</v>
      </c>
      <c r="R45">
        <v>0.40166299999999999</v>
      </c>
      <c r="S45">
        <v>0.41350700000000001</v>
      </c>
      <c r="T45">
        <v>0.427367</v>
      </c>
      <c r="U45">
        <v>0.43679099999999998</v>
      </c>
      <c r="V45">
        <v>0.452345</v>
      </c>
      <c r="W45">
        <v>0.46246900000000002</v>
      </c>
      <c r="X45">
        <v>0.47682200000000002</v>
      </c>
      <c r="Y45">
        <v>0.48817100000000002</v>
      </c>
      <c r="Z45">
        <v>0.49293599999999999</v>
      </c>
      <c r="AA45">
        <v>0.50736300000000001</v>
      </c>
      <c r="AB45">
        <v>0.52268199999999998</v>
      </c>
      <c r="AC45">
        <v>0.537165</v>
      </c>
      <c r="AD45">
        <v>0.559249</v>
      </c>
      <c r="AE45">
        <v>0.57864000000000004</v>
      </c>
      <c r="AF45">
        <v>0.59400600000000003</v>
      </c>
      <c r="AG45">
        <v>0.613066</v>
      </c>
      <c r="AH45">
        <v>0.63468400000000003</v>
      </c>
      <c r="AI45">
        <v>0.64802300000000002</v>
      </c>
      <c r="AJ45">
        <v>0.67076599999999997</v>
      </c>
      <c r="AK45">
        <v>0.69893799999999995</v>
      </c>
      <c r="AL45">
        <v>0.71624600000000005</v>
      </c>
      <c r="AM45">
        <v>0.74254600000000004</v>
      </c>
      <c r="AN45">
        <v>0.76513600000000004</v>
      </c>
      <c r="AO45">
        <v>0.77935200000000004</v>
      </c>
    </row>
    <row r="46" spans="1:41" x14ac:dyDescent="0.25">
      <c r="A46" t="s">
        <v>445</v>
      </c>
      <c r="B46" t="s">
        <v>444</v>
      </c>
      <c r="C46" t="s">
        <v>443</v>
      </c>
      <c r="D46" t="s">
        <v>42</v>
      </c>
      <c r="H46">
        <v>7.3734999999999995E-2</v>
      </c>
      <c r="I46">
        <v>7.4426999999999993E-2</v>
      </c>
      <c r="J46">
        <v>7.5358999999999995E-2</v>
      </c>
      <c r="K46">
        <v>7.3691999999999994E-2</v>
      </c>
      <c r="L46">
        <v>7.4182999999999999E-2</v>
      </c>
      <c r="M46">
        <v>7.4353000000000002E-2</v>
      </c>
      <c r="N46">
        <v>7.3995000000000005E-2</v>
      </c>
      <c r="O46">
        <v>7.3537000000000005E-2</v>
      </c>
      <c r="P46">
        <v>7.3187000000000002E-2</v>
      </c>
      <c r="Q46">
        <v>7.2387999999999994E-2</v>
      </c>
      <c r="R46">
        <v>7.1845000000000006E-2</v>
      </c>
      <c r="S46">
        <v>7.1635000000000004E-2</v>
      </c>
      <c r="T46">
        <v>7.1162000000000003E-2</v>
      </c>
      <c r="U46">
        <v>7.0906999999999998E-2</v>
      </c>
      <c r="V46">
        <v>7.0789000000000005E-2</v>
      </c>
      <c r="W46">
        <v>7.0553000000000005E-2</v>
      </c>
      <c r="X46">
        <v>7.0317000000000005E-2</v>
      </c>
      <c r="Y46">
        <v>6.9873000000000005E-2</v>
      </c>
      <c r="Z46">
        <v>6.9681000000000007E-2</v>
      </c>
      <c r="AA46">
        <v>6.9468000000000002E-2</v>
      </c>
      <c r="AB46">
        <v>6.9444000000000006E-2</v>
      </c>
      <c r="AC46">
        <v>6.9438E-2</v>
      </c>
      <c r="AD46">
        <v>6.9481000000000001E-2</v>
      </c>
      <c r="AE46">
        <v>6.9456000000000004E-2</v>
      </c>
      <c r="AF46">
        <v>6.9376999999999994E-2</v>
      </c>
      <c r="AG46">
        <v>6.9352999999999998E-2</v>
      </c>
      <c r="AH46">
        <v>6.9419999999999996E-2</v>
      </c>
      <c r="AI46">
        <v>6.9336999999999996E-2</v>
      </c>
      <c r="AJ46">
        <v>6.9344000000000003E-2</v>
      </c>
      <c r="AK46">
        <v>6.9265999999999994E-2</v>
      </c>
      <c r="AL46">
        <v>6.9270999999999999E-2</v>
      </c>
      <c r="AM46">
        <v>6.9389999999999993E-2</v>
      </c>
      <c r="AN46">
        <v>6.9554000000000005E-2</v>
      </c>
      <c r="AO46">
        <v>6.9539000000000004E-2</v>
      </c>
    </row>
    <row r="47" spans="1:41" x14ac:dyDescent="0.25">
      <c r="A47" t="s">
        <v>442</v>
      </c>
      <c r="B47" t="s">
        <v>441</v>
      </c>
      <c r="C47" t="s">
        <v>440</v>
      </c>
      <c r="D47" t="s">
        <v>42</v>
      </c>
      <c r="H47">
        <v>0.114854</v>
      </c>
      <c r="I47">
        <v>0.13483100000000001</v>
      </c>
      <c r="J47">
        <v>0.162357</v>
      </c>
      <c r="K47">
        <v>0.16556000000000001</v>
      </c>
      <c r="L47">
        <v>0.19664200000000001</v>
      </c>
      <c r="M47">
        <v>0.22250400000000001</v>
      </c>
      <c r="N47">
        <v>0.24876300000000001</v>
      </c>
      <c r="O47">
        <v>0.27291300000000002</v>
      </c>
      <c r="P47">
        <v>0.28973199999999999</v>
      </c>
      <c r="Q47">
        <v>0.30654199999999998</v>
      </c>
      <c r="R47">
        <v>0.32318000000000002</v>
      </c>
      <c r="S47">
        <v>0.33524599999999999</v>
      </c>
      <c r="T47">
        <v>0.34961100000000001</v>
      </c>
      <c r="U47">
        <v>0.359294</v>
      </c>
      <c r="V47">
        <v>0.37496800000000002</v>
      </c>
      <c r="W47">
        <v>0.38534299999999999</v>
      </c>
      <c r="X47">
        <v>0.39992800000000001</v>
      </c>
      <c r="Y47">
        <v>0.411719</v>
      </c>
      <c r="Z47">
        <v>0.41669400000000001</v>
      </c>
      <c r="AA47">
        <v>0.43135800000000002</v>
      </c>
      <c r="AB47">
        <v>0.44671</v>
      </c>
      <c r="AC47">
        <v>0.46120499999999998</v>
      </c>
      <c r="AD47">
        <v>0.483238</v>
      </c>
      <c r="AE47">
        <v>0.502668</v>
      </c>
      <c r="AF47">
        <v>0.51812100000000005</v>
      </c>
      <c r="AG47">
        <v>0.53718500000000002</v>
      </c>
      <c r="AH47">
        <v>0.55872699999999997</v>
      </c>
      <c r="AI47">
        <v>0.57215899999999997</v>
      </c>
      <c r="AJ47">
        <v>0.59490100000000001</v>
      </c>
      <c r="AK47">
        <v>0.62314899999999995</v>
      </c>
      <c r="AL47">
        <v>0.64045399999999997</v>
      </c>
      <c r="AM47">
        <v>0.66661899999999996</v>
      </c>
      <c r="AN47">
        <v>0.68904200000000004</v>
      </c>
      <c r="AO47">
        <v>0.70327600000000001</v>
      </c>
    </row>
    <row r="48" spans="1:41" x14ac:dyDescent="0.25">
      <c r="A48" t="s">
        <v>439</v>
      </c>
      <c r="B48" t="s">
        <v>438</v>
      </c>
      <c r="C48" t="s">
        <v>437</v>
      </c>
      <c r="D48" t="s">
        <v>42</v>
      </c>
      <c r="H48">
        <v>7.0439999999999999E-3</v>
      </c>
      <c r="I48">
        <v>7.045E-3</v>
      </c>
      <c r="J48">
        <v>7.071E-3</v>
      </c>
      <c r="K48">
        <v>6.8910000000000004E-3</v>
      </c>
      <c r="L48">
        <v>6.888E-3</v>
      </c>
      <c r="M48">
        <v>6.94E-3</v>
      </c>
      <c r="N48">
        <v>6.8659999999999997E-3</v>
      </c>
      <c r="O48">
        <v>6.7790000000000003E-3</v>
      </c>
      <c r="P48">
        <v>6.7140000000000003E-3</v>
      </c>
      <c r="Q48">
        <v>6.6610000000000003E-3</v>
      </c>
      <c r="R48">
        <v>6.6379999999999998E-3</v>
      </c>
      <c r="S48">
        <v>6.6249999999999998E-3</v>
      </c>
      <c r="T48">
        <v>6.5950000000000002E-3</v>
      </c>
      <c r="U48">
        <v>6.5900000000000004E-3</v>
      </c>
      <c r="V48">
        <v>6.587E-3</v>
      </c>
      <c r="W48">
        <v>6.5719999999999997E-3</v>
      </c>
      <c r="X48">
        <v>6.5770000000000004E-3</v>
      </c>
      <c r="Y48">
        <v>6.5779999999999996E-3</v>
      </c>
      <c r="Z48">
        <v>6.561E-3</v>
      </c>
      <c r="AA48">
        <v>6.5370000000000003E-3</v>
      </c>
      <c r="AB48">
        <v>6.5279999999999999E-3</v>
      </c>
      <c r="AC48">
        <v>6.5209999999999999E-3</v>
      </c>
      <c r="AD48">
        <v>6.5300000000000002E-3</v>
      </c>
      <c r="AE48">
        <v>6.5160000000000001E-3</v>
      </c>
      <c r="AF48">
        <v>6.5079999999999999E-3</v>
      </c>
      <c r="AG48">
        <v>6.5279999999999999E-3</v>
      </c>
      <c r="AH48">
        <v>6.5370000000000003E-3</v>
      </c>
      <c r="AI48">
        <v>6.5269999999999998E-3</v>
      </c>
      <c r="AJ48">
        <v>6.5209999999999999E-3</v>
      </c>
      <c r="AK48">
        <v>6.522E-3</v>
      </c>
      <c r="AL48">
        <v>6.5209999999999999E-3</v>
      </c>
      <c r="AM48">
        <v>6.5360000000000001E-3</v>
      </c>
      <c r="AN48">
        <v>6.5399999999999998E-3</v>
      </c>
      <c r="AO48">
        <v>6.5370000000000003E-3</v>
      </c>
    </row>
  </sheetData>
  <hyperlinks>
    <hyperlink ref="A2" r:id="rId1" location="/?id=24-AEO2020&amp;cases=ref2020&amp;sourcekey=0" xr:uid="{00000000-0004-0000-07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FC7B12AE804049AF890919B65DCAA1" ma:contentTypeVersion="9" ma:contentTypeDescription="Create a new document." ma:contentTypeScope="" ma:versionID="4ea9a14a3a496b8d908ccdc5e188100c">
  <xsd:schema xmlns:xsd="http://www.w3.org/2001/XMLSchema" xmlns:xs="http://www.w3.org/2001/XMLSchema" xmlns:p="http://schemas.microsoft.com/office/2006/metadata/properties" xmlns:ns1="http://schemas.microsoft.com/sharepoint/v3" xmlns:ns2="2f119d7b-84ae-485e-90b2-f8bb54fe4be9" xmlns:ns3="c11a4dd1-9999-41de-ad6b-508521c3559d" targetNamespace="http://schemas.microsoft.com/office/2006/metadata/properties" ma:root="true" ma:fieldsID="59e3ea66ea2ee84ff8cf1250dfcbfdba" ns1:_="" ns2:_="" ns3:_="">
    <xsd:import namespace="http://schemas.microsoft.com/sharepoint/v3"/>
    <xsd:import namespace="2f119d7b-84ae-485e-90b2-f8bb54fe4be9"/>
    <xsd:import namespace="c11a4dd1-9999-41de-ad6b-508521c3559d"/>
    <xsd:element name="properties">
      <xsd:complexType>
        <xsd:sequence>
          <xsd:element name="documentManagement">
            <xsd:complexType>
              <xsd:all>
                <xsd:element ref="ns2:Topic_x0020_area" minOccurs="0"/>
                <xsd:element ref="ns2:Subtopics" minOccurs="0"/>
                <xsd:element ref="ns2:Demographic" minOccurs="0"/>
                <xsd:element ref="ns2:Posted_x0020_to" minOccurs="0"/>
                <xsd:element ref="ns1:PublishingStartDate" minOccurs="0"/>
                <xsd:element ref="ns1:PublishingExpirationDat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119d7b-84ae-485e-90b2-f8bb54fe4be9" elementFormDefault="qualified">
    <xsd:import namespace="http://schemas.microsoft.com/office/2006/documentManagement/types"/>
    <xsd:import namespace="http://schemas.microsoft.com/office/infopath/2007/PartnerControls"/>
    <xsd:element name="Topic_x0020_area" ma:index="2" nillable="true" ma:displayName="Topic area" ma:format="Dropdown" ma:internalName="Topic_x0020_area">
      <xsd:simpleType>
        <xsd:restriction base="dms:Choice">
          <xsd:enumeration value="Economic forecast"/>
          <xsd:enumeration value="Revenue forecast"/>
          <xsd:enumeration value="Corrections forecast"/>
          <xsd:enumeration value="Youth forecast"/>
          <xsd:enumeration value="Demographic forecast"/>
          <xsd:enumeration value="Highway Cost Allocation"/>
        </xsd:restriction>
      </xsd:simpleType>
    </xsd:element>
    <xsd:element name="Subtopics" ma:index="3" nillable="true" ma:displayName="Sub-topic" ma:format="Dropdown" ma:internalName="Subtopics">
      <xsd:simpleType>
        <xsd:restriction base="dms:Choice">
          <xsd:enumeration value="Corrections"/>
          <xsd:enumeration value="Youth Authority"/>
        </xsd:restriction>
      </xsd:simpleType>
    </xsd:element>
    <xsd:element name="Demographic" ma:index="4" nillable="true" ma:displayName="Demographic" ma:format="Dropdown" ma:internalName="Demographic">
      <xsd:simpleType>
        <xsd:restriction base="dms:Choice">
          <xsd:enumeration value="Demographic Forecast"/>
          <xsd:enumeration value="Census Data"/>
        </xsd:restriction>
      </xsd:simpleType>
    </xsd:element>
    <xsd:element name="Posted_x0020_to" ma:index="5" nillable="true" ma:displayName="Posted to" ma:format="Dropdown" ma:internalName="Posted_x0020_to">
      <xsd:simpleType>
        <xsd:union memberTypes="dms:Text">
          <xsd:simpleType>
            <xsd:restriction base="dms:Choice">
              <xsd:enumeration value="Current"/>
              <xsd:enumeration value="Archiv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PublishingExpirationDate xmlns="http://schemas.microsoft.com/sharepoint/v3" xsi:nil="true"/>
    <Posted_x0020_to xmlns="2f119d7b-84ae-485e-90b2-f8bb54fe4be9" xsi:nil="true"/>
    <Topic_x0020_area xmlns="2f119d7b-84ae-485e-90b2-f8bb54fe4be9" xsi:nil="true"/>
    <Subtopics xmlns="2f119d7b-84ae-485e-90b2-f8bb54fe4be9" xsi:nil="true"/>
    <Demographic xmlns="2f119d7b-84ae-485e-90b2-f8bb54fe4be9" xsi:nil="true"/>
  </documentManagement>
</p:properties>
</file>

<file path=customXml/itemProps1.xml><?xml version="1.0" encoding="utf-8"?>
<ds:datastoreItem xmlns:ds="http://schemas.openxmlformats.org/officeDocument/2006/customXml" ds:itemID="{0A6E96EE-B6FC-442F-A170-48C6A11DC0A0}"/>
</file>

<file path=customXml/itemProps2.xml><?xml version="1.0" encoding="utf-8"?>
<ds:datastoreItem xmlns:ds="http://schemas.openxmlformats.org/officeDocument/2006/customXml" ds:itemID="{ECD17500-4F53-4713-BE66-FCABF08E139E}"/>
</file>

<file path=customXml/itemProps3.xml><?xml version="1.0" encoding="utf-8"?>
<ds:datastoreItem xmlns:ds="http://schemas.openxmlformats.org/officeDocument/2006/customXml" ds:itemID="{52681738-C978-45E3-8F87-D657560B656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116</vt:i4>
      </vt:variant>
    </vt:vector>
  </HeadingPairs>
  <TitlesOfParts>
    <vt:vector size="129" baseType="lpstr">
      <vt:lpstr>Intro</vt:lpstr>
      <vt:lpstr>Forecast_Main</vt:lpstr>
      <vt:lpstr>Table 1 - Volumes</vt:lpstr>
      <vt:lpstr>Table 3+4 - Credit</vt:lpstr>
      <vt:lpstr>CI Trend</vt:lpstr>
      <vt:lpstr>CI Facility</vt:lpstr>
      <vt:lpstr>Electric Vehicles</vt:lpstr>
      <vt:lpstr>AEO Pacific</vt:lpstr>
      <vt:lpstr>AEO Renewable</vt:lpstr>
      <vt:lpstr>Constants Pivot</vt:lpstr>
      <vt:lpstr>Constants_out</vt:lpstr>
      <vt:lpstr>Growth Rate Tables</vt:lpstr>
      <vt:lpstr>Charts</vt:lpstr>
      <vt:lpstr>BR_bgs_T0</vt:lpstr>
      <vt:lpstr>BR_bgs_T1</vt:lpstr>
      <vt:lpstr>BR_bgs_T2</vt:lpstr>
      <vt:lpstr>BR_bio_T0</vt:lpstr>
      <vt:lpstr>BR_bio_T1</vt:lpstr>
      <vt:lpstr>BR_bio_T2</vt:lpstr>
      <vt:lpstr>BR_eth_T0</vt:lpstr>
      <vt:lpstr>BR_eth_T1</vt:lpstr>
      <vt:lpstr>BR_eth_T2</vt:lpstr>
      <vt:lpstr>BR_ren_T0</vt:lpstr>
      <vt:lpstr>BR_ren_T1</vt:lpstr>
      <vt:lpstr>BR_ren_T2</vt:lpstr>
      <vt:lpstr>CIA_bgs_T0</vt:lpstr>
      <vt:lpstr>CIA_bgs_T1</vt:lpstr>
      <vt:lpstr>CIA_bgs_T2</vt:lpstr>
      <vt:lpstr>CIA_bio_T0</vt:lpstr>
      <vt:lpstr>CIA_Bio_T1</vt:lpstr>
      <vt:lpstr>CIA_bio_T2</vt:lpstr>
      <vt:lpstr>CIA_cbob_T0</vt:lpstr>
      <vt:lpstr>CIA_cbob_T1</vt:lpstr>
      <vt:lpstr>CIA_cbob_T2</vt:lpstr>
      <vt:lpstr>CIA_die_T0</vt:lpstr>
      <vt:lpstr>CIA_die_T1</vt:lpstr>
      <vt:lpstr>CIA_die_T2</vt:lpstr>
      <vt:lpstr>CIA_E10_T0</vt:lpstr>
      <vt:lpstr>CIA_E10_T1</vt:lpstr>
      <vt:lpstr>CIA_E10_T2</vt:lpstr>
      <vt:lpstr>CIA_eon_T0</vt:lpstr>
      <vt:lpstr>CIA_eon_T1</vt:lpstr>
      <vt:lpstr>CIA_eon_T2</vt:lpstr>
      <vt:lpstr>CIA_Eth_T0</vt:lpstr>
      <vt:lpstr>CIA_eth_T1</vt:lpstr>
      <vt:lpstr>CIA_eth_T2</vt:lpstr>
      <vt:lpstr>CIA_fcg_T0</vt:lpstr>
      <vt:lpstr>CIA_fcg_T1</vt:lpstr>
      <vt:lpstr>CIA_fcg_T2</vt:lpstr>
      <vt:lpstr>CIA_gas_T0</vt:lpstr>
      <vt:lpstr>CIA_gas_T1</vt:lpstr>
      <vt:lpstr>CIA_gas_T2</vt:lpstr>
      <vt:lpstr>CIA_lp_T0</vt:lpstr>
      <vt:lpstr>CIA_lp_T1</vt:lpstr>
      <vt:lpstr>CIA_lp_T2</vt:lpstr>
      <vt:lpstr>CIA_ren_T0</vt:lpstr>
      <vt:lpstr>CIA_ren_T1</vt:lpstr>
      <vt:lpstr>CIA_ren_T2</vt:lpstr>
      <vt:lpstr>CIT_die_T0</vt:lpstr>
      <vt:lpstr>CIT_die_T1</vt:lpstr>
      <vt:lpstr>CIT_die_T2</vt:lpstr>
      <vt:lpstr>CIT_gas_T0</vt:lpstr>
      <vt:lpstr>CIT_gas_T1</vt:lpstr>
      <vt:lpstr>CIT_gas_T2</vt:lpstr>
      <vt:lpstr>CIT_jf_T0</vt:lpstr>
      <vt:lpstr>CIT_jf_T1</vt:lpstr>
      <vt:lpstr>CIT_jf_T2</vt:lpstr>
      <vt:lpstr>constants_data_out</vt:lpstr>
      <vt:lpstr>ED_Bio_T0</vt:lpstr>
      <vt:lpstr>ED_bio_T1</vt:lpstr>
      <vt:lpstr>ED_bio_T2</vt:lpstr>
      <vt:lpstr>ED_die_T0</vt:lpstr>
      <vt:lpstr>ED_die_T1</vt:lpstr>
      <vt:lpstr>ED_die_T2</vt:lpstr>
      <vt:lpstr>ED_E10_T0</vt:lpstr>
      <vt:lpstr>ED_E10_T1</vt:lpstr>
      <vt:lpstr>ED_E10_T2</vt:lpstr>
      <vt:lpstr>ED_eon_T0</vt:lpstr>
      <vt:lpstr>ED_eon_T1</vt:lpstr>
      <vt:lpstr>ED_eon_T2</vt:lpstr>
      <vt:lpstr>ED_eth_T0</vt:lpstr>
      <vt:lpstr>ED_eth_T1</vt:lpstr>
      <vt:lpstr>ED_eth_T2</vt:lpstr>
      <vt:lpstr>ED_fcg_T0</vt:lpstr>
      <vt:lpstr>ED_fcg_T1</vt:lpstr>
      <vt:lpstr>ED_fcg_T2</vt:lpstr>
      <vt:lpstr>ED_flg_T0</vt:lpstr>
      <vt:lpstr>ED_flg_T1</vt:lpstr>
      <vt:lpstr>ED_flg_T2</vt:lpstr>
      <vt:lpstr>ED_gas_2018</vt:lpstr>
      <vt:lpstr>ED_gas_T0</vt:lpstr>
      <vt:lpstr>ED_gas_T1</vt:lpstr>
      <vt:lpstr>ED_gas_T2</vt:lpstr>
      <vt:lpstr>ED_hyd_T0</vt:lpstr>
      <vt:lpstr>ED_hyd_T1</vt:lpstr>
      <vt:lpstr>ED_hyd_T2</vt:lpstr>
      <vt:lpstr>ED_jf_T0</vt:lpstr>
      <vt:lpstr>ED_jf_T1</vt:lpstr>
      <vt:lpstr>ED_jf_T2</vt:lpstr>
      <vt:lpstr>ED_lp_T0</vt:lpstr>
      <vt:lpstr>ED_lp_T1</vt:lpstr>
      <vt:lpstr>ED_lp_T2</vt:lpstr>
      <vt:lpstr>ED_ren_T0</vt:lpstr>
      <vt:lpstr>ED_ren_T1</vt:lpstr>
      <vt:lpstr>ED_ren_T2</vt:lpstr>
      <vt:lpstr>EEReon_T0</vt:lpstr>
      <vt:lpstr>EEReon_T1</vt:lpstr>
      <vt:lpstr>EEReon_T2</vt:lpstr>
      <vt:lpstr>EERng_T0</vt:lpstr>
      <vt:lpstr>EERng_T1</vt:lpstr>
      <vt:lpstr>EERng_T2</vt:lpstr>
      <vt:lpstr>GR_die_T0</vt:lpstr>
      <vt:lpstr>GR_die_T1</vt:lpstr>
      <vt:lpstr>GR_die_T2</vt:lpstr>
      <vt:lpstr>GR_eof_T0</vt:lpstr>
      <vt:lpstr>GR_eof_T1</vt:lpstr>
      <vt:lpstr>GR_eof_T2</vt:lpstr>
      <vt:lpstr>GR_gas_T0</vt:lpstr>
      <vt:lpstr>GR_gas_T1</vt:lpstr>
      <vt:lpstr>GR_gas_T2</vt:lpstr>
      <vt:lpstr>GR_lp_T0</vt:lpstr>
      <vt:lpstr>GR_lp_T1</vt:lpstr>
      <vt:lpstr>GR_lp_T2</vt:lpstr>
      <vt:lpstr>GR_ng_T0</vt:lpstr>
      <vt:lpstr>GR_ng_T1</vt:lpstr>
      <vt:lpstr>GR_ng_T2</vt:lpstr>
      <vt:lpstr>KWh_T0</vt:lpstr>
      <vt:lpstr>KWh_T1</vt:lpstr>
      <vt:lpstr>KWh_T2</vt:lpstr>
    </vt:vector>
  </TitlesOfParts>
  <Company>ICFI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Sheehy, Philip</dc:creator>
  <cp:lastModifiedBy>KENNEDY Michael  * DAS</cp:lastModifiedBy>
  <dcterms:created xsi:type="dcterms:W3CDTF">2017-07-18T17:03:04Z</dcterms:created>
  <dcterms:modified xsi:type="dcterms:W3CDTF">2022-09-22T16:55:34Z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0x01010084FC7B12AE804049AF890919B65DCAA1</vt:lpwstr>
  </property>
</Properties>
</file>