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3.xml" ContentType="application/vnd.openxmlformats-officedocument.spreadsheetml.pivotTab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7.xml" ContentType="application/vnd.openxmlformats-officedocument.drawingml.chartshapes+xml"/>
  <Override PartName="/xl/pivotTables/pivotTable8.xml" ContentType="application/vnd.openxmlformats-officedocument.spreadsheetml.pivotTable+xml"/>
  <Override PartName="/xl/drawings/drawing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0.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1.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2.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3.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4.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5.xml" ContentType="application/vnd.openxmlformats-officedocument.drawingml.chartshapes+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6.xml" ContentType="application/vnd.openxmlformats-officedocument.drawingml.chartshapes+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7.xml" ContentType="application/vnd.openxmlformats-officedocument.drawingml.chartshapes+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8.xml" ContentType="application/vnd.openxmlformats-officedocument.drawingml.chartshapes+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19.xml" ContentType="application/vnd.openxmlformats-officedocument.drawingml.chartshapes+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20.xml" ContentType="application/vnd.openxmlformats-officedocument.drawingml.chartshapes+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1.xml" ContentType="application/vnd.openxmlformats-officedocument.drawingml.chartshapes+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22.xml" ContentType="application/vnd.openxmlformats-officedocument.drawingml.chartshapes+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U:\Clean Fuels\2024 Forecast\"/>
    </mc:Choice>
  </mc:AlternateContent>
  <xr:revisionPtr revIDLastSave="0" documentId="13_ncr:1_{00401B5E-8DFF-4D6E-BDC7-AE82421B9B40}" xr6:coauthVersionLast="47" xr6:coauthVersionMax="47" xr10:uidLastSave="{00000000-0000-0000-0000-000000000000}"/>
  <bookViews>
    <workbookView xWindow="-120" yWindow="-120" windowWidth="29040" windowHeight="15840" tabRatio="870" activeTab="3" xr2:uid="{00000000-000D-0000-FFFF-FFFF00000000}"/>
  </bookViews>
  <sheets>
    <sheet name="Intro" sheetId="30" r:id="rId1"/>
    <sheet name="Forecast_Main" sheetId="13" r:id="rId2"/>
    <sheet name="Table 1 - Volumes" sheetId="19" r:id="rId3"/>
    <sheet name="Table 3+4 - Credit" sheetId="26" r:id="rId4"/>
    <sheet name="CI Trend" sheetId="29" r:id="rId5"/>
    <sheet name="CI Facility" sheetId="23" r:id="rId6"/>
    <sheet name="Electric Vehicles" sheetId="9" r:id="rId7"/>
    <sheet name="AEO Pacific" sheetId="16" r:id="rId8"/>
    <sheet name="AEO Renewable" sheetId="18" r:id="rId9"/>
    <sheet name="Constants Pivot" sheetId="22" r:id="rId10"/>
    <sheet name="Constants_out" sheetId="25" r:id="rId11"/>
    <sheet name="Growth Rate Tables" sheetId="17" r:id="rId12"/>
    <sheet name="Charts" sheetId="28" r:id="rId13"/>
  </sheets>
  <externalReferences>
    <externalReference r:id="rId14"/>
  </externalReferences>
  <definedNames>
    <definedName name="BR_bgs_T0">'Constants Pivot'!$C$42</definedName>
    <definedName name="BR_bgs_T1">'Constants Pivot'!$D$42</definedName>
    <definedName name="BR_bgs_T2">'Constants Pivot'!$F$42</definedName>
    <definedName name="BR_bio_T0">'Constants Pivot'!$C$41</definedName>
    <definedName name="BR_bio_T1">'Constants Pivot'!$D$41</definedName>
    <definedName name="BR_bio_T2">'Constants Pivot'!$F$41</definedName>
    <definedName name="BR_eth_T0">'Constants Pivot'!$C$40</definedName>
    <definedName name="BR_eth_T1">'Constants Pivot'!$D$40</definedName>
    <definedName name="BR_eth_T2">'Constants Pivot'!$F$40</definedName>
    <definedName name="BR_lp_T0">'Constants Pivot'!$C$44</definedName>
    <definedName name="BR_lp_T1">'Constants Pivot'!$D$44</definedName>
    <definedName name="BR_lp_T2">'Constants Pivot'!$F$44</definedName>
    <definedName name="BR_ren_T0">'Constants Pivot'!$C$43</definedName>
    <definedName name="BR_ren_T1">'Constants Pivot'!$D$43</definedName>
    <definedName name="BR_ren_T2">'Constants Pivot'!$F$43</definedName>
    <definedName name="CFP_TB_HOLD_constants">Constants_out!$A$1:$E$54</definedName>
    <definedName name="CIA_bgs_T0">'Constants Pivot'!$C$26</definedName>
    <definedName name="CIA_bgs_T1">'Constants Pivot'!$D$26</definedName>
    <definedName name="CIA_bgs_T2">'Constants Pivot'!$F$26</definedName>
    <definedName name="CIA_bio_T0">'Constants Pivot'!$C$25</definedName>
    <definedName name="CIA_Bio_T1">'Constants Pivot'!$D$25</definedName>
    <definedName name="CIA_bio_T2">'Constants Pivot'!$F$25</definedName>
    <definedName name="CIA_cbob_T0">'Constants Pivot'!$C$31</definedName>
    <definedName name="CIA_cbob_T1">'Constants Pivot'!$E$31</definedName>
    <definedName name="CIA_cbob_T2">'Constants Pivot'!$G$31</definedName>
    <definedName name="CIA_die_T0">'Constants Pivot'!$C$24</definedName>
    <definedName name="CIA_die_T1">'Constants Pivot'!$E$24</definedName>
    <definedName name="CIA_die_T2">'Constants Pivot'!$G$24</definedName>
    <definedName name="CIA_E10_T0">'Constants Pivot'!$C$22</definedName>
    <definedName name="CIA_E10_T1">'Constants Pivot'!$E$22</definedName>
    <definedName name="CIA_E10_T2">'Constants Pivot'!$G$22</definedName>
    <definedName name="CIA_eon_T0">'Constants Pivot'!$C$28</definedName>
    <definedName name="CIA_eon_T1">'Constants Pivot'!$E$28</definedName>
    <definedName name="CIA_eon_T2">'Constants Pivot'!$G$28</definedName>
    <definedName name="CIA_Eth_T0">'Constants Pivot'!$C$23</definedName>
    <definedName name="CIA_eth_T1">'Constants Pivot'!$D$23</definedName>
    <definedName name="CIA_eth_T2">'Constants Pivot'!$F$23</definedName>
    <definedName name="CIA_fcg_T0">'Constants Pivot'!$C$29</definedName>
    <definedName name="CIA_fcg_T1">'Constants Pivot'!$E$29</definedName>
    <definedName name="CIA_fcg_T2">'Constants Pivot'!$G$29</definedName>
    <definedName name="CIA_gas_T0">'Constants Pivot'!$C$21</definedName>
    <definedName name="CIA_gas_T1">'Constants Pivot'!$E$21</definedName>
    <definedName name="CIA_gas_T2">'Constants Pivot'!$G$21</definedName>
    <definedName name="CIA_lp_T0">'Constants Pivot'!$C$30</definedName>
    <definedName name="CIA_lp_T1">'Constants Pivot'!$E$30</definedName>
    <definedName name="CIA_lp_T2">'Constants Pivot'!$G$30</definedName>
    <definedName name="CIA_ren_T0">'Constants Pivot'!$C$27</definedName>
    <definedName name="CIA_ren_T1">'Constants Pivot'!$D$27</definedName>
    <definedName name="CIA_ren_T2">'Constants Pivot'!$F$27</definedName>
    <definedName name="CIT_die_T0">'Constants Pivot'!$C$19</definedName>
    <definedName name="CIT_die_T1">'Constants Pivot'!$E$19</definedName>
    <definedName name="CIT_die_T2">'Constants Pivot'!$G$19</definedName>
    <definedName name="CIT_gas_T0">'Constants Pivot'!$C$18</definedName>
    <definedName name="CIT_gas_T1">'Constants Pivot'!$E$18</definedName>
    <definedName name="CIT_gas_T2">'Constants Pivot'!$G$18</definedName>
    <definedName name="CIT_jf_T0">'Constants Pivot'!$C$20</definedName>
    <definedName name="CIT_jf_T1">'Constants Pivot'!$E$20</definedName>
    <definedName name="CIT_jf_T2">'Constants Pivot'!$G$20</definedName>
    <definedName name="constants_data_out">Constants_out!$A$1:$E$54</definedName>
    <definedName name="ED_Bio_T0">'Constants Pivot'!$C$10</definedName>
    <definedName name="ED_bio_T1">'Constants Pivot'!$E$10</definedName>
    <definedName name="ED_bio_T2">'Constants Pivot'!$G$10</definedName>
    <definedName name="ED_die_T0">'Constants Pivot'!$C$9</definedName>
    <definedName name="ED_die_T1">'Constants Pivot'!$E$9</definedName>
    <definedName name="ED_die_T2">'Constants Pivot'!$G$9</definedName>
    <definedName name="ED_E10_T0">'Constants Pivot'!$C$7</definedName>
    <definedName name="ED_E10_T1">'Constants Pivot'!$E$7</definedName>
    <definedName name="ED_E10_T2">'Constants Pivot'!$G$7</definedName>
    <definedName name="ED_eon_T0">'Constants Pivot'!$C$12</definedName>
    <definedName name="ED_eon_T1">'Constants Pivot'!$E$12</definedName>
    <definedName name="ED_eon_T2">'Constants Pivot'!$G$12</definedName>
    <definedName name="ED_eth_T0">'Constants Pivot'!$C$8</definedName>
    <definedName name="ED_eth_T1">'Constants Pivot'!$E$8</definedName>
    <definedName name="ED_eth_T2">'Constants Pivot'!$G$8</definedName>
    <definedName name="ED_fcg_T0">'Constants Pivot'!$C$13</definedName>
    <definedName name="ED_fcg_T1">'Constants Pivot'!$E$13</definedName>
    <definedName name="ED_fcg_T2">'Constants Pivot'!$G$13</definedName>
    <definedName name="ED_flg_T0">'Constants Pivot'!$C$14</definedName>
    <definedName name="ED_flg_T1">'Constants Pivot'!$E$14</definedName>
    <definedName name="ED_flg_T2">'Constants Pivot'!$G$14</definedName>
    <definedName name="ED_gas_2018">'Constants Pivot'!$H$6</definedName>
    <definedName name="ED_gas_T0">'Constants Pivot'!$C$6</definedName>
    <definedName name="ED_gas_T1">'Constants Pivot'!$E$6</definedName>
    <definedName name="ED_gas_T2">'Constants Pivot'!$G$6</definedName>
    <definedName name="ED_hyd_T0">'Constants Pivot'!$C$16</definedName>
    <definedName name="ED_hyd_T1">'Constants Pivot'!$E$16</definedName>
    <definedName name="ED_hyd_T2">'Constants Pivot'!$G$16</definedName>
    <definedName name="ED_jf_T0">'Constants Pivot'!$C$17</definedName>
    <definedName name="ED_jf_T1">'Constants Pivot'!$E$17</definedName>
    <definedName name="ED_jf_T2">'Constants Pivot'!$G$17</definedName>
    <definedName name="ED_lp_T0">'Constants Pivot'!$C$15</definedName>
    <definedName name="ED_lp_T1">'Constants Pivot'!$E$15</definedName>
    <definedName name="ED_lp_T2">'Constants Pivot'!$G$15</definedName>
    <definedName name="ED_ren_T0">'Constants Pivot'!$C$11</definedName>
    <definedName name="ED_ren_T1">'Constants Pivot'!$E$11</definedName>
    <definedName name="ED_ren_T2">'Constants Pivot'!$G$11</definedName>
    <definedName name="EEReon_T0">'Constants Pivot'!$C$33</definedName>
    <definedName name="EEReon_T1">'Constants Pivot'!$E$33</definedName>
    <definedName name="EEReon_T2">'Constants Pivot'!$G$33</definedName>
    <definedName name="EERng_T0">'Constants Pivot'!$C$34</definedName>
    <definedName name="EERng_T1">'Constants Pivot'!$E$34</definedName>
    <definedName name="EERng_T2">'Constants Pivot'!$G$34</definedName>
    <definedName name="GR_die_T0">'Constants Pivot'!$C$36</definedName>
    <definedName name="GR_die_T1">'Constants Pivot'!$D$36</definedName>
    <definedName name="GR_die_T2">'Constants Pivot'!$F$36</definedName>
    <definedName name="GR_eof_T0">'Constants Pivot'!$C$38</definedName>
    <definedName name="GR_eof_T1">'Constants Pivot'!$D$38</definedName>
    <definedName name="GR_eof_T2">'Constants Pivot'!$F$38</definedName>
    <definedName name="GR_gas_T0">'Constants Pivot'!$C$35</definedName>
    <definedName name="GR_gas_T1">'Constants Pivot'!$D$35</definedName>
    <definedName name="GR_gas_T2">'Constants Pivot'!$F$35</definedName>
    <definedName name="GR_lp_T0">'Constants Pivot'!$C$37</definedName>
    <definedName name="GR_lp_T1">'Constants Pivot'!$D$37</definedName>
    <definedName name="GR_lp_T2">'Constants Pivot'!$F$37</definedName>
    <definedName name="GR_ng_T0">'Constants Pivot'!$C$39</definedName>
    <definedName name="GR_ng_T1">'Constants Pivot'!$D$39</definedName>
    <definedName name="GR_ng_T2">'Constants Pivot'!$F$39</definedName>
    <definedName name="KWh_T0">'Constants Pivot'!$C$32</definedName>
    <definedName name="KWh_T1">'Constants Pivot'!$D$32</definedName>
    <definedName name="KWh_T2">'Constants Pivot'!$F$32</definedName>
  </definedNames>
  <calcPr calcId="191029"/>
  <pivotCaches>
    <pivotCache cacheId="29" r:id="rId15"/>
    <pivotCache cacheId="30" r:id="rId16"/>
    <pivotCache cacheId="31"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0" i="26" l="1"/>
  <c r="L48" i="26"/>
  <c r="J50" i="26"/>
  <c r="I50" i="26"/>
  <c r="AO101" i="13"/>
  <c r="AP101" i="13"/>
  <c r="AQ101" i="13"/>
  <c r="AN101" i="13"/>
  <c r="AM101" i="13"/>
  <c r="AK101" i="13"/>
  <c r="AL101" i="13" s="1"/>
  <c r="V17" i="22"/>
  <c r="V16" i="22"/>
  <c r="V15" i="22"/>
  <c r="V11" i="22"/>
  <c r="V10" i="22"/>
  <c r="V9" i="22"/>
  <c r="W17" i="22"/>
  <c r="W16" i="22"/>
  <c r="W15" i="22"/>
  <c r="W11" i="22"/>
  <c r="W10" i="22"/>
  <c r="W9" i="22"/>
  <c r="W8" i="22"/>
  <c r="V8" i="22"/>
  <c r="W7" i="22"/>
  <c r="V7" i="22"/>
  <c r="W6" i="22"/>
  <c r="V6" i="22"/>
  <c r="AW34" i="29"/>
  <c r="AZ34" i="29"/>
  <c r="AY34" i="29"/>
  <c r="AX34" i="29"/>
  <c r="AW38" i="29"/>
  <c r="AZ38" i="29"/>
  <c r="AY38" i="29"/>
  <c r="AX38" i="29"/>
  <c r="AY42" i="29"/>
  <c r="AZ42" i="29"/>
  <c r="AX42" i="29"/>
  <c r="AW42" i="29"/>
  <c r="AN13" i="29"/>
  <c r="AN11" i="29"/>
  <c r="B107" i="9"/>
  <c r="C107" i="9" s="1"/>
  <c r="H101" i="9"/>
  <c r="AG94" i="13"/>
  <c r="AH94" i="13"/>
  <c r="AI94" i="13"/>
  <c r="AF94" i="13"/>
  <c r="AC94" i="13"/>
  <c r="AD94" i="13"/>
  <c r="AE94" i="13"/>
  <c r="AB94" i="13"/>
  <c r="Y94" i="13"/>
  <c r="Z94" i="13"/>
  <c r="AA94" i="13"/>
  <c r="X94" i="13"/>
  <c r="U94" i="13"/>
  <c r="V94" i="13"/>
  <c r="W94" i="13"/>
  <c r="T94" i="13"/>
  <c r="Q94" i="13"/>
  <c r="R94" i="13"/>
  <c r="S94" i="13"/>
  <c r="P94" i="13"/>
  <c r="M94" i="13"/>
  <c r="N94" i="13"/>
  <c r="O94" i="13"/>
  <c r="L94" i="13"/>
  <c r="I94" i="13"/>
  <c r="J94" i="13"/>
  <c r="K94" i="13"/>
  <c r="H94" i="13"/>
  <c r="D101" i="9"/>
  <c r="D100" i="9"/>
  <c r="D99" i="9"/>
  <c r="D98" i="9"/>
  <c r="D97" i="9"/>
  <c r="D96" i="9"/>
  <c r="D95" i="9"/>
  <c r="E95" i="9" s="1"/>
  <c r="C97" i="9"/>
  <c r="C98" i="9"/>
  <c r="C99" i="9"/>
  <c r="C100" i="9"/>
  <c r="C101" i="9"/>
  <c r="C96" i="9"/>
  <c r="E101" i="9"/>
  <c r="F101" i="9" s="1"/>
  <c r="AJ153" i="13"/>
  <c r="AJ128" i="13" s="1"/>
  <c r="AJ149" i="13"/>
  <c r="AR101" i="13" l="1"/>
  <c r="F107" i="9"/>
  <c r="H107" i="9" s="1"/>
  <c r="AL92" i="13" l="1"/>
  <c r="AM92" i="13" s="1"/>
  <c r="AN92" i="13" s="1"/>
  <c r="AL91" i="13"/>
  <c r="AK91" i="13"/>
  <c r="I53" i="17"/>
  <c r="H53" i="17"/>
  <c r="G53" i="17"/>
  <c r="F53" i="17"/>
  <c r="E53" i="17"/>
  <c r="D53" i="17"/>
  <c r="AO92" i="13" l="1"/>
  <c r="AN91" i="13"/>
  <c r="AM91" i="13"/>
  <c r="AJ129" i="13"/>
  <c r="AJ127" i="13"/>
  <c r="AJ126" i="13"/>
  <c r="AJ124" i="13"/>
  <c r="AJ123" i="13"/>
  <c r="AJ122" i="13"/>
  <c r="AJ118" i="13"/>
  <c r="AJ120" i="13" s="1"/>
  <c r="AJ119" i="13"/>
  <c r="AJ136" i="13"/>
  <c r="AJ137" i="13"/>
  <c r="AJ138" i="13"/>
  <c r="AJ139" i="13"/>
  <c r="AJ140" i="13"/>
  <c r="AJ141" i="13"/>
  <c r="AJ142" i="13"/>
  <c r="AJ143" i="13"/>
  <c r="AJ158" i="13" s="1"/>
  <c r="AJ144" i="13"/>
  <c r="AJ145" i="13"/>
  <c r="AJ146" i="13"/>
  <c r="AJ147" i="13"/>
  <c r="AJ148" i="13"/>
  <c r="AJ150" i="13"/>
  <c r="AJ151" i="13"/>
  <c r="AJ152" i="13"/>
  <c r="AJ154" i="13"/>
  <c r="AJ155" i="13"/>
  <c r="AJ157" i="13"/>
  <c r="AJ101" i="13"/>
  <c r="AJ102" i="13"/>
  <c r="AJ110" i="13"/>
  <c r="AJ113" i="13" s="1"/>
  <c r="AJ112" i="13" s="1"/>
  <c r="AJ111" i="13"/>
  <c r="AJ105" i="13"/>
  <c r="AJ106" i="13" s="1"/>
  <c r="AJ107" i="13"/>
  <c r="AJ108" i="13" s="1"/>
  <c r="AJ93" i="13"/>
  <c r="AJ85" i="13"/>
  <c r="AJ86" i="13"/>
  <c r="AJ87" i="13"/>
  <c r="AJ88" i="13"/>
  <c r="AJ89" i="13" s="1"/>
  <c r="AJ90" i="13"/>
  <c r="AJ91" i="13"/>
  <c r="AJ78" i="13"/>
  <c r="AJ79" i="13"/>
  <c r="AJ80" i="13"/>
  <c r="AJ82" i="13"/>
  <c r="AJ81" i="13" s="1"/>
  <c r="J115" i="23"/>
  <c r="J39" i="23"/>
  <c r="J75" i="23"/>
  <c r="J94" i="23"/>
  <c r="F103" i="23"/>
  <c r="F104" i="23"/>
  <c r="F105" i="23"/>
  <c r="F106" i="23"/>
  <c r="F107" i="23"/>
  <c r="F108" i="23"/>
  <c r="F109" i="23"/>
  <c r="F110" i="23"/>
  <c r="F111" i="23"/>
  <c r="F112" i="23"/>
  <c r="F102" i="23"/>
  <c r="AP92" i="13" l="1"/>
  <c r="AO91" i="13"/>
  <c r="AJ114" i="13"/>
  <c r="AJ104" i="13"/>
  <c r="AJ83" i="13"/>
  <c r="AB28" i="25"/>
  <c r="AA28" i="25"/>
  <c r="Z28" i="25"/>
  <c r="X19" i="25"/>
  <c r="AP91" i="13" l="1"/>
  <c r="AQ92" i="13"/>
  <c r="AS101" i="13"/>
  <c r="AU101" i="13"/>
  <c r="AT101" i="13"/>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4" i="9"/>
  <c r="AQ91" i="13" l="1"/>
  <c r="AR92" i="13"/>
  <c r="M17" i="17"/>
  <c r="M5" i="17"/>
  <c r="AS92" i="13" l="1"/>
  <c r="AR91" i="13"/>
  <c r="K52" i="17"/>
  <c r="J52" i="17"/>
  <c r="I52" i="17"/>
  <c r="H52" i="17"/>
  <c r="G52" i="17"/>
  <c r="F52" i="17"/>
  <c r="E52" i="17"/>
  <c r="K46" i="17"/>
  <c r="J46" i="17"/>
  <c r="I46" i="17"/>
  <c r="H46" i="17"/>
  <c r="G46" i="17"/>
  <c r="F46" i="17"/>
  <c r="E46" i="17"/>
  <c r="D46" i="17"/>
  <c r="C46" i="17"/>
  <c r="B46" i="17"/>
  <c r="K41" i="17"/>
  <c r="J41" i="17"/>
  <c r="I41" i="17"/>
  <c r="H41" i="17"/>
  <c r="G41" i="17"/>
  <c r="F41" i="17"/>
  <c r="E41" i="17"/>
  <c r="D41" i="17"/>
  <c r="C41" i="17"/>
  <c r="B41" i="17"/>
  <c r="K36" i="17"/>
  <c r="J36" i="17"/>
  <c r="I36" i="17"/>
  <c r="H36" i="17"/>
  <c r="G36" i="17"/>
  <c r="F36" i="17"/>
  <c r="E36" i="17"/>
  <c r="D36" i="17"/>
  <c r="C36" i="17"/>
  <c r="B36" i="17"/>
  <c r="K28" i="17"/>
  <c r="J28" i="17"/>
  <c r="I28" i="17"/>
  <c r="H28" i="17"/>
  <c r="G28" i="17"/>
  <c r="F28" i="17"/>
  <c r="E28" i="17"/>
  <c r="D28" i="17"/>
  <c r="C28" i="17"/>
  <c r="K21" i="17"/>
  <c r="J21" i="17"/>
  <c r="I21" i="17"/>
  <c r="H21" i="17"/>
  <c r="G21" i="17"/>
  <c r="F21" i="17"/>
  <c r="E21" i="17"/>
  <c r="D21" i="17"/>
  <c r="C21" i="17"/>
  <c r="B21" i="17"/>
  <c r="K17" i="17"/>
  <c r="K29" i="17" s="1"/>
  <c r="J17" i="17"/>
  <c r="J29" i="17" s="1"/>
  <c r="I17" i="17"/>
  <c r="I22" i="17" s="1"/>
  <c r="H17" i="17"/>
  <c r="H22" i="17" s="1"/>
  <c r="G17" i="17"/>
  <c r="G22" i="17" s="1"/>
  <c r="F17" i="17"/>
  <c r="F22" i="17" s="1"/>
  <c r="E17" i="17"/>
  <c r="E22" i="17" s="1"/>
  <c r="K16" i="17"/>
  <c r="J16" i="17"/>
  <c r="I16" i="17"/>
  <c r="H16" i="17"/>
  <c r="G16" i="17"/>
  <c r="F16" i="17"/>
  <c r="E16" i="17"/>
  <c r="D16" i="17"/>
  <c r="C16" i="17"/>
  <c r="B16" i="17"/>
  <c r="K9" i="17"/>
  <c r="J9" i="17"/>
  <c r="I9" i="17"/>
  <c r="H9" i="17"/>
  <c r="G9" i="17"/>
  <c r="F9" i="17"/>
  <c r="E9" i="17"/>
  <c r="D9" i="17"/>
  <c r="C9" i="17"/>
  <c r="B9" i="17"/>
  <c r="K5" i="17"/>
  <c r="K10" i="17" s="1"/>
  <c r="J5" i="17"/>
  <c r="J10" i="17" s="1"/>
  <c r="I5" i="17"/>
  <c r="I10" i="17" s="1"/>
  <c r="H5" i="17"/>
  <c r="H10" i="17" s="1"/>
  <c r="G5" i="17"/>
  <c r="G10" i="17" s="1"/>
  <c r="F5" i="17"/>
  <c r="F10" i="17" s="1"/>
  <c r="E5" i="17"/>
  <c r="E10" i="17" s="1"/>
  <c r="K4" i="17"/>
  <c r="J4" i="17"/>
  <c r="I4" i="17"/>
  <c r="H4" i="17"/>
  <c r="G4" i="17"/>
  <c r="F4" i="17"/>
  <c r="E4" i="17"/>
  <c r="D4" i="17"/>
  <c r="C4" i="17"/>
  <c r="B4" i="17"/>
  <c r="X17" i="22"/>
  <c r="U17" i="22"/>
  <c r="T17" i="22"/>
  <c r="X16" i="22"/>
  <c r="U16" i="22"/>
  <c r="T16" i="22"/>
  <c r="X15" i="22"/>
  <c r="U15" i="22"/>
  <c r="T15" i="22"/>
  <c r="Z14" i="22"/>
  <c r="T14" i="22"/>
  <c r="T13" i="22"/>
  <c r="T12" i="22"/>
  <c r="X11" i="22"/>
  <c r="U11" i="22"/>
  <c r="T11" i="22"/>
  <c r="X10" i="22"/>
  <c r="U10" i="22"/>
  <c r="T10" i="22"/>
  <c r="X9" i="22"/>
  <c r="U9" i="22"/>
  <c r="T9" i="22"/>
  <c r="X8" i="22"/>
  <c r="U8" i="22"/>
  <c r="T8" i="22"/>
  <c r="X7" i="22"/>
  <c r="U7" i="22"/>
  <c r="T7" i="22"/>
  <c r="X6" i="22"/>
  <c r="U6" i="22"/>
  <c r="T6" i="22"/>
  <c r="E84" i="9"/>
  <c r="B84" i="9"/>
  <c r="E83" i="9"/>
  <c r="B83" i="9"/>
  <c r="E82" i="9"/>
  <c r="B82" i="9"/>
  <c r="E81" i="9"/>
  <c r="B81" i="9"/>
  <c r="E80" i="9"/>
  <c r="B80" i="9"/>
  <c r="E79" i="9"/>
  <c r="B79" i="9"/>
  <c r="E78" i="9"/>
  <c r="B78" i="9"/>
  <c r="E77" i="9"/>
  <c r="B77" i="9"/>
  <c r="E76" i="9"/>
  <c r="B76" i="9"/>
  <c r="E75" i="9"/>
  <c r="B75" i="9"/>
  <c r="E74" i="9"/>
  <c r="B74" i="9"/>
  <c r="E73" i="9"/>
  <c r="B73" i="9"/>
  <c r="E72" i="9"/>
  <c r="B72" i="9"/>
  <c r="E71" i="9"/>
  <c r="B71" i="9"/>
  <c r="M63" i="9"/>
  <c r="L63" i="9"/>
  <c r="H63" i="9"/>
  <c r="M62" i="9"/>
  <c r="L62" i="9"/>
  <c r="H62" i="9"/>
  <c r="M61" i="9"/>
  <c r="L61" i="9"/>
  <c r="H61" i="9"/>
  <c r="M60" i="9"/>
  <c r="L60" i="9"/>
  <c r="H60" i="9"/>
  <c r="M59" i="9"/>
  <c r="L59" i="9"/>
  <c r="H59" i="9"/>
  <c r="M58" i="9"/>
  <c r="L58" i="9"/>
  <c r="H58" i="9"/>
  <c r="M57" i="9"/>
  <c r="L57" i="9"/>
  <c r="H57" i="9"/>
  <c r="M56" i="9"/>
  <c r="L56" i="9"/>
  <c r="H56" i="9"/>
  <c r="M55" i="9"/>
  <c r="L55" i="9"/>
  <c r="H55" i="9"/>
  <c r="AU164" i="13" s="1"/>
  <c r="M54" i="9"/>
  <c r="L54" i="9"/>
  <c r="H54" i="9"/>
  <c r="AT94" i="13" s="1"/>
  <c r="M53" i="9"/>
  <c r="L53" i="9"/>
  <c r="H53" i="9"/>
  <c r="AS164" i="13" s="1"/>
  <c r="M52" i="9"/>
  <c r="L52" i="9"/>
  <c r="H52" i="9"/>
  <c r="AR125" i="13" s="1"/>
  <c r="M51" i="9"/>
  <c r="L51" i="9"/>
  <c r="H51" i="9"/>
  <c r="M50" i="9"/>
  <c r="L50" i="9"/>
  <c r="H50" i="9"/>
  <c r="AP94" i="13" s="1"/>
  <c r="M49" i="9"/>
  <c r="L49" i="9"/>
  <c r="H49" i="9"/>
  <c r="M48" i="9"/>
  <c r="L48" i="9"/>
  <c r="H48" i="9"/>
  <c r="M47" i="9"/>
  <c r="L47" i="9"/>
  <c r="H47" i="9"/>
  <c r="M46" i="9"/>
  <c r="L46" i="9"/>
  <c r="H46" i="9"/>
  <c r="AL164" i="13" s="1"/>
  <c r="M45" i="9"/>
  <c r="L45" i="9"/>
  <c r="H45" i="9"/>
  <c r="AK164" i="13" s="1"/>
  <c r="M44" i="9"/>
  <c r="L44" i="9"/>
  <c r="H44" i="9"/>
  <c r="AJ164" i="13" s="1"/>
  <c r="M43" i="9"/>
  <c r="L43" i="9"/>
  <c r="H43" i="9"/>
  <c r="AI164" i="13" s="1"/>
  <c r="M42" i="9"/>
  <c r="L42" i="9"/>
  <c r="H42" i="9"/>
  <c r="AH164" i="13" s="1"/>
  <c r="G42" i="9"/>
  <c r="G43" i="9" s="1"/>
  <c r="G44" i="9" s="1"/>
  <c r="G45" i="9" s="1"/>
  <c r="G46" i="9" s="1"/>
  <c r="G47" i="9" s="1"/>
  <c r="G48" i="9" s="1"/>
  <c r="G49" i="9" s="1"/>
  <c r="G50" i="9" s="1"/>
  <c r="G51" i="9" s="1"/>
  <c r="G52" i="9" s="1"/>
  <c r="G53" i="9" s="1"/>
  <c r="G54" i="9" s="1"/>
  <c r="G55" i="9" s="1"/>
  <c r="G56" i="9" s="1"/>
  <c r="G57" i="9" s="1"/>
  <c r="G58" i="9" s="1"/>
  <c r="G59" i="9" s="1"/>
  <c r="G60" i="9" s="1"/>
  <c r="G61" i="9" s="1"/>
  <c r="G62" i="9" s="1"/>
  <c r="G63" i="9" s="1"/>
  <c r="M41" i="9"/>
  <c r="L41" i="9"/>
  <c r="H41" i="9"/>
  <c r="G41" i="9"/>
  <c r="J41" i="9" s="1"/>
  <c r="F41" i="9"/>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D41" i="9"/>
  <c r="D42" i="9" s="1"/>
  <c r="C41" i="9"/>
  <c r="M40" i="9"/>
  <c r="L40" i="9"/>
  <c r="H40" i="9"/>
  <c r="AF164" i="13" s="1"/>
  <c r="M39" i="9"/>
  <c r="L39" i="9"/>
  <c r="H39" i="9"/>
  <c r="M38" i="9"/>
  <c r="L38" i="9"/>
  <c r="H38" i="9"/>
  <c r="AD164" i="13" s="1"/>
  <c r="M37" i="9"/>
  <c r="L37" i="9"/>
  <c r="H37" i="9"/>
  <c r="M36" i="9"/>
  <c r="L36" i="9"/>
  <c r="H36" i="9"/>
  <c r="AB164" i="13" s="1"/>
  <c r="M35" i="9"/>
  <c r="L35" i="9"/>
  <c r="H35" i="9"/>
  <c r="M34" i="9"/>
  <c r="L34" i="9"/>
  <c r="H34" i="9"/>
  <c r="Z164" i="13" s="1"/>
  <c r="M33" i="9"/>
  <c r="L33" i="9"/>
  <c r="H33" i="9"/>
  <c r="Y164" i="13" s="1"/>
  <c r="M32" i="9"/>
  <c r="L32" i="9"/>
  <c r="H32" i="9"/>
  <c r="X164" i="13" s="1"/>
  <c r="M31" i="9"/>
  <c r="L31" i="9"/>
  <c r="H31" i="9"/>
  <c r="W164" i="13" s="1"/>
  <c r="M30" i="9"/>
  <c r="L30" i="9"/>
  <c r="H30" i="9"/>
  <c r="V164" i="13" s="1"/>
  <c r="M29" i="9"/>
  <c r="L29" i="9"/>
  <c r="H29" i="9"/>
  <c r="U164" i="13" s="1"/>
  <c r="M28" i="9"/>
  <c r="L28" i="9"/>
  <c r="H28" i="9"/>
  <c r="T164" i="13" s="1"/>
  <c r="M27" i="9"/>
  <c r="L27" i="9"/>
  <c r="H27" i="9"/>
  <c r="M26" i="9"/>
  <c r="L26" i="9"/>
  <c r="H26" i="9"/>
  <c r="M25" i="9"/>
  <c r="L25" i="9"/>
  <c r="H25" i="9"/>
  <c r="Q164" i="13" s="1"/>
  <c r="M24" i="9"/>
  <c r="L24" i="9"/>
  <c r="H24" i="9"/>
  <c r="P164" i="13" s="1"/>
  <c r="M23" i="9"/>
  <c r="L23" i="9"/>
  <c r="H23" i="9"/>
  <c r="O164" i="13" s="1"/>
  <c r="M22" i="9"/>
  <c r="L22" i="9"/>
  <c r="H22" i="9"/>
  <c r="N164" i="13" s="1"/>
  <c r="M21" i="9"/>
  <c r="L21" i="9"/>
  <c r="H21" i="9"/>
  <c r="M20" i="9"/>
  <c r="L20" i="9"/>
  <c r="H20" i="9"/>
  <c r="L164" i="13" s="1"/>
  <c r="M19" i="9"/>
  <c r="L19" i="9"/>
  <c r="H19" i="9"/>
  <c r="M18" i="9"/>
  <c r="L18" i="9"/>
  <c r="H18" i="9"/>
  <c r="J164" i="13" s="1"/>
  <c r="M17" i="9"/>
  <c r="L17" i="9"/>
  <c r="H17" i="9"/>
  <c r="M16" i="9"/>
  <c r="L16" i="9"/>
  <c r="H16" i="9"/>
  <c r="H164" i="13" s="1"/>
  <c r="M15" i="9"/>
  <c r="L15" i="9"/>
  <c r="H15" i="9"/>
  <c r="N15" i="9" s="1"/>
  <c r="M14" i="9"/>
  <c r="L14" i="9"/>
  <c r="H14" i="9"/>
  <c r="M13" i="9"/>
  <c r="L13" i="9"/>
  <c r="H13" i="9"/>
  <c r="M12" i="9"/>
  <c r="L12" i="9"/>
  <c r="H12" i="9"/>
  <c r="M11" i="9"/>
  <c r="L11" i="9"/>
  <c r="H11" i="9"/>
  <c r="M10" i="9"/>
  <c r="L10" i="9"/>
  <c r="H10" i="9"/>
  <c r="N10" i="9" s="1"/>
  <c r="M9" i="9"/>
  <c r="L9" i="9"/>
  <c r="H9" i="9"/>
  <c r="M8" i="9"/>
  <c r="L8" i="9"/>
  <c r="H8" i="9"/>
  <c r="N8" i="9" s="1"/>
  <c r="H7" i="9"/>
  <c r="H6" i="9"/>
  <c r="H5" i="9"/>
  <c r="H4" i="9"/>
  <c r="AM26" i="29"/>
  <c r="AL26" i="29"/>
  <c r="AK26" i="29"/>
  <c r="AJ26" i="29"/>
  <c r="AI26" i="29"/>
  <c r="AH26" i="29"/>
  <c r="AG26" i="29"/>
  <c r="AF26" i="29"/>
  <c r="AE24" i="29"/>
  <c r="AD24" i="29"/>
  <c r="AC24" i="29"/>
  <c r="AB24" i="29"/>
  <c r="AA24" i="29"/>
  <c r="Z24" i="29"/>
  <c r="Y24" i="29"/>
  <c r="X24" i="29"/>
  <c r="W24" i="29"/>
  <c r="V24" i="29"/>
  <c r="U24" i="29"/>
  <c r="T24" i="29"/>
  <c r="S24" i="29"/>
  <c r="R24" i="29"/>
  <c r="Q24" i="29"/>
  <c r="P24" i="29"/>
  <c r="O24" i="29"/>
  <c r="N24" i="29"/>
  <c r="M24" i="29"/>
  <c r="L24" i="29"/>
  <c r="K24" i="29"/>
  <c r="AM20" i="29"/>
  <c r="AL20" i="29"/>
  <c r="AK20" i="29"/>
  <c r="AJ20" i="29"/>
  <c r="AI20" i="29"/>
  <c r="AH20" i="29"/>
  <c r="AG20" i="29"/>
  <c r="AF20" i="29"/>
  <c r="AE18" i="29"/>
  <c r="AD18" i="29"/>
  <c r="AC18" i="29"/>
  <c r="AB18" i="29"/>
  <c r="AA18" i="29"/>
  <c r="Z18" i="29"/>
  <c r="Y18" i="29"/>
  <c r="X18" i="29"/>
  <c r="W18" i="29"/>
  <c r="V18" i="29"/>
  <c r="U18" i="29"/>
  <c r="T18" i="29"/>
  <c r="S18" i="29"/>
  <c r="R18" i="29"/>
  <c r="Q18" i="29"/>
  <c r="P18" i="29"/>
  <c r="O18" i="29"/>
  <c r="N18" i="29"/>
  <c r="M18" i="29"/>
  <c r="L18" i="29"/>
  <c r="K18" i="29"/>
  <c r="J18" i="29"/>
  <c r="I18" i="29"/>
  <c r="H18" i="29"/>
  <c r="G18" i="29"/>
  <c r="F18" i="29"/>
  <c r="E18" i="29"/>
  <c r="D18" i="29"/>
  <c r="AM14" i="29"/>
  <c r="AL14" i="29"/>
  <c r="AK14" i="29"/>
  <c r="AJ14" i="29"/>
  <c r="AI14" i="29"/>
  <c r="AH14" i="29"/>
  <c r="AG14" i="29"/>
  <c r="AF14" i="29"/>
  <c r="AE12" i="29"/>
  <c r="AD12" i="29"/>
  <c r="AC12" i="29"/>
  <c r="AB12" i="29"/>
  <c r="AA12" i="29"/>
  <c r="Z12" i="29"/>
  <c r="Y12" i="29"/>
  <c r="X12" i="29"/>
  <c r="W12" i="29"/>
  <c r="V12" i="29"/>
  <c r="U12" i="29"/>
  <c r="T12" i="29"/>
  <c r="S12" i="29"/>
  <c r="R12" i="29"/>
  <c r="Q12" i="29"/>
  <c r="P12" i="29"/>
  <c r="O12" i="29"/>
  <c r="N12" i="29"/>
  <c r="M12" i="29"/>
  <c r="L12" i="29"/>
  <c r="K12" i="29"/>
  <c r="J12" i="29"/>
  <c r="I12" i="29"/>
  <c r="H12" i="29"/>
  <c r="G12" i="29"/>
  <c r="F12" i="29"/>
  <c r="E12" i="29"/>
  <c r="D12" i="29"/>
  <c r="AE11" i="29"/>
  <c r="AD11" i="29"/>
  <c r="AC11" i="29"/>
  <c r="AB11" i="29"/>
  <c r="AA11" i="29"/>
  <c r="Z11" i="29"/>
  <c r="Y11" i="29"/>
  <c r="X11" i="29"/>
  <c r="W11" i="29"/>
  <c r="V11" i="29"/>
  <c r="U11" i="29"/>
  <c r="T11" i="29"/>
  <c r="S11" i="29"/>
  <c r="R11" i="29"/>
  <c r="Q11" i="29"/>
  <c r="P11" i="29"/>
  <c r="O11" i="29"/>
  <c r="N11" i="29"/>
  <c r="M11" i="29"/>
  <c r="L11" i="29"/>
  <c r="K11" i="29"/>
  <c r="J11" i="29"/>
  <c r="I11" i="29"/>
  <c r="H11" i="29"/>
  <c r="G11" i="29"/>
  <c r="F11" i="29"/>
  <c r="E11" i="29"/>
  <c r="D11" i="29"/>
  <c r="AY8" i="29"/>
  <c r="X27" i="25" s="1"/>
  <c r="AB27" i="25" s="1"/>
  <c r="AX8" i="29"/>
  <c r="X26" i="25" s="1"/>
  <c r="AB26" i="25" s="1"/>
  <c r="AY7" i="29"/>
  <c r="W27" i="25" s="1"/>
  <c r="AA27" i="25" s="1"/>
  <c r="AX7" i="29"/>
  <c r="W26" i="25" s="1"/>
  <c r="AA26" i="25" s="1"/>
  <c r="AY6" i="29"/>
  <c r="V27" i="25" s="1"/>
  <c r="Z27" i="25" s="1"/>
  <c r="AX6" i="29"/>
  <c r="V26" i="25" s="1"/>
  <c r="Z26" i="25" s="1"/>
  <c r="AG5" i="29"/>
  <c r="F27" i="19"/>
  <c r="E27" i="19"/>
  <c r="D27" i="19"/>
  <c r="C27" i="19"/>
  <c r="B27" i="19"/>
  <c r="AI157" i="13"/>
  <c r="AH157" i="13"/>
  <c r="AG157" i="13"/>
  <c r="AF157" i="13"/>
  <c r="AE157" i="13"/>
  <c r="AD157" i="13"/>
  <c r="AC157" i="13"/>
  <c r="AB157" i="13"/>
  <c r="AA157" i="13"/>
  <c r="Z157" i="13"/>
  <c r="Y157" i="13"/>
  <c r="X157" i="13"/>
  <c r="W157" i="13"/>
  <c r="V157" i="13"/>
  <c r="U157" i="13"/>
  <c r="T157" i="13"/>
  <c r="S157" i="13"/>
  <c r="R157" i="13"/>
  <c r="Q157" i="13"/>
  <c r="P157" i="13"/>
  <c r="O157" i="13"/>
  <c r="N157" i="13"/>
  <c r="M157" i="13"/>
  <c r="L157" i="13"/>
  <c r="K157" i="13"/>
  <c r="J157" i="13"/>
  <c r="I157" i="13"/>
  <c r="H157" i="13"/>
  <c r="AI155" i="13"/>
  <c r="AH155" i="13"/>
  <c r="AG155" i="13"/>
  <c r="AG129" i="13" s="1"/>
  <c r="AF155" i="13"/>
  <c r="AE155" i="13"/>
  <c r="AD155" i="13"/>
  <c r="AC155" i="13"/>
  <c r="AB155" i="13"/>
  <c r="AA155" i="13"/>
  <c r="Z155" i="13"/>
  <c r="Y155" i="13"/>
  <c r="X155" i="13"/>
  <c r="W155" i="13"/>
  <c r="V155" i="13"/>
  <c r="U155" i="13"/>
  <c r="T155" i="13"/>
  <c r="S155" i="13"/>
  <c r="R155" i="13"/>
  <c r="Q155" i="13"/>
  <c r="P155" i="13"/>
  <c r="O155" i="13"/>
  <c r="N155" i="13"/>
  <c r="M155" i="13"/>
  <c r="L155" i="13"/>
  <c r="K155" i="13"/>
  <c r="J155" i="13"/>
  <c r="J129" i="13" s="1"/>
  <c r="I155" i="13"/>
  <c r="I129" i="13" s="1"/>
  <c r="H155" i="13"/>
  <c r="AI154" i="13"/>
  <c r="AH154" i="13"/>
  <c r="AG154" i="13"/>
  <c r="AF154" i="13"/>
  <c r="AE154" i="13"/>
  <c r="AD154" i="13"/>
  <c r="AD129" i="13" s="1"/>
  <c r="AC154" i="13"/>
  <c r="AB154" i="13"/>
  <c r="AA154" i="13"/>
  <c r="Z154" i="13"/>
  <c r="Z129" i="13" s="1"/>
  <c r="Y154" i="13"/>
  <c r="X154" i="13"/>
  <c r="W154" i="13"/>
  <c r="V154" i="13"/>
  <c r="U154" i="13"/>
  <c r="T154" i="13"/>
  <c r="S154" i="13"/>
  <c r="R154" i="13"/>
  <c r="R129" i="13" s="1"/>
  <c r="Q154" i="13"/>
  <c r="P154" i="13"/>
  <c r="O154" i="13"/>
  <c r="N154" i="13"/>
  <c r="M154" i="13"/>
  <c r="L154" i="13"/>
  <c r="K154" i="13"/>
  <c r="J154" i="13"/>
  <c r="I154" i="13"/>
  <c r="H154" i="13"/>
  <c r="AI153" i="13"/>
  <c r="AH153" i="13"/>
  <c r="AG153" i="13"/>
  <c r="AF153" i="13"/>
  <c r="AE153" i="13"/>
  <c r="AD153" i="13"/>
  <c r="AC153" i="13"/>
  <c r="AB153" i="13"/>
  <c r="AA153" i="13"/>
  <c r="Z153" i="13"/>
  <c r="Y153" i="13"/>
  <c r="X153" i="13"/>
  <c r="W153" i="13"/>
  <c r="V153" i="13"/>
  <c r="U153" i="13"/>
  <c r="T153" i="13"/>
  <c r="S153" i="13"/>
  <c r="R153" i="13"/>
  <c r="Q153" i="13"/>
  <c r="P153" i="13"/>
  <c r="O153" i="13"/>
  <c r="N153" i="13"/>
  <c r="M153" i="13"/>
  <c r="L153" i="13"/>
  <c r="K153" i="13"/>
  <c r="J153" i="13"/>
  <c r="I153" i="13"/>
  <c r="H153" i="13"/>
  <c r="AI152" i="13"/>
  <c r="AH152" i="13"/>
  <c r="AG152" i="13"/>
  <c r="AF152" i="13"/>
  <c r="AE152" i="13"/>
  <c r="AD152" i="13"/>
  <c r="AC152" i="13"/>
  <c r="AB152" i="13"/>
  <c r="AA152" i="13"/>
  <c r="Z152" i="13"/>
  <c r="Y152" i="13"/>
  <c r="X152" i="13"/>
  <c r="W152" i="13"/>
  <c r="V152" i="13"/>
  <c r="U152" i="13"/>
  <c r="T152" i="13"/>
  <c r="S152" i="13"/>
  <c r="R152" i="13"/>
  <c r="Q152" i="13"/>
  <c r="P152" i="13"/>
  <c r="O152" i="13"/>
  <c r="N152" i="13"/>
  <c r="M152" i="13"/>
  <c r="L152" i="13"/>
  <c r="K152" i="13"/>
  <c r="J152" i="13"/>
  <c r="I152" i="13"/>
  <c r="H152" i="13"/>
  <c r="AI151" i="13"/>
  <c r="AH151" i="13"/>
  <c r="AG151" i="13"/>
  <c r="AF151" i="13"/>
  <c r="AE151" i="13"/>
  <c r="AD151" i="13"/>
  <c r="AC151" i="13"/>
  <c r="AB151" i="13"/>
  <c r="AA151" i="13"/>
  <c r="Z151" i="13"/>
  <c r="Z128" i="13" s="1"/>
  <c r="Y151" i="13"/>
  <c r="X151" i="13"/>
  <c r="W151" i="13"/>
  <c r="V151" i="13"/>
  <c r="U151" i="13"/>
  <c r="T151" i="13"/>
  <c r="S151" i="13"/>
  <c r="R151" i="13"/>
  <c r="Q151" i="13"/>
  <c r="P151" i="13"/>
  <c r="O151" i="13"/>
  <c r="N151" i="13"/>
  <c r="N128" i="13" s="1"/>
  <c r="M151" i="13"/>
  <c r="L151" i="13"/>
  <c r="K151" i="13"/>
  <c r="J151" i="13"/>
  <c r="I151" i="13"/>
  <c r="H151" i="13"/>
  <c r="AI150" i="13"/>
  <c r="AH150" i="13"/>
  <c r="AG150" i="13"/>
  <c r="AF150" i="13"/>
  <c r="AE150" i="13"/>
  <c r="AD150" i="13"/>
  <c r="AD128" i="13" s="1"/>
  <c r="AC150" i="13"/>
  <c r="AB150" i="13"/>
  <c r="AA150" i="13"/>
  <c r="Z150" i="13"/>
  <c r="Y150" i="13"/>
  <c r="X150" i="13"/>
  <c r="W150" i="13"/>
  <c r="V150" i="13"/>
  <c r="U150" i="13"/>
  <c r="T150" i="13"/>
  <c r="S150" i="13"/>
  <c r="R150" i="13"/>
  <c r="R128" i="13" s="1"/>
  <c r="Q150" i="13"/>
  <c r="P150" i="13"/>
  <c r="O150" i="13"/>
  <c r="N150" i="13"/>
  <c r="M150" i="13"/>
  <c r="L150" i="13"/>
  <c r="K150" i="13"/>
  <c r="J150" i="13"/>
  <c r="I150" i="13"/>
  <c r="H150" i="13"/>
  <c r="AI149" i="13"/>
  <c r="AH149" i="13"/>
  <c r="AH127" i="13" s="1"/>
  <c r="AG149" i="13"/>
  <c r="AG127" i="13" s="1"/>
  <c r="AF149" i="13"/>
  <c r="AE149" i="13"/>
  <c r="AD149" i="13"/>
  <c r="AC149" i="13"/>
  <c r="AB149" i="13"/>
  <c r="AA149" i="13"/>
  <c r="Z149" i="13"/>
  <c r="Y149" i="13"/>
  <c r="X149" i="13"/>
  <c r="W149" i="13"/>
  <c r="V149" i="13"/>
  <c r="V127" i="13" s="1"/>
  <c r="U149" i="13"/>
  <c r="T149" i="13"/>
  <c r="S149" i="13"/>
  <c r="R149" i="13"/>
  <c r="Q149" i="13"/>
  <c r="P149" i="13"/>
  <c r="O149" i="13"/>
  <c r="O127" i="13" s="1"/>
  <c r="N149" i="13"/>
  <c r="M149" i="13"/>
  <c r="L149" i="13"/>
  <c r="K149" i="13"/>
  <c r="J149" i="13"/>
  <c r="I149" i="13"/>
  <c r="H149" i="13"/>
  <c r="AI148" i="13"/>
  <c r="AH148" i="13"/>
  <c r="AG148" i="13"/>
  <c r="AF148" i="13"/>
  <c r="AF127" i="13" s="1"/>
  <c r="AE148" i="13"/>
  <c r="AE127" i="13" s="1"/>
  <c r="AD148" i="13"/>
  <c r="AC148" i="13"/>
  <c r="AC127" i="13" s="1"/>
  <c r="AB148" i="13"/>
  <c r="AA148" i="13"/>
  <c r="Z148" i="13"/>
  <c r="Y148" i="13"/>
  <c r="X148" i="13"/>
  <c r="W148" i="13"/>
  <c r="V148" i="13"/>
  <c r="U148" i="13"/>
  <c r="T148" i="13"/>
  <c r="S148" i="13"/>
  <c r="S127" i="13" s="1"/>
  <c r="R148" i="13"/>
  <c r="Q148" i="13"/>
  <c r="Q127" i="13" s="1"/>
  <c r="P148" i="13"/>
  <c r="O148" i="13"/>
  <c r="N148" i="13"/>
  <c r="N127" i="13" s="1"/>
  <c r="M148" i="13"/>
  <c r="M127" i="13" s="1"/>
  <c r="L148" i="13"/>
  <c r="K148" i="13"/>
  <c r="J148" i="13"/>
  <c r="I148" i="13"/>
  <c r="H148" i="13"/>
  <c r="AI147" i="13"/>
  <c r="AH147" i="13"/>
  <c r="AG147" i="13"/>
  <c r="AF147" i="13"/>
  <c r="AE147" i="13"/>
  <c r="AD147" i="13"/>
  <c r="AC147" i="13"/>
  <c r="AB147" i="13"/>
  <c r="AA147" i="13"/>
  <c r="Z147" i="13"/>
  <c r="Y147" i="13"/>
  <c r="X147" i="13"/>
  <c r="W147" i="13"/>
  <c r="V147" i="13"/>
  <c r="U147" i="13"/>
  <c r="T147" i="13"/>
  <c r="S147" i="13"/>
  <c r="R147" i="13"/>
  <c r="Q147" i="13"/>
  <c r="P147" i="13"/>
  <c r="O147" i="13"/>
  <c r="N147" i="13"/>
  <c r="M147" i="13"/>
  <c r="L147" i="13"/>
  <c r="K147" i="13"/>
  <c r="J147" i="13"/>
  <c r="I147" i="13"/>
  <c r="H147" i="13"/>
  <c r="AI146" i="13"/>
  <c r="AH146" i="13"/>
  <c r="AG146" i="13"/>
  <c r="AF146" i="13"/>
  <c r="AE146" i="13"/>
  <c r="AD146" i="13"/>
  <c r="AC146" i="13"/>
  <c r="AB146" i="13"/>
  <c r="AA146" i="13"/>
  <c r="Z146" i="13"/>
  <c r="Y146" i="13"/>
  <c r="X146" i="13"/>
  <c r="W146" i="13"/>
  <c r="V146" i="13"/>
  <c r="U146" i="13"/>
  <c r="T146" i="13"/>
  <c r="S146" i="13"/>
  <c r="R146" i="13"/>
  <c r="Q146" i="13"/>
  <c r="P146" i="13"/>
  <c r="O146" i="13"/>
  <c r="N146" i="13"/>
  <c r="M146" i="13"/>
  <c r="L146" i="13"/>
  <c r="K146" i="13"/>
  <c r="J146" i="13"/>
  <c r="I146" i="13"/>
  <c r="H146" i="13"/>
  <c r="AI145" i="13"/>
  <c r="AH145" i="13"/>
  <c r="AG145" i="13"/>
  <c r="AF145" i="13"/>
  <c r="AE145" i="13"/>
  <c r="AD145" i="13"/>
  <c r="AC145" i="13"/>
  <c r="AB145" i="13"/>
  <c r="AA145" i="13"/>
  <c r="Z145" i="13"/>
  <c r="Z124" i="13" s="1"/>
  <c r="Y145" i="13"/>
  <c r="Y124" i="13" s="1"/>
  <c r="X145" i="13"/>
  <c r="W145" i="13"/>
  <c r="V145" i="13"/>
  <c r="U145" i="13"/>
  <c r="T145" i="13"/>
  <c r="S145" i="13"/>
  <c r="R145" i="13"/>
  <c r="Q145" i="13"/>
  <c r="P145" i="13"/>
  <c r="O145" i="13"/>
  <c r="N145" i="13"/>
  <c r="N124" i="13" s="1"/>
  <c r="M145" i="13"/>
  <c r="M124" i="13" s="1"/>
  <c r="L145" i="13"/>
  <c r="K145" i="13"/>
  <c r="J145" i="13"/>
  <c r="I145" i="13"/>
  <c r="H145" i="13"/>
  <c r="AI144" i="13"/>
  <c r="AI124" i="13" s="1"/>
  <c r="AH144" i="13"/>
  <c r="AG144" i="13"/>
  <c r="AG124" i="13" s="1"/>
  <c r="AF144" i="13"/>
  <c r="AE144" i="13"/>
  <c r="AD144" i="13"/>
  <c r="AC144" i="13"/>
  <c r="AB144" i="13"/>
  <c r="AA144" i="13"/>
  <c r="Z144" i="13"/>
  <c r="Y144" i="13"/>
  <c r="X144" i="13"/>
  <c r="X124" i="13" s="1"/>
  <c r="W144" i="13"/>
  <c r="W124" i="13" s="1"/>
  <c r="V144" i="13"/>
  <c r="U144" i="13"/>
  <c r="U124" i="13" s="1"/>
  <c r="T144" i="13"/>
  <c r="S144" i="13"/>
  <c r="R144" i="13"/>
  <c r="Q144" i="13"/>
  <c r="P144" i="13"/>
  <c r="O144" i="13"/>
  <c r="N144" i="13"/>
  <c r="M144" i="13"/>
  <c r="L144" i="13"/>
  <c r="K144" i="13"/>
  <c r="K124" i="13" s="1"/>
  <c r="J144" i="13"/>
  <c r="I144" i="13"/>
  <c r="I124" i="13" s="1"/>
  <c r="H144" i="13"/>
  <c r="AI143" i="13"/>
  <c r="AH143" i="13"/>
  <c r="AG143" i="13"/>
  <c r="AG123" i="13" s="1"/>
  <c r="AF143" i="13"/>
  <c r="AE143" i="13"/>
  <c r="AD143" i="13"/>
  <c r="AC143" i="13"/>
  <c r="AB143" i="13"/>
  <c r="AA143" i="13"/>
  <c r="AA123" i="13" s="1"/>
  <c r="Z143" i="13"/>
  <c r="Y143" i="13"/>
  <c r="X143" i="13"/>
  <c r="W143" i="13"/>
  <c r="V143" i="13"/>
  <c r="V123" i="13" s="1"/>
  <c r="U143" i="13"/>
  <c r="U123" i="13" s="1"/>
  <c r="T143" i="13"/>
  <c r="S143" i="13"/>
  <c r="R143" i="13"/>
  <c r="Q143" i="13"/>
  <c r="P143" i="13"/>
  <c r="O143" i="13"/>
  <c r="O123" i="13" s="1"/>
  <c r="N143" i="13"/>
  <c r="M143" i="13"/>
  <c r="L143" i="13"/>
  <c r="K143" i="13"/>
  <c r="J143" i="13"/>
  <c r="J123" i="13" s="1"/>
  <c r="I143" i="13"/>
  <c r="I123" i="13" s="1"/>
  <c r="H143" i="13"/>
  <c r="AI142" i="13"/>
  <c r="AH142" i="13"/>
  <c r="AG142" i="13"/>
  <c r="AF142" i="13"/>
  <c r="AE142" i="13"/>
  <c r="AE123" i="13" s="1"/>
  <c r="AD142" i="13"/>
  <c r="AD123" i="13" s="1"/>
  <c r="AC142" i="13"/>
  <c r="AB142" i="13"/>
  <c r="AA142" i="13"/>
  <c r="Z142" i="13"/>
  <c r="Y142" i="13"/>
  <c r="X142" i="13"/>
  <c r="X123" i="13" s="1"/>
  <c r="W142" i="13"/>
  <c r="V142" i="13"/>
  <c r="U142" i="13"/>
  <c r="T142" i="13"/>
  <c r="S142" i="13"/>
  <c r="S123" i="13" s="1"/>
  <c r="R142" i="13"/>
  <c r="Q142" i="13"/>
  <c r="P142" i="13"/>
  <c r="O142" i="13"/>
  <c r="N142" i="13"/>
  <c r="M142" i="13"/>
  <c r="L142" i="13"/>
  <c r="L123" i="13" s="1"/>
  <c r="K142" i="13"/>
  <c r="J142" i="13"/>
  <c r="I142" i="13"/>
  <c r="H142" i="13"/>
  <c r="AI141" i="13"/>
  <c r="AI119" i="13" s="1"/>
  <c r="AH141" i="13"/>
  <c r="AG141" i="13"/>
  <c r="AF141" i="13"/>
  <c r="AE141" i="13"/>
  <c r="AD141" i="13"/>
  <c r="AD119" i="13" s="1"/>
  <c r="AC141" i="13"/>
  <c r="AC119" i="13" s="1"/>
  <c r="AB141" i="13"/>
  <c r="AA141" i="13"/>
  <c r="Z141" i="13"/>
  <c r="Y141" i="13"/>
  <c r="X141" i="13"/>
  <c r="W141" i="13"/>
  <c r="W119" i="13" s="1"/>
  <c r="V141" i="13"/>
  <c r="U141" i="13"/>
  <c r="T141" i="13"/>
  <c r="S141" i="13"/>
  <c r="R141" i="13"/>
  <c r="R119" i="13" s="1"/>
  <c r="Q141" i="13"/>
  <c r="Q119" i="13" s="1"/>
  <c r="P141" i="13"/>
  <c r="O141" i="13"/>
  <c r="N141" i="13"/>
  <c r="M141" i="13"/>
  <c r="L141" i="13"/>
  <c r="K141" i="13"/>
  <c r="K119" i="13" s="1"/>
  <c r="J141" i="13"/>
  <c r="I141" i="13"/>
  <c r="H141" i="13"/>
  <c r="AI140" i="13"/>
  <c r="AH140" i="13"/>
  <c r="AG140" i="13"/>
  <c r="AF140" i="13"/>
  <c r="AE140" i="13"/>
  <c r="AD140" i="13"/>
  <c r="AC140" i="13"/>
  <c r="AB140" i="13"/>
  <c r="AA140" i="13"/>
  <c r="AA119" i="13" s="1"/>
  <c r="Z140" i="13"/>
  <c r="Y140" i="13"/>
  <c r="Y119" i="13" s="1"/>
  <c r="X140" i="13"/>
  <c r="W140" i="13"/>
  <c r="V140" i="13"/>
  <c r="U140" i="13"/>
  <c r="T140" i="13"/>
  <c r="S140" i="13"/>
  <c r="R140" i="13"/>
  <c r="Q140" i="13"/>
  <c r="P140" i="13"/>
  <c r="P119" i="13" s="1"/>
  <c r="O140" i="13"/>
  <c r="O119" i="13" s="1"/>
  <c r="N140" i="13"/>
  <c r="M140" i="13"/>
  <c r="M119" i="13" s="1"/>
  <c r="L140" i="13"/>
  <c r="K140" i="13"/>
  <c r="J140" i="13"/>
  <c r="I140" i="13"/>
  <c r="H140" i="13"/>
  <c r="AI139" i="13"/>
  <c r="AH139" i="13"/>
  <c r="AG139" i="13"/>
  <c r="AF139" i="13"/>
  <c r="AE139" i="13"/>
  <c r="AE122" i="13" s="1"/>
  <c r="AD139" i="13"/>
  <c r="AC139" i="13"/>
  <c r="AB139" i="13"/>
  <c r="AA139" i="13"/>
  <c r="Z139" i="13"/>
  <c r="Z122" i="13" s="1"/>
  <c r="Y139" i="13"/>
  <c r="Y122" i="13" s="1"/>
  <c r="X139" i="13"/>
  <c r="W139" i="13"/>
  <c r="V139" i="13"/>
  <c r="U139" i="13"/>
  <c r="T139" i="13"/>
  <c r="S139" i="13"/>
  <c r="S122" i="13" s="1"/>
  <c r="R139" i="13"/>
  <c r="Q139" i="13"/>
  <c r="P139" i="13"/>
  <c r="O139" i="13"/>
  <c r="N139" i="13"/>
  <c r="N122" i="13" s="1"/>
  <c r="M139" i="13"/>
  <c r="M122" i="13" s="1"/>
  <c r="L139" i="13"/>
  <c r="K139" i="13"/>
  <c r="J139" i="13"/>
  <c r="I139" i="13"/>
  <c r="H139" i="13"/>
  <c r="AI138" i="13"/>
  <c r="AI122" i="13" s="1"/>
  <c r="AH138" i="13"/>
  <c r="AG138" i="13"/>
  <c r="AG122" i="13" s="1"/>
  <c r="AF138" i="13"/>
  <c r="AE138" i="13"/>
  <c r="AD138" i="13"/>
  <c r="AC138" i="13"/>
  <c r="AB138" i="13"/>
  <c r="AB122" i="13" s="1"/>
  <c r="AA138" i="13"/>
  <c r="Z138" i="13"/>
  <c r="Y138" i="13"/>
  <c r="X138" i="13"/>
  <c r="W138" i="13"/>
  <c r="W122" i="13" s="1"/>
  <c r="V138" i="13"/>
  <c r="V122" i="13" s="1"/>
  <c r="U138" i="13"/>
  <c r="U122" i="13" s="1"/>
  <c r="T138" i="13"/>
  <c r="S138" i="13"/>
  <c r="R138" i="13"/>
  <c r="Q138" i="13"/>
  <c r="P138" i="13"/>
  <c r="O138" i="13"/>
  <c r="N138" i="13"/>
  <c r="M138" i="13"/>
  <c r="L138" i="13"/>
  <c r="K138" i="13"/>
  <c r="K122" i="13" s="1"/>
  <c r="J138" i="13"/>
  <c r="J122" i="13" s="1"/>
  <c r="I138" i="13"/>
  <c r="I122" i="13" s="1"/>
  <c r="H138" i="13"/>
  <c r="AI137" i="13"/>
  <c r="AH137" i="13"/>
  <c r="AH118" i="13" s="1"/>
  <c r="AH120" i="13" s="1"/>
  <c r="AG137" i="13"/>
  <c r="AG118" i="13" s="1"/>
  <c r="AF137" i="13"/>
  <c r="AE137" i="13"/>
  <c r="AD137" i="13"/>
  <c r="AC137" i="13"/>
  <c r="AB137" i="13"/>
  <c r="AA137" i="13"/>
  <c r="AA118" i="13" s="1"/>
  <c r="AA120" i="13" s="1"/>
  <c r="Z137" i="13"/>
  <c r="Y137" i="13"/>
  <c r="X137" i="13"/>
  <c r="W137" i="13"/>
  <c r="V137" i="13"/>
  <c r="V118" i="13" s="1"/>
  <c r="U137" i="13"/>
  <c r="U118" i="13" s="1"/>
  <c r="T137" i="13"/>
  <c r="S137" i="13"/>
  <c r="R137" i="13"/>
  <c r="Q137" i="13"/>
  <c r="P137" i="13"/>
  <c r="O137" i="13"/>
  <c r="O118" i="13" s="1"/>
  <c r="O120" i="13" s="1"/>
  <c r="N137" i="13"/>
  <c r="M137" i="13"/>
  <c r="L137" i="13"/>
  <c r="K137" i="13"/>
  <c r="J137" i="13"/>
  <c r="I137" i="13"/>
  <c r="I118" i="13" s="1"/>
  <c r="H137" i="13"/>
  <c r="AI136" i="13"/>
  <c r="AH136" i="13"/>
  <c r="AG136" i="13"/>
  <c r="AF136" i="13"/>
  <c r="AE136" i="13"/>
  <c r="AE158" i="13" s="1"/>
  <c r="AD136" i="13"/>
  <c r="AD158" i="13" s="1"/>
  <c r="AC136" i="13"/>
  <c r="AC118" i="13" s="1"/>
  <c r="AB136" i="13"/>
  <c r="AA136" i="13"/>
  <c r="Z136" i="13"/>
  <c r="Y136" i="13"/>
  <c r="X136" i="13"/>
  <c r="W136" i="13"/>
  <c r="V136" i="13"/>
  <c r="U136" i="13"/>
  <c r="T136" i="13"/>
  <c r="S136" i="13"/>
  <c r="R136" i="13"/>
  <c r="R158" i="13" s="1"/>
  <c r="Q136" i="13"/>
  <c r="Q118" i="13" s="1"/>
  <c r="P136" i="13"/>
  <c r="O136" i="13"/>
  <c r="N136" i="13"/>
  <c r="M136" i="13"/>
  <c r="L136" i="13"/>
  <c r="K136" i="13"/>
  <c r="J136" i="13"/>
  <c r="I136" i="13"/>
  <c r="H136" i="13"/>
  <c r="AI129" i="13"/>
  <c r="AH129" i="13"/>
  <c r="AE129" i="13"/>
  <c r="AC129" i="13"/>
  <c r="AB129" i="13"/>
  <c r="AA129" i="13"/>
  <c r="X129" i="13"/>
  <c r="W129" i="13"/>
  <c r="V129" i="13"/>
  <c r="U129" i="13"/>
  <c r="S129" i="13"/>
  <c r="Q129" i="13"/>
  <c r="O129" i="13"/>
  <c r="N129" i="13"/>
  <c r="L129" i="13"/>
  <c r="K129" i="13"/>
  <c r="AI128" i="13"/>
  <c r="AH128" i="13"/>
  <c r="AG128" i="13"/>
  <c r="AF128" i="13"/>
  <c r="W128" i="13"/>
  <c r="V128" i="13"/>
  <c r="U128" i="13"/>
  <c r="T128" i="13"/>
  <c r="K128" i="13"/>
  <c r="J128" i="13"/>
  <c r="I128" i="13"/>
  <c r="AI127" i="13"/>
  <c r="AD127" i="13"/>
  <c r="Z127" i="13"/>
  <c r="Y127" i="13"/>
  <c r="X127" i="13"/>
  <c r="W127" i="13"/>
  <c r="U127" i="13"/>
  <c r="T127" i="13"/>
  <c r="R127" i="13"/>
  <c r="K127" i="13"/>
  <c r="J127" i="13"/>
  <c r="I127" i="13"/>
  <c r="H127" i="13"/>
  <c r="AI126" i="13"/>
  <c r="AH126" i="13"/>
  <c r="AG126" i="13"/>
  <c r="AF126" i="13"/>
  <c r="AE126" i="13"/>
  <c r="AD126" i="13"/>
  <c r="AC126" i="13"/>
  <c r="AB126" i="13"/>
  <c r="AA126" i="13"/>
  <c r="Z126" i="13"/>
  <c r="Y126" i="13"/>
  <c r="X126" i="13"/>
  <c r="W126" i="13"/>
  <c r="V126" i="13"/>
  <c r="U126" i="13"/>
  <c r="T126" i="13"/>
  <c r="S126" i="13"/>
  <c r="R126" i="13"/>
  <c r="Q126" i="13"/>
  <c r="P126" i="13"/>
  <c r="O126" i="13"/>
  <c r="N126" i="13"/>
  <c r="M126" i="13"/>
  <c r="L126" i="13"/>
  <c r="K126" i="13"/>
  <c r="J126" i="13"/>
  <c r="I126" i="13"/>
  <c r="H126" i="13"/>
  <c r="AT125" i="13"/>
  <c r="AP125" i="13"/>
  <c r="AN125" i="13"/>
  <c r="AI125" i="13"/>
  <c r="AH125" i="13"/>
  <c r="AG125" i="13"/>
  <c r="AF125" i="13"/>
  <c r="AE125" i="13"/>
  <c r="AD125" i="13"/>
  <c r="AC125" i="13"/>
  <c r="AB125" i="13"/>
  <c r="AA125" i="13"/>
  <c r="Z125" i="13"/>
  <c r="Y125" i="13"/>
  <c r="X125" i="13"/>
  <c r="W125" i="13"/>
  <c r="V125" i="13"/>
  <c r="U125" i="13"/>
  <c r="T125" i="13"/>
  <c r="S125" i="13"/>
  <c r="R125" i="13"/>
  <c r="Q125" i="13"/>
  <c r="P125" i="13"/>
  <c r="O125" i="13"/>
  <c r="N125" i="13"/>
  <c r="M125" i="13"/>
  <c r="L125" i="13"/>
  <c r="K125" i="13"/>
  <c r="J125" i="13"/>
  <c r="I125" i="13"/>
  <c r="H125" i="13"/>
  <c r="AH124" i="13"/>
  <c r="AD124" i="13"/>
  <c r="AA124" i="13"/>
  <c r="V124" i="13"/>
  <c r="T124" i="13"/>
  <c r="K10" i="26" s="1"/>
  <c r="R124" i="13"/>
  <c r="O124" i="13"/>
  <c r="J124" i="13"/>
  <c r="AI123" i="13"/>
  <c r="AH123" i="13"/>
  <c r="AC123" i="13"/>
  <c r="AB123" i="13"/>
  <c r="Z123" i="13"/>
  <c r="W123" i="13"/>
  <c r="R123" i="13"/>
  <c r="Q123" i="13"/>
  <c r="N123" i="13"/>
  <c r="K123" i="13"/>
  <c r="AH122" i="13"/>
  <c r="AD122" i="13"/>
  <c r="AA122" i="13"/>
  <c r="R122" i="13"/>
  <c r="P122" i="13"/>
  <c r="O122" i="13"/>
  <c r="H122" i="13"/>
  <c r="AH119" i="13"/>
  <c r="AG119" i="13"/>
  <c r="AE119" i="13"/>
  <c r="Z119" i="13"/>
  <c r="V119" i="13"/>
  <c r="S119" i="13"/>
  <c r="N119" i="13"/>
  <c r="J119" i="13"/>
  <c r="I119" i="13"/>
  <c r="AI118" i="13"/>
  <c r="AD118" i="13"/>
  <c r="Z118" i="13"/>
  <c r="W118" i="13"/>
  <c r="N118" i="13"/>
  <c r="N120" i="13" s="1"/>
  <c r="K118" i="13"/>
  <c r="J118" i="13"/>
  <c r="AU112" i="13"/>
  <c r="AT112" i="13"/>
  <c r="AS112" i="13"/>
  <c r="AR112" i="13"/>
  <c r="AQ112" i="13"/>
  <c r="AP112" i="13"/>
  <c r="AO112" i="13"/>
  <c r="AN112" i="13"/>
  <c r="AM112" i="13"/>
  <c r="AL112" i="13"/>
  <c r="AK112" i="13"/>
  <c r="AI111" i="13"/>
  <c r="AH111" i="13"/>
  <c r="AG111" i="13"/>
  <c r="AF111" i="13"/>
  <c r="AE111" i="13"/>
  <c r="AD111" i="13"/>
  <c r="AC111" i="13"/>
  <c r="AB111" i="13"/>
  <c r="AA111" i="13"/>
  <c r="Z111" i="13"/>
  <c r="Y111" i="13"/>
  <c r="X111" i="13"/>
  <c r="W111" i="13"/>
  <c r="V111" i="13"/>
  <c r="U111" i="13"/>
  <c r="T111" i="13"/>
  <c r="S111" i="13"/>
  <c r="R111" i="13"/>
  <c r="Q111" i="13"/>
  <c r="P111" i="13"/>
  <c r="O111" i="13"/>
  <c r="N111" i="13"/>
  <c r="M111" i="13"/>
  <c r="L111" i="13"/>
  <c r="K111" i="13"/>
  <c r="J111" i="13"/>
  <c r="I111" i="13"/>
  <c r="H111" i="13"/>
  <c r="AI110" i="13"/>
  <c r="AH110" i="13"/>
  <c r="AH114" i="13" s="1"/>
  <c r="AG110" i="13"/>
  <c r="AF110" i="13"/>
  <c r="AF114" i="13" s="1"/>
  <c r="AE110" i="13"/>
  <c r="AD110" i="13"/>
  <c r="AC110" i="13"/>
  <c r="AB110" i="13"/>
  <c r="AA110" i="13"/>
  <c r="AA114" i="13" s="1"/>
  <c r="Z110" i="13"/>
  <c r="Y110" i="13"/>
  <c r="Y113" i="13" s="1"/>
  <c r="X110" i="13"/>
  <c r="X114" i="13" s="1"/>
  <c r="W110" i="13"/>
  <c r="V110" i="13"/>
  <c r="V114" i="13" s="1"/>
  <c r="U110" i="13"/>
  <c r="T110" i="13"/>
  <c r="T114" i="13" s="1"/>
  <c r="S110" i="13"/>
  <c r="R110" i="13"/>
  <c r="Q110" i="13"/>
  <c r="P110" i="13"/>
  <c r="O110" i="13"/>
  <c r="O113" i="13" s="1"/>
  <c r="O112" i="13" s="1"/>
  <c r="N110" i="13"/>
  <c r="N113" i="13" s="1"/>
  <c r="N112" i="13" s="1"/>
  <c r="M110" i="13"/>
  <c r="M113" i="13" s="1"/>
  <c r="L110" i="13"/>
  <c r="K110" i="13"/>
  <c r="J110" i="13"/>
  <c r="I110" i="13"/>
  <c r="H110" i="13"/>
  <c r="AI107" i="13"/>
  <c r="AH107" i="13"/>
  <c r="AG107" i="13"/>
  <c r="AK107" i="13" s="1"/>
  <c r="AF107" i="13"/>
  <c r="AE107" i="13"/>
  <c r="AE108" i="13" s="1"/>
  <c r="AD107" i="13"/>
  <c r="AC107" i="13"/>
  <c r="AC108" i="13" s="1"/>
  <c r="AB107" i="13"/>
  <c r="AA107" i="13"/>
  <c r="Z107" i="13"/>
  <c r="Y107" i="13"/>
  <c r="X107" i="13"/>
  <c r="W107" i="13"/>
  <c r="V107" i="13"/>
  <c r="U107" i="13"/>
  <c r="U108" i="13" s="1"/>
  <c r="T107" i="13"/>
  <c r="S107" i="13"/>
  <c r="S108" i="13" s="1"/>
  <c r="R107" i="13"/>
  <c r="Q107" i="13"/>
  <c r="Q108" i="13" s="1"/>
  <c r="P107" i="13"/>
  <c r="O107" i="13"/>
  <c r="N107" i="13"/>
  <c r="M107" i="13"/>
  <c r="L107" i="13"/>
  <c r="K107" i="13"/>
  <c r="J107" i="13"/>
  <c r="I107" i="13"/>
  <c r="I104" i="13" s="1"/>
  <c r="H107" i="13"/>
  <c r="AU106" i="13"/>
  <c r="AT106" i="13"/>
  <c r="AS106" i="13"/>
  <c r="AR106" i="13"/>
  <c r="AQ106" i="13"/>
  <c r="AP106" i="13"/>
  <c r="AO106" i="13"/>
  <c r="AN106" i="13"/>
  <c r="AM106" i="13"/>
  <c r="AL106" i="13"/>
  <c r="AK106" i="13"/>
  <c r="AD106" i="13"/>
  <c r="H106" i="13"/>
  <c r="AI105" i="13"/>
  <c r="AH105" i="13"/>
  <c r="AH104" i="13" s="1"/>
  <c r="AG105" i="13"/>
  <c r="AF105" i="13"/>
  <c r="AF106" i="13" s="1"/>
  <c r="AE105" i="13"/>
  <c r="AE104" i="13" s="1"/>
  <c r="AD105" i="13"/>
  <c r="AD104" i="13" s="1"/>
  <c r="AC105" i="13"/>
  <c r="AB105" i="13"/>
  <c r="AA105" i="13"/>
  <c r="Z105" i="13"/>
  <c r="Y105" i="13"/>
  <c r="X105" i="13"/>
  <c r="W105" i="13"/>
  <c r="V105" i="13"/>
  <c r="V104" i="13" s="1"/>
  <c r="U105" i="13"/>
  <c r="T105" i="13"/>
  <c r="T106" i="13" s="1"/>
  <c r="S105" i="13"/>
  <c r="S104" i="13" s="1"/>
  <c r="R105" i="13"/>
  <c r="R104" i="13" s="1"/>
  <c r="Q105" i="13"/>
  <c r="P105" i="13"/>
  <c r="O105" i="13"/>
  <c r="N105" i="13"/>
  <c r="M105" i="13"/>
  <c r="L105" i="13"/>
  <c r="K105" i="13"/>
  <c r="J105" i="13"/>
  <c r="J104" i="13" s="1"/>
  <c r="I105" i="13"/>
  <c r="H105" i="13"/>
  <c r="H104" i="13" s="1"/>
  <c r="AG104" i="13"/>
  <c r="AF104" i="13"/>
  <c r="AA104" i="13"/>
  <c r="T104" i="13"/>
  <c r="O104" i="13"/>
  <c r="AE102" i="13"/>
  <c r="AI101" i="13"/>
  <c r="AH101" i="13"/>
  <c r="AG101" i="13"/>
  <c r="AF101" i="13"/>
  <c r="AE101" i="13"/>
  <c r="AD101" i="13"/>
  <c r="AC101" i="13"/>
  <c r="AC102" i="13" s="1"/>
  <c r="AB101" i="13"/>
  <c r="AA101" i="13"/>
  <c r="Z101" i="13"/>
  <c r="Y101" i="13"/>
  <c r="X101" i="13"/>
  <c r="W101" i="13"/>
  <c r="V101" i="13"/>
  <c r="U101" i="13"/>
  <c r="T101" i="13"/>
  <c r="S101" i="13"/>
  <c r="R101" i="13"/>
  <c r="Q101" i="13"/>
  <c r="P101" i="13"/>
  <c r="O101" i="13"/>
  <c r="N101" i="13"/>
  <c r="M101" i="13"/>
  <c r="L101" i="13"/>
  <c r="K101" i="13"/>
  <c r="J101" i="13"/>
  <c r="I101" i="13"/>
  <c r="H101" i="13"/>
  <c r="AU94" i="13"/>
  <c r="AR94" i="13"/>
  <c r="AN94" i="13"/>
  <c r="AJ94" i="13"/>
  <c r="AI93" i="13"/>
  <c r="AI99" i="13" s="1"/>
  <c r="AH93" i="13"/>
  <c r="AG93" i="13"/>
  <c r="AF93" i="13"/>
  <c r="AF99" i="13" s="1"/>
  <c r="AE93" i="13"/>
  <c r="AD93" i="13"/>
  <c r="AC93" i="13"/>
  <c r="AB93" i="13"/>
  <c r="AB99" i="13" s="1"/>
  <c r="AA93" i="13"/>
  <c r="Z93" i="13"/>
  <c r="Y93" i="13"/>
  <c r="Y99" i="13" s="1"/>
  <c r="X93" i="13"/>
  <c r="W93" i="13"/>
  <c r="W99" i="13" s="1"/>
  <c r="V93" i="13"/>
  <c r="U93" i="13"/>
  <c r="T93" i="13"/>
  <c r="S93" i="13"/>
  <c r="R93" i="13"/>
  <c r="Q93" i="13"/>
  <c r="P93" i="13"/>
  <c r="P99" i="13" s="1"/>
  <c r="O93" i="13"/>
  <c r="N93" i="13"/>
  <c r="M93" i="13"/>
  <c r="M99" i="13" s="1"/>
  <c r="L93" i="13"/>
  <c r="K93" i="13"/>
  <c r="J93" i="13"/>
  <c r="J99" i="13" s="1"/>
  <c r="I93" i="13"/>
  <c r="H93" i="13"/>
  <c r="AI90" i="13"/>
  <c r="AH90" i="13"/>
  <c r="AG90" i="13"/>
  <c r="AF90" i="13"/>
  <c r="AE90" i="13"/>
  <c r="AE87" i="13" s="1"/>
  <c r="AD90" i="13"/>
  <c r="AC90" i="13"/>
  <c r="AB90" i="13"/>
  <c r="AB89" i="13" s="1"/>
  <c r="AA90" i="13"/>
  <c r="Z90" i="13"/>
  <c r="Y90" i="13"/>
  <c r="X90" i="13"/>
  <c r="W90" i="13"/>
  <c r="V90" i="13"/>
  <c r="U90" i="13"/>
  <c r="T90" i="13"/>
  <c r="S90" i="13"/>
  <c r="R90" i="13"/>
  <c r="Q90" i="13"/>
  <c r="P90" i="13"/>
  <c r="O90" i="13"/>
  <c r="N90" i="13"/>
  <c r="M90" i="13"/>
  <c r="L90" i="13"/>
  <c r="K90" i="13"/>
  <c r="J90" i="13"/>
  <c r="I90" i="13"/>
  <c r="H90" i="13"/>
  <c r="AU89" i="13"/>
  <c r="AT89" i="13"/>
  <c r="AS89" i="13"/>
  <c r="AR89" i="13"/>
  <c r="AQ89" i="13"/>
  <c r="AP89" i="13"/>
  <c r="AO89" i="13"/>
  <c r="AN89" i="13"/>
  <c r="AM89" i="13"/>
  <c r="AL89" i="13"/>
  <c r="AK89" i="13"/>
  <c r="AI88" i="13"/>
  <c r="AH88" i="13"/>
  <c r="AG88" i="13"/>
  <c r="AF88" i="13"/>
  <c r="AE88" i="13"/>
  <c r="AD88" i="13"/>
  <c r="AD89" i="13" s="1"/>
  <c r="AC88" i="13"/>
  <c r="AC89" i="13" s="1"/>
  <c r="AB88" i="13"/>
  <c r="AA88" i="13"/>
  <c r="AA89" i="13" s="1"/>
  <c r="Z88" i="13"/>
  <c r="Z89" i="13" s="1"/>
  <c r="Y88" i="13"/>
  <c r="Y89" i="13" s="1"/>
  <c r="X88" i="13"/>
  <c r="W88" i="13"/>
  <c r="V88" i="13"/>
  <c r="U88" i="13"/>
  <c r="U89" i="13" s="1"/>
  <c r="T88" i="13"/>
  <c r="S88" i="13"/>
  <c r="R88" i="13"/>
  <c r="R89" i="13" s="1"/>
  <c r="Q88" i="13"/>
  <c r="Q89" i="13" s="1"/>
  <c r="P88" i="13"/>
  <c r="O88" i="13"/>
  <c r="O89" i="13" s="1"/>
  <c r="N88" i="13"/>
  <c r="N89" i="13" s="1"/>
  <c r="M88" i="13"/>
  <c r="M89" i="13" s="1"/>
  <c r="L88" i="13"/>
  <c r="K88" i="13"/>
  <c r="J88" i="13"/>
  <c r="I88" i="13"/>
  <c r="I89" i="13" s="1"/>
  <c r="H88" i="13"/>
  <c r="AU87" i="13"/>
  <c r="AT87" i="13"/>
  <c r="AS87" i="13"/>
  <c r="AR87" i="13"/>
  <c r="AQ87" i="13"/>
  <c r="AP87" i="13"/>
  <c r="AO87" i="13"/>
  <c r="AN87" i="13"/>
  <c r="AM87" i="13"/>
  <c r="AL87" i="13"/>
  <c r="AK87" i="13"/>
  <c r="AI86" i="13"/>
  <c r="AI87" i="13" s="1"/>
  <c r="AH86" i="13"/>
  <c r="AG86" i="13"/>
  <c r="AG87" i="13" s="1"/>
  <c r="AF86" i="13"/>
  <c r="AG73" i="13" s="1"/>
  <c r="AE86" i="13"/>
  <c r="AD86" i="13"/>
  <c r="AD87" i="13" s="1"/>
  <c r="AC86" i="13"/>
  <c r="AC87" i="13" s="1"/>
  <c r="AB86" i="13"/>
  <c r="AA86" i="13"/>
  <c r="AA87" i="13" s="1"/>
  <c r="Z86" i="13"/>
  <c r="Z87" i="13" s="1"/>
  <c r="Y86" i="13"/>
  <c r="X86" i="13"/>
  <c r="X87" i="13" s="1"/>
  <c r="W86" i="13"/>
  <c r="W87" i="13" s="1"/>
  <c r="V86" i="13"/>
  <c r="V87" i="13" s="1"/>
  <c r="U86" i="13"/>
  <c r="U87" i="13" s="1"/>
  <c r="T86" i="13"/>
  <c r="S86" i="13"/>
  <c r="R86" i="13"/>
  <c r="R87" i="13" s="1"/>
  <c r="Q86" i="13"/>
  <c r="Q87" i="13" s="1"/>
  <c r="P86" i="13"/>
  <c r="O86" i="13"/>
  <c r="O87" i="13" s="1"/>
  <c r="N86" i="13"/>
  <c r="N87" i="13" s="1"/>
  <c r="M86" i="13"/>
  <c r="L86" i="13"/>
  <c r="L87" i="13" s="1"/>
  <c r="K86" i="13"/>
  <c r="K87" i="13" s="1"/>
  <c r="J86" i="13"/>
  <c r="J87" i="13" s="1"/>
  <c r="I86" i="13"/>
  <c r="I87" i="13" s="1"/>
  <c r="H86" i="13"/>
  <c r="AI85" i="13"/>
  <c r="AH85" i="13"/>
  <c r="AG85" i="13"/>
  <c r="AF85" i="13"/>
  <c r="AE85" i="13"/>
  <c r="AD85" i="13"/>
  <c r="AC85" i="13"/>
  <c r="AB85" i="13"/>
  <c r="AA85" i="13"/>
  <c r="Z85" i="13"/>
  <c r="Y85" i="13"/>
  <c r="X85" i="13"/>
  <c r="W85" i="13"/>
  <c r="V85" i="13"/>
  <c r="U85" i="13"/>
  <c r="T85" i="13"/>
  <c r="S85" i="13"/>
  <c r="R85" i="13"/>
  <c r="Q85" i="13"/>
  <c r="P85" i="13"/>
  <c r="O85" i="13"/>
  <c r="N85" i="13"/>
  <c r="M85" i="13"/>
  <c r="L85" i="13"/>
  <c r="K85" i="13"/>
  <c r="J85" i="13"/>
  <c r="I85" i="13"/>
  <c r="H85" i="13"/>
  <c r="AU83" i="13"/>
  <c r="AT83" i="13"/>
  <c r="AS83" i="13"/>
  <c r="AR83" i="13"/>
  <c r="AQ83" i="13"/>
  <c r="AP83" i="13"/>
  <c r="AO83" i="13"/>
  <c r="AN83" i="13"/>
  <c r="AM83" i="13"/>
  <c r="AL83" i="13"/>
  <c r="AK83" i="13"/>
  <c r="AU81" i="13"/>
  <c r="AT81" i="13"/>
  <c r="AS81" i="13"/>
  <c r="AR81" i="13"/>
  <c r="AQ81" i="13"/>
  <c r="AP81" i="13"/>
  <c r="AO81" i="13"/>
  <c r="AN81" i="13"/>
  <c r="AM81" i="13"/>
  <c r="AL81" i="13"/>
  <c r="AK81" i="13"/>
  <c r="AI80" i="13"/>
  <c r="AH80" i="13"/>
  <c r="AG80" i="13"/>
  <c r="AF80" i="13"/>
  <c r="AE80" i="13"/>
  <c r="AD80" i="13"/>
  <c r="AC80" i="13"/>
  <c r="AB80" i="13"/>
  <c r="AA80" i="13"/>
  <c r="Z80" i="13"/>
  <c r="Y80" i="13"/>
  <c r="X80" i="13"/>
  <c r="W80" i="13"/>
  <c r="V80" i="13"/>
  <c r="U80" i="13"/>
  <c r="T80" i="13"/>
  <c r="S80" i="13"/>
  <c r="R80" i="13"/>
  <c r="Q80" i="13"/>
  <c r="P80" i="13"/>
  <c r="O80" i="13"/>
  <c r="N80" i="13"/>
  <c r="M80" i="13"/>
  <c r="L80" i="13"/>
  <c r="K80" i="13"/>
  <c r="J80" i="13"/>
  <c r="I80" i="13"/>
  <c r="H80" i="13"/>
  <c r="AI79" i="13"/>
  <c r="AI82" i="13" s="1"/>
  <c r="AH79" i="13"/>
  <c r="AG79" i="13"/>
  <c r="AF79" i="13"/>
  <c r="AE79" i="13"/>
  <c r="AE82" i="13" s="1"/>
  <c r="AE81" i="13" s="1"/>
  <c r="AD79" i="13"/>
  <c r="AC79" i="13"/>
  <c r="AC82" i="13" s="1"/>
  <c r="AB79" i="13"/>
  <c r="AA79" i="13"/>
  <c r="Z79" i="13"/>
  <c r="Y79" i="13"/>
  <c r="X79" i="13"/>
  <c r="W79" i="13"/>
  <c r="V79" i="13"/>
  <c r="U79" i="13"/>
  <c r="T79" i="13"/>
  <c r="S79" i="13"/>
  <c r="S82" i="13" s="1"/>
  <c r="R79" i="13"/>
  <c r="R82" i="13" s="1"/>
  <c r="Q79" i="13"/>
  <c r="Q82" i="13" s="1"/>
  <c r="P79" i="13"/>
  <c r="O79" i="13"/>
  <c r="N79" i="13"/>
  <c r="M79" i="13"/>
  <c r="L79" i="13"/>
  <c r="L82" i="13" s="1"/>
  <c r="K79" i="13"/>
  <c r="J79" i="13"/>
  <c r="I79" i="13"/>
  <c r="H79" i="13"/>
  <c r="H82" i="13" s="1"/>
  <c r="H81" i="13" s="1"/>
  <c r="AU78" i="13"/>
  <c r="AT78" i="13"/>
  <c r="AS78" i="13"/>
  <c r="AR78" i="13"/>
  <c r="AQ78" i="13"/>
  <c r="AP78" i="13"/>
  <c r="AO78" i="13"/>
  <c r="AN78" i="13"/>
  <c r="AM78" i="13"/>
  <c r="AL78" i="13"/>
  <c r="AK78" i="13"/>
  <c r="AI78" i="13"/>
  <c r="AH78" i="13"/>
  <c r="AG78" i="13"/>
  <c r="AF78" i="13"/>
  <c r="AE78" i="13"/>
  <c r="AD78" i="13"/>
  <c r="AC78" i="13"/>
  <c r="AB78" i="13"/>
  <c r="AA78" i="13"/>
  <c r="Z78" i="13"/>
  <c r="Y78" i="13"/>
  <c r="X78" i="13"/>
  <c r="W78" i="13"/>
  <c r="V78" i="13"/>
  <c r="U78" i="13"/>
  <c r="T78" i="13"/>
  <c r="S78" i="13"/>
  <c r="R78" i="13"/>
  <c r="Q78" i="13"/>
  <c r="P78" i="13"/>
  <c r="O78" i="13"/>
  <c r="N78" i="13"/>
  <c r="M78" i="13"/>
  <c r="L78" i="13"/>
  <c r="K78" i="13"/>
  <c r="J78" i="13"/>
  <c r="I78" i="13"/>
  <c r="H78" i="13"/>
  <c r="I41" i="9" l="1"/>
  <c r="AJ125" i="13"/>
  <c r="AL94" i="13"/>
  <c r="AL125" i="13"/>
  <c r="N49" i="9"/>
  <c r="AO164" i="13"/>
  <c r="N19" i="9"/>
  <c r="K164" i="13"/>
  <c r="N27" i="9"/>
  <c r="S164" i="13"/>
  <c r="N41" i="9"/>
  <c r="AG99" i="13"/>
  <c r="AG164" i="13"/>
  <c r="N12" i="9"/>
  <c r="AK94" i="13"/>
  <c r="AS125" i="13"/>
  <c r="N39" i="9"/>
  <c r="AE164" i="13"/>
  <c r="AA99" i="13"/>
  <c r="N50" i="9"/>
  <c r="AP164" i="13"/>
  <c r="N53" i="9"/>
  <c r="N17" i="9"/>
  <c r="I164" i="13"/>
  <c r="N54" i="9"/>
  <c r="AT164" i="13"/>
  <c r="N58" i="9"/>
  <c r="N35" i="9"/>
  <c r="AA164" i="13"/>
  <c r="N21" i="9"/>
  <c r="M164" i="13"/>
  <c r="AS94" i="13"/>
  <c r="N36" i="9"/>
  <c r="N47" i="9"/>
  <c r="AM164" i="13"/>
  <c r="N51" i="9"/>
  <c r="AQ164" i="13"/>
  <c r="N37" i="9"/>
  <c r="AC164" i="13"/>
  <c r="N59" i="9"/>
  <c r="N26" i="9"/>
  <c r="R164" i="13"/>
  <c r="N33" i="9"/>
  <c r="G103" i="9"/>
  <c r="AN164" i="13"/>
  <c r="G104" i="9"/>
  <c r="AR164" i="13"/>
  <c r="N18" i="9"/>
  <c r="N56" i="9"/>
  <c r="N60" i="9"/>
  <c r="AS91" i="13"/>
  <c r="AT92" i="13"/>
  <c r="S87" i="13"/>
  <c r="Q91" i="13"/>
  <c r="AC91" i="13"/>
  <c r="AD102" i="13"/>
  <c r="V108" i="13"/>
  <c r="AH108" i="13"/>
  <c r="AD114" i="13"/>
  <c r="AD91" i="13"/>
  <c r="J120" i="13"/>
  <c r="H12" i="26"/>
  <c r="H118" i="13"/>
  <c r="T118" i="13"/>
  <c r="AF118" i="13"/>
  <c r="L122" i="13"/>
  <c r="I8" i="26" s="1"/>
  <c r="X122" i="13"/>
  <c r="L8" i="26" s="1"/>
  <c r="AB119" i="13"/>
  <c r="H123" i="13"/>
  <c r="T123" i="13"/>
  <c r="AF123" i="13"/>
  <c r="L124" i="13"/>
  <c r="I10" i="26" s="1"/>
  <c r="H129" i="13"/>
  <c r="H14" i="26" s="1"/>
  <c r="T129" i="13"/>
  <c r="K14" i="26" s="1"/>
  <c r="AF129" i="13"/>
  <c r="U102" i="13"/>
  <c r="AG102" i="13"/>
  <c r="N158" i="13"/>
  <c r="Z158" i="13"/>
  <c r="Y82" i="13"/>
  <c r="AC96" i="13"/>
  <c r="AC95" i="13" s="1"/>
  <c r="Z102" i="13"/>
  <c r="I106" i="13"/>
  <c r="U106" i="13"/>
  <c r="N108" i="13"/>
  <c r="Z108" i="13"/>
  <c r="J113" i="13"/>
  <c r="J112" i="13" s="1"/>
  <c r="R118" i="13"/>
  <c r="W10" i="29"/>
  <c r="M82" i="13"/>
  <c r="M81" i="13" s="1"/>
  <c r="P89" i="13"/>
  <c r="AA102" i="13"/>
  <c r="AI102" i="13"/>
  <c r="AB118" i="13"/>
  <c r="T122" i="13"/>
  <c r="AF122" i="13"/>
  <c r="N8" i="26" s="1"/>
  <c r="L119" i="13"/>
  <c r="X119" i="13"/>
  <c r="P123" i="13"/>
  <c r="H124" i="13"/>
  <c r="AF124" i="13"/>
  <c r="P127" i="13"/>
  <c r="AB127" i="13"/>
  <c r="P129" i="13"/>
  <c r="M87" i="13"/>
  <c r="K89" i="13"/>
  <c r="W91" i="13"/>
  <c r="AI91" i="13"/>
  <c r="Q96" i="13"/>
  <c r="Q95" i="13" s="1"/>
  <c r="K104" i="13"/>
  <c r="W104" i="13"/>
  <c r="AI104" i="13"/>
  <c r="P104" i="13"/>
  <c r="AB104" i="13"/>
  <c r="L114" i="13"/>
  <c r="Q120" i="13"/>
  <c r="M118" i="13"/>
  <c r="M120" i="13" s="1"/>
  <c r="Y118" i="13"/>
  <c r="Y120" i="13" s="1"/>
  <c r="AE89" i="13"/>
  <c r="Z120" i="13"/>
  <c r="K12" i="26"/>
  <c r="E5" i="19"/>
  <c r="B5" i="19"/>
  <c r="H5" i="19"/>
  <c r="AG82" i="13"/>
  <c r="AG83" i="13" s="1"/>
  <c r="T102" i="13"/>
  <c r="AF102" i="13"/>
  <c r="Q104" i="13"/>
  <c r="Q113" i="13"/>
  <c r="Q112" i="13" s="1"/>
  <c r="AC113" i="13"/>
  <c r="AC112" i="13" s="1"/>
  <c r="J158" i="13"/>
  <c r="V158" i="13"/>
  <c r="AH158" i="13"/>
  <c r="AK105" i="13"/>
  <c r="AK104" i="13" s="1"/>
  <c r="AK128" i="13" s="1"/>
  <c r="L81" i="13"/>
  <c r="L83" i="13"/>
  <c r="R81" i="13"/>
  <c r="S81" i="13"/>
  <c r="AI83" i="13"/>
  <c r="O91" i="13"/>
  <c r="AA91" i="13"/>
  <c r="AH102" i="13"/>
  <c r="Z114" i="13"/>
  <c r="T82" i="13"/>
  <c r="T81" i="13" s="1"/>
  <c r="M5" i="26"/>
  <c r="H9" i="26"/>
  <c r="K9" i="26"/>
  <c r="AH99" i="13"/>
  <c r="Y83" i="13"/>
  <c r="U81" i="13"/>
  <c r="U82" i="13"/>
  <c r="U83" i="13" s="1"/>
  <c r="I11" i="26"/>
  <c r="L11" i="26"/>
  <c r="O96" i="13"/>
  <c r="O95" i="13" s="1"/>
  <c r="AA96" i="13"/>
  <c r="AA95" i="13" s="1"/>
  <c r="Y102" i="13"/>
  <c r="AK102" i="13"/>
  <c r="U104" i="13"/>
  <c r="W108" i="13"/>
  <c r="AI108" i="13"/>
  <c r="N82" i="13"/>
  <c r="R83" i="13" s="1"/>
  <c r="O82" i="13"/>
  <c r="O81" i="13" s="1"/>
  <c r="AA82" i="13"/>
  <c r="AI81" i="13"/>
  <c r="AF82" i="13"/>
  <c r="AF83" i="13" s="1"/>
  <c r="H11" i="19"/>
  <c r="AH87" i="13"/>
  <c r="S91" i="13"/>
  <c r="AE91" i="13"/>
  <c r="Z104" i="13"/>
  <c r="R106" i="13"/>
  <c r="AL107" i="13"/>
  <c r="AL108" i="13" s="1"/>
  <c r="R114" i="13"/>
  <c r="V120" i="13"/>
  <c r="X82" i="13"/>
  <c r="E30" i="17"/>
  <c r="S106" i="13"/>
  <c r="M108" i="13"/>
  <c r="Y108" i="13"/>
  <c r="AM107" i="13"/>
  <c r="AM108" i="13" s="1"/>
  <c r="S114" i="13"/>
  <c r="AE114" i="13"/>
  <c r="P158" i="13"/>
  <c r="H10" i="26"/>
  <c r="L127" i="13"/>
  <c r="I12" i="26" s="1"/>
  <c r="H128" i="13"/>
  <c r="H13" i="26" s="1"/>
  <c r="P128" i="13"/>
  <c r="AB128" i="13"/>
  <c r="J14" i="26"/>
  <c r="T10" i="29"/>
  <c r="AE10" i="29" s="1"/>
  <c r="Z82" i="13"/>
  <c r="U91" i="13"/>
  <c r="AG91" i="13"/>
  <c r="O114" i="13"/>
  <c r="Z130" i="13"/>
  <c r="AC120" i="13"/>
  <c r="Q122" i="13"/>
  <c r="J8" i="26" s="1"/>
  <c r="AC122" i="13"/>
  <c r="M8" i="26" s="1"/>
  <c r="U119" i="13"/>
  <c r="M123" i="13"/>
  <c r="Y123" i="13"/>
  <c r="Q124" i="13"/>
  <c r="AC124" i="13"/>
  <c r="Q128" i="13"/>
  <c r="AC128" i="13"/>
  <c r="M128" i="13"/>
  <c r="Y128" i="13"/>
  <c r="M129" i="13"/>
  <c r="I14" i="26" s="1"/>
  <c r="Y129" i="13"/>
  <c r="L14" i="26" s="1"/>
  <c r="U10" i="29"/>
  <c r="V99" i="13"/>
  <c r="AG89" i="13"/>
  <c r="V89" i="13"/>
  <c r="Q99" i="13"/>
  <c r="O108" i="13"/>
  <c r="AA108" i="13"/>
  <c r="I113" i="13"/>
  <c r="I112" i="13" s="1"/>
  <c r="U113" i="13"/>
  <c r="U112" i="13" s="1"/>
  <c r="U114" i="13"/>
  <c r="V10" i="29"/>
  <c r="K130" i="13"/>
  <c r="W130" i="13"/>
  <c r="AI130" i="13"/>
  <c r="W120" i="13"/>
  <c r="S124" i="13"/>
  <c r="AE124" i="13"/>
  <c r="AE130" i="13" s="1"/>
  <c r="AA127" i="13"/>
  <c r="AA130" i="13" s="1"/>
  <c r="AA132" i="13" s="1"/>
  <c r="S128" i="13"/>
  <c r="AE128" i="13"/>
  <c r="O128" i="13"/>
  <c r="O130" i="13" s="1"/>
  <c r="O132" i="13" s="1"/>
  <c r="AA128" i="13"/>
  <c r="AE106" i="13"/>
  <c r="K113" i="13"/>
  <c r="K112" i="13" s="1"/>
  <c r="W113" i="13"/>
  <c r="W112" i="13" s="1"/>
  <c r="AI113" i="13"/>
  <c r="R130" i="13"/>
  <c r="O99" i="13"/>
  <c r="AA81" i="13"/>
  <c r="I82" i="13"/>
  <c r="F13" i="19"/>
  <c r="M91" i="13"/>
  <c r="Y87" i="13"/>
  <c r="AK90" i="13"/>
  <c r="AO90" i="13" s="1"/>
  <c r="N104" i="13"/>
  <c r="R108" i="13"/>
  <c r="AD108" i="13"/>
  <c r="AD82" i="13"/>
  <c r="AD83" i="13" s="1"/>
  <c r="AG74" i="13"/>
  <c r="AG106" i="13"/>
  <c r="N130" i="13"/>
  <c r="N34" i="9"/>
  <c r="G102" i="9"/>
  <c r="N48" i="9"/>
  <c r="N62" i="9"/>
  <c r="H74" i="9"/>
  <c r="D37" i="17" s="1"/>
  <c r="N30" i="9"/>
  <c r="N38" i="9"/>
  <c r="N42" i="9"/>
  <c r="H73" i="9"/>
  <c r="C37" i="17" s="1"/>
  <c r="N13" i="9"/>
  <c r="G97" i="9"/>
  <c r="N31" i="9"/>
  <c r="N45" i="9"/>
  <c r="N63" i="9"/>
  <c r="AM94" i="13"/>
  <c r="AM125" i="13"/>
  <c r="H82" i="9"/>
  <c r="K99" i="13"/>
  <c r="G98" i="9"/>
  <c r="N43" i="9"/>
  <c r="N61" i="9"/>
  <c r="AO94" i="13"/>
  <c r="N14" i="9"/>
  <c r="N24" i="9"/>
  <c r="N25" i="9"/>
  <c r="G100" i="9"/>
  <c r="N57" i="9"/>
  <c r="N23" i="9"/>
  <c r="AQ94" i="13"/>
  <c r="AC99" i="13"/>
  <c r="N9" i="9"/>
  <c r="N11" i="9"/>
  <c r="N29" i="9"/>
  <c r="N46" i="9"/>
  <c r="B104" i="9"/>
  <c r="N22" i="9"/>
  <c r="G101" i="9"/>
  <c r="N55" i="9"/>
  <c r="J42" i="9"/>
  <c r="D43" i="9"/>
  <c r="AQ125" i="13"/>
  <c r="H71" i="9"/>
  <c r="H75" i="9"/>
  <c r="E37" i="17" s="1"/>
  <c r="H79" i="9"/>
  <c r="I37" i="17" s="1"/>
  <c r="H83" i="9"/>
  <c r="H72" i="9"/>
  <c r="B37" i="17" s="1"/>
  <c r="H76" i="9"/>
  <c r="F37" i="17" s="1"/>
  <c r="H80" i="9"/>
  <c r="J37" i="17" s="1"/>
  <c r="H84" i="9"/>
  <c r="G95" i="9"/>
  <c r="AU125" i="13"/>
  <c r="C42" i="9"/>
  <c r="G96" i="9"/>
  <c r="N16" i="9"/>
  <c r="N28" i="9"/>
  <c r="N40" i="9"/>
  <c r="N52" i="9"/>
  <c r="AK125" i="13"/>
  <c r="H77" i="9"/>
  <c r="G37" i="17" s="1"/>
  <c r="H81" i="9"/>
  <c r="K37" i="17" s="1"/>
  <c r="G99" i="9"/>
  <c r="N20" i="9"/>
  <c r="N32" i="9"/>
  <c r="N44" i="9"/>
  <c r="H78" i="9"/>
  <c r="H37" i="17" s="1"/>
  <c r="AO125" i="13"/>
  <c r="E75" i="23"/>
  <c r="AG81" i="13"/>
  <c r="F5" i="19"/>
  <c r="K120" i="13"/>
  <c r="K132" i="13" s="1"/>
  <c r="H4" i="26"/>
  <c r="K4" i="26"/>
  <c r="N4" i="26"/>
  <c r="C4" i="26"/>
  <c r="AK108" i="13"/>
  <c r="AI112" i="13"/>
  <c r="AB120" i="13"/>
  <c r="K8" i="26"/>
  <c r="T130" i="13"/>
  <c r="AF130" i="13"/>
  <c r="I5" i="26"/>
  <c r="L5" i="26"/>
  <c r="J9" i="26"/>
  <c r="N10" i="26"/>
  <c r="C10" i="26"/>
  <c r="D5" i="19"/>
  <c r="P82" i="13"/>
  <c r="AC81" i="13"/>
  <c r="AC83" i="13"/>
  <c r="Y81" i="13"/>
  <c r="S83" i="13"/>
  <c r="M104" i="13"/>
  <c r="M106" i="13"/>
  <c r="Y104" i="13"/>
  <c r="Y106" i="13"/>
  <c r="I130" i="13"/>
  <c r="U130" i="13"/>
  <c r="AG130" i="13"/>
  <c r="D11" i="17"/>
  <c r="AR6" i="29"/>
  <c r="V20" i="25" s="1"/>
  <c r="Z20" i="25" s="1"/>
  <c r="C6" i="19"/>
  <c r="Q81" i="13"/>
  <c r="N81" i="13"/>
  <c r="Z81" i="13"/>
  <c r="B10" i="19"/>
  <c r="E10" i="19"/>
  <c r="H10" i="19"/>
  <c r="J89" i="13"/>
  <c r="AH89" i="13"/>
  <c r="M114" i="13"/>
  <c r="Q114" i="13"/>
  <c r="AC114" i="13"/>
  <c r="Y114" i="13"/>
  <c r="U99" i="13"/>
  <c r="AG96" i="13"/>
  <c r="H11" i="17"/>
  <c r="AV6" i="29"/>
  <c r="V24" i="25" s="1"/>
  <c r="Z24" i="25" s="1"/>
  <c r="G6" i="19"/>
  <c r="AC104" i="13"/>
  <c r="AE118" i="13"/>
  <c r="AE120" i="13" s="1"/>
  <c r="J96" i="13"/>
  <c r="I99" i="13"/>
  <c r="I96" i="13"/>
  <c r="AB82" i="13"/>
  <c r="G5" i="19"/>
  <c r="V91" i="13"/>
  <c r="Q106" i="13"/>
  <c r="AC106" i="13"/>
  <c r="AO107" i="13"/>
  <c r="V82" i="13"/>
  <c r="Z83" i="13" s="1"/>
  <c r="C10" i="19"/>
  <c r="N91" i="13"/>
  <c r="Z91" i="13"/>
  <c r="Y91" i="13"/>
  <c r="R99" i="13"/>
  <c r="P96" i="13"/>
  <c r="AD99" i="13"/>
  <c r="AD96" i="13"/>
  <c r="AB96" i="13"/>
  <c r="G11" i="17"/>
  <c r="AU6" i="29"/>
  <c r="V23" i="25" s="1"/>
  <c r="Z23" i="25" s="1"/>
  <c r="F6" i="19"/>
  <c r="S158" i="13"/>
  <c r="S118" i="13"/>
  <c r="S120" i="13" s="1"/>
  <c r="E11" i="17"/>
  <c r="AS6" i="29"/>
  <c r="V21" i="25" s="1"/>
  <c r="Z21" i="25" s="1"/>
  <c r="D6" i="19"/>
  <c r="J82" i="13"/>
  <c r="J81" i="13" s="1"/>
  <c r="AH82" i="13"/>
  <c r="AH83" i="13" s="1"/>
  <c r="K82" i="13"/>
  <c r="O83" i="13" s="1"/>
  <c r="W82" i="13"/>
  <c r="W83" i="13" s="1"/>
  <c r="AE83" i="13"/>
  <c r="AH91" i="13"/>
  <c r="M112" i="13"/>
  <c r="Y112" i="13"/>
  <c r="AI120" i="13"/>
  <c r="AI132" i="13" s="1"/>
  <c r="D11" i="19"/>
  <c r="AS7" i="29"/>
  <c r="W21" i="25" s="1"/>
  <c r="AA21" i="25" s="1"/>
  <c r="E23" i="17"/>
  <c r="AV7" i="29"/>
  <c r="W24" i="25" s="1"/>
  <c r="AA24" i="25" s="1"/>
  <c r="H23" i="17"/>
  <c r="B13" i="19"/>
  <c r="F30" i="17"/>
  <c r="AT8" i="29"/>
  <c r="X22" i="25" s="1"/>
  <c r="AB22" i="25" s="1"/>
  <c r="I30" i="17"/>
  <c r="AW8" i="29"/>
  <c r="X25" i="25" s="1"/>
  <c r="AB25" i="25" s="1"/>
  <c r="H13" i="19"/>
  <c r="D18" i="17"/>
  <c r="G18" i="17"/>
  <c r="L91" i="13"/>
  <c r="X91" i="13"/>
  <c r="F95" i="9"/>
  <c r="E98" i="9"/>
  <c r="F98" i="9" s="1"/>
  <c r="AF96" i="13"/>
  <c r="C18" i="19"/>
  <c r="D42" i="17"/>
  <c r="F18" i="19"/>
  <c r="G42" i="17"/>
  <c r="D20" i="19"/>
  <c r="G20" i="19"/>
  <c r="C21" i="19"/>
  <c r="F21" i="19"/>
  <c r="E47" i="17"/>
  <c r="H47" i="17"/>
  <c r="P108" i="13"/>
  <c r="AB108" i="13"/>
  <c r="C28" i="19"/>
  <c r="H26" i="19"/>
  <c r="L113" i="13"/>
  <c r="L112" i="13" s="1"/>
  <c r="X113" i="13"/>
  <c r="F28" i="19" s="1"/>
  <c r="N114" i="13"/>
  <c r="AI114" i="13"/>
  <c r="AD120" i="13"/>
  <c r="AD130" i="13"/>
  <c r="H11" i="26"/>
  <c r="I24" i="26" s="1"/>
  <c r="K11" i="26"/>
  <c r="L24" i="26" s="1"/>
  <c r="N11" i="26"/>
  <c r="C11" i="26"/>
  <c r="G11" i="19"/>
  <c r="AL90" i="13"/>
  <c r="AL88" i="13" s="1"/>
  <c r="AL124" i="13" s="1"/>
  <c r="AH96" i="13"/>
  <c r="V102" i="13"/>
  <c r="J106" i="13"/>
  <c r="V106" i="13"/>
  <c r="AH106" i="13"/>
  <c r="Z113" i="13"/>
  <c r="Z112" i="13" s="1"/>
  <c r="P118" i="13"/>
  <c r="L12" i="26"/>
  <c r="H158" i="13"/>
  <c r="T158" i="13"/>
  <c r="AF158" i="13"/>
  <c r="E13" i="19"/>
  <c r="AH5" i="29"/>
  <c r="AG11" i="29"/>
  <c r="S89" i="13"/>
  <c r="AM90" i="13"/>
  <c r="AQ90" i="13" s="1"/>
  <c r="AI96" i="13"/>
  <c r="S99" i="13"/>
  <c r="AE99" i="13"/>
  <c r="W102" i="13"/>
  <c r="K106" i="13"/>
  <c r="W106" i="13"/>
  <c r="AI106" i="13"/>
  <c r="AA113" i="13"/>
  <c r="AA112" i="13" s="1"/>
  <c r="R120" i="13"/>
  <c r="R132" i="13" s="1"/>
  <c r="AG120" i="13"/>
  <c r="AG132" i="13" s="1"/>
  <c r="I158" i="13"/>
  <c r="U158" i="13"/>
  <c r="AG158" i="13"/>
  <c r="Q158" i="13"/>
  <c r="F10" i="19"/>
  <c r="B11" i="19"/>
  <c r="AQ7" i="29"/>
  <c r="W19" i="25" s="1"/>
  <c r="AA19" i="25" s="1"/>
  <c r="E11" i="19"/>
  <c r="AT7" i="29"/>
  <c r="W22" i="25" s="1"/>
  <c r="AA22" i="25" s="1"/>
  <c r="F23" i="17"/>
  <c r="AW7" i="29"/>
  <c r="W25" i="25" s="1"/>
  <c r="AA25" i="25" s="1"/>
  <c r="I23" i="17"/>
  <c r="P87" i="13"/>
  <c r="AB87" i="13"/>
  <c r="AR8" i="29"/>
  <c r="X20" i="25" s="1"/>
  <c r="AB20" i="25" s="1"/>
  <c r="C13" i="19"/>
  <c r="G30" i="17"/>
  <c r="AU8" i="29"/>
  <c r="X23" i="25" s="1"/>
  <c r="AB23" i="25" s="1"/>
  <c r="H89" i="13"/>
  <c r="T89" i="13"/>
  <c r="AF89" i="13"/>
  <c r="E18" i="17"/>
  <c r="H18" i="17"/>
  <c r="P91" i="13"/>
  <c r="AB91" i="13"/>
  <c r="E96" i="9"/>
  <c r="F96" i="9" s="1"/>
  <c r="E99" i="9"/>
  <c r="F99" i="9" s="1"/>
  <c r="H96" i="13"/>
  <c r="H99" i="13"/>
  <c r="T99" i="13"/>
  <c r="D18" i="19"/>
  <c r="E42" i="17"/>
  <c r="G18" i="19"/>
  <c r="H42" i="17"/>
  <c r="X102" i="13"/>
  <c r="B20" i="19"/>
  <c r="E20" i="19"/>
  <c r="H20" i="19"/>
  <c r="D21" i="19"/>
  <c r="D22" i="19" s="1"/>
  <c r="E49" i="17" s="1"/>
  <c r="G21" i="19"/>
  <c r="L106" i="13"/>
  <c r="X106" i="13"/>
  <c r="F47" i="17"/>
  <c r="I47" i="17"/>
  <c r="T108" i="13"/>
  <c r="AF108" i="13"/>
  <c r="D28" i="19"/>
  <c r="P114" i="13"/>
  <c r="G25" i="19"/>
  <c r="AB114" i="13"/>
  <c r="P113" i="13"/>
  <c r="P112" i="13" s="1"/>
  <c r="AB113" i="13"/>
  <c r="AB112" i="13" s="1"/>
  <c r="AH132" i="13"/>
  <c r="AH130" i="13"/>
  <c r="L10" i="26"/>
  <c r="AB158" i="13"/>
  <c r="AK82" i="13"/>
  <c r="AG108" i="13"/>
  <c r="W114" i="13"/>
  <c r="K158" i="13"/>
  <c r="W158" i="13"/>
  <c r="AI158" i="13"/>
  <c r="AC158" i="13"/>
  <c r="R91" i="13"/>
  <c r="N96" i="13"/>
  <c r="N95" i="13" s="1"/>
  <c r="N106" i="13"/>
  <c r="Z106" i="13"/>
  <c r="R113" i="13"/>
  <c r="R112" i="13" s="1"/>
  <c r="AD113" i="13"/>
  <c r="AD112" i="13" s="1"/>
  <c r="U120" i="13"/>
  <c r="U132" i="13" s="1"/>
  <c r="N132" i="13"/>
  <c r="H8" i="26"/>
  <c r="V130" i="13"/>
  <c r="V132" i="13" s="1"/>
  <c r="C13" i="26"/>
  <c r="N13" i="26"/>
  <c r="H130" i="13"/>
  <c r="L158" i="13"/>
  <c r="L118" i="13"/>
  <c r="X158" i="13"/>
  <c r="X118" i="13"/>
  <c r="H119" i="13"/>
  <c r="H5" i="26" s="1"/>
  <c r="T119" i="13"/>
  <c r="K5" i="26" s="1"/>
  <c r="AF119" i="13"/>
  <c r="AF120" i="13" s="1"/>
  <c r="AF132" i="13" s="1"/>
  <c r="C9" i="26"/>
  <c r="N9" i="26"/>
  <c r="P124" i="13"/>
  <c r="J10" i="26" s="1"/>
  <c r="AB124" i="13"/>
  <c r="M10" i="26" s="1"/>
  <c r="L128" i="13"/>
  <c r="I13" i="26" s="1"/>
  <c r="X128" i="13"/>
  <c r="L13" i="26" s="1"/>
  <c r="C14" i="26"/>
  <c r="N14" i="26"/>
  <c r="AM82" i="13"/>
  <c r="AM80" i="13" s="1"/>
  <c r="AM122" i="13" s="1"/>
  <c r="W89" i="13"/>
  <c r="AI89" i="13"/>
  <c r="K96" i="13"/>
  <c r="W96" i="13"/>
  <c r="O106" i="13"/>
  <c r="AA106" i="13"/>
  <c r="S113" i="13"/>
  <c r="S112" i="13" s="1"/>
  <c r="AE113" i="13"/>
  <c r="AE112" i="13" s="1"/>
  <c r="C12" i="26"/>
  <c r="N12" i="26"/>
  <c r="M14" i="26"/>
  <c r="L130" i="13"/>
  <c r="M158" i="13"/>
  <c r="Y158" i="13"/>
  <c r="D10" i="19"/>
  <c r="G10" i="19"/>
  <c r="C11" i="19"/>
  <c r="C12" i="19" s="1"/>
  <c r="D25" i="17" s="1"/>
  <c r="AR7" i="29"/>
  <c r="W20" i="25" s="1"/>
  <c r="AA20" i="25" s="1"/>
  <c r="D23" i="17"/>
  <c r="F11" i="19"/>
  <c r="AU7" i="29"/>
  <c r="W23" i="25" s="1"/>
  <c r="AA23" i="25" s="1"/>
  <c r="G23" i="17"/>
  <c r="H87" i="13"/>
  <c r="T87" i="13"/>
  <c r="AF87" i="13"/>
  <c r="D13" i="19"/>
  <c r="AS8" i="29"/>
  <c r="X21" i="25" s="1"/>
  <c r="AB21" i="25" s="1"/>
  <c r="H30" i="17"/>
  <c r="AV8" i="29"/>
  <c r="X24" i="25" s="1"/>
  <c r="AB24" i="25" s="1"/>
  <c r="G13" i="19"/>
  <c r="L89" i="13"/>
  <c r="X89" i="13"/>
  <c r="F18" i="17"/>
  <c r="M18" i="17"/>
  <c r="I18" i="17"/>
  <c r="T91" i="13"/>
  <c r="AF91" i="13"/>
  <c r="E97" i="9"/>
  <c r="F97" i="9" s="1"/>
  <c r="E100" i="9"/>
  <c r="F100" i="9" s="1"/>
  <c r="L96" i="13"/>
  <c r="X96" i="13"/>
  <c r="L99" i="13"/>
  <c r="X99" i="13"/>
  <c r="B18" i="19"/>
  <c r="E18" i="19"/>
  <c r="F42" i="17"/>
  <c r="H18" i="19"/>
  <c r="I42" i="17"/>
  <c r="AB102" i="13"/>
  <c r="L104" i="13"/>
  <c r="C20" i="19" s="1"/>
  <c r="X104" i="13"/>
  <c r="F20" i="19" s="1"/>
  <c r="B21" i="19"/>
  <c r="E21" i="19"/>
  <c r="H21" i="19"/>
  <c r="P106" i="13"/>
  <c r="AB106" i="13"/>
  <c r="D47" i="17"/>
  <c r="G47" i="17"/>
  <c r="L108" i="13"/>
  <c r="X108" i="13"/>
  <c r="B28" i="19"/>
  <c r="E28" i="19"/>
  <c r="H25" i="19"/>
  <c r="G26" i="19"/>
  <c r="H113" i="13"/>
  <c r="H112" i="13" s="1"/>
  <c r="T113" i="13"/>
  <c r="T112" i="13" s="1"/>
  <c r="AF113" i="13"/>
  <c r="J130" i="13"/>
  <c r="J132" i="13" s="1"/>
  <c r="J11" i="26"/>
  <c r="J24" i="26" s="1"/>
  <c r="M11" i="26"/>
  <c r="M24" i="26" s="1"/>
  <c r="C5" i="19"/>
  <c r="AQ6" i="29"/>
  <c r="V19" i="25" s="1"/>
  <c r="Z19" i="25" s="1"/>
  <c r="B6" i="19"/>
  <c r="F11" i="17"/>
  <c r="AT6" i="29"/>
  <c r="V22" i="25" s="1"/>
  <c r="Z22" i="25" s="1"/>
  <c r="E6" i="19"/>
  <c r="I11" i="17"/>
  <c r="AW6" i="29"/>
  <c r="V25" i="25" s="1"/>
  <c r="Z25" i="25" s="1"/>
  <c r="H6" i="19"/>
  <c r="H8" i="19" s="1"/>
  <c r="AG72" i="13"/>
  <c r="M96" i="13"/>
  <c r="Y96" i="13"/>
  <c r="AG114" i="13"/>
  <c r="AG113" i="13"/>
  <c r="AG112" i="13" s="1"/>
  <c r="I120" i="13"/>
  <c r="O158" i="13"/>
  <c r="AA158" i="13"/>
  <c r="Z96" i="13"/>
  <c r="N99" i="13"/>
  <c r="Z99" i="13"/>
  <c r="V113" i="13"/>
  <c r="V112" i="13" s="1"/>
  <c r="AH113" i="13"/>
  <c r="M9" i="26"/>
  <c r="J12" i="26"/>
  <c r="M12" i="26"/>
  <c r="J5" i="26"/>
  <c r="K13" i="26"/>
  <c r="X130" i="13"/>
  <c r="Q130" i="13"/>
  <c r="Q132" i="13" s="1"/>
  <c r="AC130" i="13"/>
  <c r="AC132" i="13" s="1"/>
  <c r="AF11" i="29"/>
  <c r="F29" i="17"/>
  <c r="AK80" i="13"/>
  <c r="AN90" i="13"/>
  <c r="J22" i="17"/>
  <c r="K22" i="17"/>
  <c r="E29" i="17"/>
  <c r="G29" i="17"/>
  <c r="H29" i="17"/>
  <c r="I29" i="17"/>
  <c r="AK122" i="13" l="1"/>
  <c r="B103" i="9"/>
  <c r="C104" i="9" s="1"/>
  <c r="H95" i="9"/>
  <c r="H96" i="9"/>
  <c r="O97" i="13"/>
  <c r="D104" i="9"/>
  <c r="E104" i="9" s="1"/>
  <c r="F104" i="9" s="1"/>
  <c r="H104" i="9" s="1"/>
  <c r="H98" i="9"/>
  <c r="H99" i="9"/>
  <c r="B102" i="9"/>
  <c r="C108" i="9" s="1"/>
  <c r="AM86" i="13"/>
  <c r="AM123" i="13" s="1"/>
  <c r="AT91" i="13"/>
  <c r="AU92" i="13"/>
  <c r="AU91" i="13" s="1"/>
  <c r="AU90" i="13" s="1"/>
  <c r="AM88" i="13"/>
  <c r="AM124" i="13" s="1"/>
  <c r="AS90" i="13"/>
  <c r="AS86" i="13" s="1"/>
  <c r="AS123" i="13" s="1"/>
  <c r="AP90" i="13"/>
  <c r="AP86" i="13" s="1"/>
  <c r="AP123" i="13" s="1"/>
  <c r="AL86" i="13"/>
  <c r="AL123" i="13" s="1"/>
  <c r="J18" i="17"/>
  <c r="AK88" i="13"/>
  <c r="AK86" i="13"/>
  <c r="H28" i="19"/>
  <c r="F7" i="19"/>
  <c r="G13" i="17" s="1"/>
  <c r="C8" i="19"/>
  <c r="B7" i="19"/>
  <c r="E7" i="19"/>
  <c r="F13" i="17" s="1"/>
  <c r="AQ86" i="13"/>
  <c r="AQ123" i="13" s="1"/>
  <c r="Q83" i="13"/>
  <c r="X83" i="13"/>
  <c r="X81" i="13"/>
  <c r="M83" i="13"/>
  <c r="I81" i="13"/>
  <c r="H48" i="23"/>
  <c r="I48" i="23" s="1"/>
  <c r="H49" i="23"/>
  <c r="I49" i="23" s="1"/>
  <c r="C8" i="26"/>
  <c r="C15" i="26" s="1"/>
  <c r="S130" i="13"/>
  <c r="C23" i="19"/>
  <c r="H15" i="26"/>
  <c r="Y130" i="13"/>
  <c r="Y132" i="13" s="1"/>
  <c r="AF81" i="13"/>
  <c r="M130" i="13"/>
  <c r="M132" i="13" s="1"/>
  <c r="AD81" i="13"/>
  <c r="Z132" i="13"/>
  <c r="AQ107" i="13"/>
  <c r="AQ105" i="13" s="1"/>
  <c r="AQ104" i="13" s="1"/>
  <c r="AQ128" i="13" s="1"/>
  <c r="I18" i="19"/>
  <c r="AK127" i="13"/>
  <c r="AP107" i="13"/>
  <c r="AT107" i="13" s="1"/>
  <c r="AO102" i="13"/>
  <c r="AM105" i="13"/>
  <c r="AM104" i="13" s="1"/>
  <c r="AM128" i="13" s="1"/>
  <c r="AL105" i="13"/>
  <c r="AL104" i="13" s="1"/>
  <c r="AL128" i="13" s="1"/>
  <c r="AQ88" i="13"/>
  <c r="AQ124" i="13" s="1"/>
  <c r="AL82" i="13"/>
  <c r="B15" i="19"/>
  <c r="D14" i="19"/>
  <c r="E32" i="17" s="1"/>
  <c r="AD132" i="13"/>
  <c r="F22" i="19"/>
  <c r="G49" i="17" s="1"/>
  <c r="D7" i="19"/>
  <c r="E13" i="17" s="1"/>
  <c r="AE132" i="13"/>
  <c r="E14" i="19"/>
  <c r="F32" i="17" s="1"/>
  <c r="M13" i="26"/>
  <c r="M15" i="26" s="1"/>
  <c r="I36" i="26" s="1"/>
  <c r="G23" i="19"/>
  <c r="J13" i="26"/>
  <c r="AO82" i="13"/>
  <c r="S132" i="13"/>
  <c r="G27" i="19"/>
  <c r="H55" i="17" s="1"/>
  <c r="L9" i="26"/>
  <c r="L15" i="26" s="1"/>
  <c r="H22" i="19"/>
  <c r="I49" i="17" s="1"/>
  <c r="F12" i="19"/>
  <c r="G25" i="17" s="1"/>
  <c r="I9" i="26"/>
  <c r="I15" i="26" s="1"/>
  <c r="W132" i="13"/>
  <c r="E22" i="19"/>
  <c r="F49" i="17" s="1"/>
  <c r="B22" i="19"/>
  <c r="G14" i="19"/>
  <c r="H32" i="17" s="1"/>
  <c r="G8" i="19"/>
  <c r="H97" i="9"/>
  <c r="I42" i="9"/>
  <c r="C43" i="9"/>
  <c r="J43" i="9"/>
  <c r="D44" i="9"/>
  <c r="AC97" i="13"/>
  <c r="D38" i="17"/>
  <c r="C17" i="19"/>
  <c r="L97" i="13"/>
  <c r="AA97" i="13"/>
  <c r="F17" i="19"/>
  <c r="M97" i="13"/>
  <c r="Q97" i="13"/>
  <c r="B17" i="19"/>
  <c r="AM102" i="13"/>
  <c r="AM127" i="13"/>
  <c r="AH11" i="29"/>
  <c r="AI5" i="29"/>
  <c r="B14" i="19"/>
  <c r="AK93" i="13" a="1"/>
  <c r="AK93" i="13" s="1"/>
  <c r="G7" i="19"/>
  <c r="H13" i="17" s="1"/>
  <c r="E15" i="19"/>
  <c r="AL102" i="13"/>
  <c r="AL127" i="13"/>
  <c r="C22" i="19"/>
  <c r="P95" i="13"/>
  <c r="AB130" i="13"/>
  <c r="AB132" i="13" s="1"/>
  <c r="I6" i="17"/>
  <c r="AD97" i="13"/>
  <c r="AF112" i="13"/>
  <c r="AI95" i="13"/>
  <c r="AH95" i="13"/>
  <c r="AH97" i="13"/>
  <c r="H6" i="17"/>
  <c r="AB83" i="13"/>
  <c r="AB81" i="13"/>
  <c r="F6" i="17"/>
  <c r="M6" i="17"/>
  <c r="L4" i="26"/>
  <c r="X120" i="13"/>
  <c r="G22" i="19"/>
  <c r="H49" i="17" s="1"/>
  <c r="D23" i="19"/>
  <c r="P130" i="13"/>
  <c r="I33" i="26" s="1"/>
  <c r="E6" i="17"/>
  <c r="P83" i="13"/>
  <c r="P81" i="13"/>
  <c r="T83" i="13"/>
  <c r="N15" i="26"/>
  <c r="I37" i="26" s="1"/>
  <c r="F8" i="19"/>
  <c r="G6" i="17"/>
  <c r="AB97" i="13"/>
  <c r="G28" i="19"/>
  <c r="H27" i="19"/>
  <c r="I55" i="17" s="1"/>
  <c r="J42" i="17"/>
  <c r="D12" i="19"/>
  <c r="E25" i="17" s="1"/>
  <c r="R96" i="13"/>
  <c r="R97" i="13" s="1"/>
  <c r="J15" i="26"/>
  <c r="I95" i="13"/>
  <c r="D8" i="19"/>
  <c r="I34" i="26"/>
  <c r="AO127" i="13"/>
  <c r="I132" i="13"/>
  <c r="P97" i="13"/>
  <c r="I4" i="26"/>
  <c r="L120" i="13"/>
  <c r="H23" i="19"/>
  <c r="J4" i="26"/>
  <c r="P120" i="13"/>
  <c r="G12" i="19"/>
  <c r="H25" i="17" s="1"/>
  <c r="X112" i="13"/>
  <c r="AS107" i="13"/>
  <c r="AO105" i="13"/>
  <c r="AO104" i="13" s="1"/>
  <c r="AO128" i="13" s="1"/>
  <c r="AO108" i="13"/>
  <c r="K15" i="26"/>
  <c r="N83" i="13"/>
  <c r="F23" i="19"/>
  <c r="X95" i="13"/>
  <c r="E23" i="19"/>
  <c r="E12" i="19"/>
  <c r="F25" i="17" s="1"/>
  <c r="H14" i="19"/>
  <c r="I32" i="17" s="1"/>
  <c r="E94" i="23"/>
  <c r="H52" i="23" s="1"/>
  <c r="I52" i="23" s="1"/>
  <c r="J95" i="13"/>
  <c r="AG95" i="13"/>
  <c r="AG97" i="13"/>
  <c r="D6" i="17"/>
  <c r="W81" i="13"/>
  <c r="T120" i="13"/>
  <c r="H12" i="19"/>
  <c r="I25" i="17" s="1"/>
  <c r="L95" i="13"/>
  <c r="I31" i="26"/>
  <c r="N97" i="13"/>
  <c r="B23" i="19"/>
  <c r="N24" i="26"/>
  <c r="C7" i="19"/>
  <c r="M4" i="26"/>
  <c r="K81" i="13"/>
  <c r="K6" i="26"/>
  <c r="K21" i="26" s="1"/>
  <c r="K17" i="26"/>
  <c r="H47" i="23"/>
  <c r="I47" i="23" s="1"/>
  <c r="Y95" i="13"/>
  <c r="G15" i="19"/>
  <c r="H95" i="13"/>
  <c r="B12" i="19"/>
  <c r="C25" i="17" s="1"/>
  <c r="K24" i="26"/>
  <c r="AE96" i="13"/>
  <c r="AE97" i="13" s="1"/>
  <c r="B8" i="19"/>
  <c r="AB95" i="13"/>
  <c r="C15" i="19"/>
  <c r="AA83" i="13"/>
  <c r="H120" i="13"/>
  <c r="AH81" i="13"/>
  <c r="Z95" i="13"/>
  <c r="M95" i="13"/>
  <c r="AQ82" i="13"/>
  <c r="AQ80" i="13" s="1"/>
  <c r="AQ122" i="13" s="1"/>
  <c r="AH112" i="13"/>
  <c r="D15" i="19"/>
  <c r="W95" i="13"/>
  <c r="F15" i="19"/>
  <c r="AF95" i="13"/>
  <c r="H17" i="19"/>
  <c r="AF97" i="13"/>
  <c r="S96" i="13"/>
  <c r="S97" i="13" s="1"/>
  <c r="AD95" i="13"/>
  <c r="V83" i="13"/>
  <c r="H6" i="26"/>
  <c r="H21" i="26" s="1"/>
  <c r="H17" i="26"/>
  <c r="V81" i="13"/>
  <c r="AM79" i="13"/>
  <c r="AM118" i="13" s="1"/>
  <c r="E39" i="23"/>
  <c r="H7" i="19"/>
  <c r="I13" i="17" s="1"/>
  <c r="J47" i="17"/>
  <c r="AN107" i="13"/>
  <c r="K95" i="13"/>
  <c r="C5" i="26"/>
  <c r="N5" i="26"/>
  <c r="N6" i="26" s="1"/>
  <c r="AN127" i="13"/>
  <c r="AN102" i="13"/>
  <c r="AJ99" i="13"/>
  <c r="AJ96" i="13"/>
  <c r="C14" i="19"/>
  <c r="T96" i="13"/>
  <c r="E8" i="19"/>
  <c r="F14" i="19"/>
  <c r="G32" i="17" s="1"/>
  <c r="H15" i="19"/>
  <c r="V96" i="13"/>
  <c r="U96" i="13"/>
  <c r="U97" i="13" s="1"/>
  <c r="AO86" i="13"/>
  <c r="AO123" i="13" s="1"/>
  <c r="AO88" i="13"/>
  <c r="AO124" i="13" s="1"/>
  <c r="AK79" i="13"/>
  <c r="AK118" i="13" s="1"/>
  <c r="AS82" i="13"/>
  <c r="AS80" i="13" s="1"/>
  <c r="AS122" i="13" s="1"/>
  <c r="AO80" i="13"/>
  <c r="AO122" i="13" s="1"/>
  <c r="AL85" i="13"/>
  <c r="AL119" i="13" s="1"/>
  <c r="AS88" i="13"/>
  <c r="AS124" i="13" s="1"/>
  <c r="AN88" i="13"/>
  <c r="AR90" i="13"/>
  <c r="AN86" i="13"/>
  <c r="AK123" i="13" l="1"/>
  <c r="D9" i="26" s="1"/>
  <c r="BB38" i="29"/>
  <c r="J23" i="17"/>
  <c r="AK124" i="13"/>
  <c r="BB42" i="29"/>
  <c r="D103" i="9"/>
  <c r="E103" i="9" s="1"/>
  <c r="F103" i="9" s="1"/>
  <c r="H103" i="9" s="1"/>
  <c r="AM85" i="13"/>
  <c r="AM119" i="13" s="1"/>
  <c r="AM120" i="13" s="1"/>
  <c r="AQ108" i="13"/>
  <c r="AU107" i="13"/>
  <c r="AU105" i="13" s="1"/>
  <c r="AU104" i="13" s="1"/>
  <c r="AU128" i="13" s="1"/>
  <c r="D102" i="9"/>
  <c r="E102" i="9" s="1"/>
  <c r="F102" i="9" s="1"/>
  <c r="C102" i="9"/>
  <c r="C103" i="9"/>
  <c r="V97" i="13"/>
  <c r="I11" i="19"/>
  <c r="I13" i="19"/>
  <c r="J30" i="17"/>
  <c r="AU86" i="13"/>
  <c r="AU123" i="13" s="1"/>
  <c r="AU88" i="13"/>
  <c r="AU124" i="13" s="1"/>
  <c r="K18" i="17"/>
  <c r="AP88" i="13"/>
  <c r="AP124" i="13" s="1"/>
  <c r="AT90" i="13"/>
  <c r="AK85" i="13"/>
  <c r="AK119" i="13" s="1"/>
  <c r="AK120" i="13" s="1"/>
  <c r="C17" i="26"/>
  <c r="H75" i="23"/>
  <c r="H50" i="23"/>
  <c r="I50" i="23" s="1"/>
  <c r="H55" i="23"/>
  <c r="I55" i="23" s="1"/>
  <c r="AN82" i="13"/>
  <c r="H56" i="23"/>
  <c r="I56" i="23" s="1"/>
  <c r="H54" i="23"/>
  <c r="I54" i="23" s="1"/>
  <c r="H53" i="23"/>
  <c r="I53" i="23" s="1"/>
  <c r="H6" i="23"/>
  <c r="I6" i="23" s="1"/>
  <c r="H8" i="23"/>
  <c r="I8" i="23" s="1"/>
  <c r="H11" i="23"/>
  <c r="I11" i="23" s="1"/>
  <c r="H9" i="23"/>
  <c r="I9" i="23" s="1"/>
  <c r="H10" i="23"/>
  <c r="I10" i="23" s="1"/>
  <c r="H12" i="23"/>
  <c r="I12" i="23" s="1"/>
  <c r="H13" i="23"/>
  <c r="I13" i="23" s="1"/>
  <c r="R95" i="13"/>
  <c r="I32" i="26"/>
  <c r="H83" i="23"/>
  <c r="I83" i="23" s="1"/>
  <c r="H84" i="23"/>
  <c r="I84" i="23" s="1"/>
  <c r="H85" i="23"/>
  <c r="I85" i="23" s="1"/>
  <c r="H86" i="23"/>
  <c r="I86" i="23" s="1"/>
  <c r="H87" i="23"/>
  <c r="I87" i="23" s="1"/>
  <c r="I35" i="26"/>
  <c r="H51" i="23"/>
  <c r="I51" i="23" s="1"/>
  <c r="AP108" i="13"/>
  <c r="AP105" i="13"/>
  <c r="AP104" i="13" s="1"/>
  <c r="AP128" i="13" s="1"/>
  <c r="AQ85" i="13"/>
  <c r="AQ119" i="13" s="1"/>
  <c r="I21" i="19"/>
  <c r="AS102" i="13"/>
  <c r="AS79" i="13"/>
  <c r="AS118" i="13" s="1"/>
  <c r="G38" i="17"/>
  <c r="AL80" i="13"/>
  <c r="BB34" i="29" s="1"/>
  <c r="AP82" i="13"/>
  <c r="AK113" i="13"/>
  <c r="D12" i="26"/>
  <c r="J6" i="17"/>
  <c r="D45" i="9"/>
  <c r="J44" i="9"/>
  <c r="I43" i="9"/>
  <c r="C44" i="9"/>
  <c r="C6" i="26"/>
  <c r="O12" i="26"/>
  <c r="AS85" i="13"/>
  <c r="AS119" i="13" s="1"/>
  <c r="J18" i="19" a="1"/>
  <c r="J18" i="19" s="1"/>
  <c r="L18" i="19" s="1"/>
  <c r="H37" i="26"/>
  <c r="J37" i="26" s="1"/>
  <c r="N21" i="26"/>
  <c r="X97" i="13"/>
  <c r="M6" i="26"/>
  <c r="M17" i="26"/>
  <c r="S95" i="13"/>
  <c r="AS127" i="13"/>
  <c r="AP127" i="13"/>
  <c r="AP102" i="13"/>
  <c r="K47" i="17"/>
  <c r="AR107" i="13"/>
  <c r="AN105" i="13"/>
  <c r="AN108" i="13"/>
  <c r="U95" i="13"/>
  <c r="AI97" i="13"/>
  <c r="AJ97" i="13"/>
  <c r="AJ95" i="13"/>
  <c r="AQ79" i="13"/>
  <c r="AQ118" i="13" s="1"/>
  <c r="H34" i="26"/>
  <c r="J34" i="26" s="1"/>
  <c r="T132" i="13"/>
  <c r="H32" i="26"/>
  <c r="J32" i="26" s="1"/>
  <c r="L132" i="13"/>
  <c r="W97" i="13"/>
  <c r="AO85" i="13"/>
  <c r="AO119" i="13" s="1"/>
  <c r="AU82" i="13"/>
  <c r="AU80" i="13" s="1"/>
  <c r="AU122" i="13" s="1"/>
  <c r="H7" i="23"/>
  <c r="I7" i="23" s="1"/>
  <c r="AS105" i="13"/>
  <c r="AS104" i="13" s="1"/>
  <c r="AS128" i="13" s="1"/>
  <c r="AS108" i="13"/>
  <c r="I6" i="26"/>
  <c r="I21" i="26" s="1"/>
  <c r="I17" i="26"/>
  <c r="I19" i="26" s="1"/>
  <c r="H100" i="9"/>
  <c r="AR127" i="13"/>
  <c r="AR102" i="13"/>
  <c r="H31" i="26"/>
  <c r="J31" i="26" s="1"/>
  <c r="H132" i="13"/>
  <c r="G17" i="19"/>
  <c r="K42" i="17"/>
  <c r="H38" i="17"/>
  <c r="AK99" i="13"/>
  <c r="AK126" i="13" s="1"/>
  <c r="AK96" i="13"/>
  <c r="AL93" i="13" a="1"/>
  <c r="AL93" i="13" s="1"/>
  <c r="D17" i="19"/>
  <c r="H19" i="26"/>
  <c r="H33" i="26"/>
  <c r="J33" i="26" s="1"/>
  <c r="P132" i="13"/>
  <c r="E38" i="17"/>
  <c r="X132" i="13"/>
  <c r="H35" i="26"/>
  <c r="AQ127" i="13"/>
  <c r="AQ102" i="13"/>
  <c r="F38" i="17"/>
  <c r="E17" i="19"/>
  <c r="T97" i="13"/>
  <c r="AT105" i="13"/>
  <c r="AT104" i="13" s="1"/>
  <c r="AT128" i="13" s="1"/>
  <c r="AT108" i="13"/>
  <c r="N17" i="26"/>
  <c r="J6" i="26"/>
  <c r="J21" i="26" s="1"/>
  <c r="J17" i="26"/>
  <c r="L6" i="26"/>
  <c r="L21" i="26" s="1"/>
  <c r="L17" i="26"/>
  <c r="AI11" i="29"/>
  <c r="AJ5" i="29"/>
  <c r="Y97" i="13"/>
  <c r="I38" i="17"/>
  <c r="V95" i="13"/>
  <c r="T95" i="13"/>
  <c r="AE95" i="13"/>
  <c r="Z97" i="13"/>
  <c r="AO79" i="13"/>
  <c r="AO118" i="13" s="1"/>
  <c r="O10" i="26"/>
  <c r="D10" i="26"/>
  <c r="K23" i="17"/>
  <c r="J11" i="19"/>
  <c r="AN123" i="13"/>
  <c r="AN85" i="13"/>
  <c r="O9" i="26"/>
  <c r="AR86" i="13"/>
  <c r="AR123" i="13" s="1"/>
  <c r="AR88" i="13"/>
  <c r="AR124" i="13" s="1"/>
  <c r="AN124" i="13"/>
  <c r="AT86" i="13"/>
  <c r="AT123" i="13" s="1"/>
  <c r="AT88" i="13"/>
  <c r="AT124" i="13" s="1"/>
  <c r="AU108" i="13" l="1"/>
  <c r="J13" i="19"/>
  <c r="L13" i="19" s="1"/>
  <c r="K30" i="17"/>
  <c r="J21" i="19" a="1"/>
  <c r="J21" i="19" s="1"/>
  <c r="L21" i="19" s="1"/>
  <c r="AL113" i="13"/>
  <c r="AL129" i="13" s="1"/>
  <c r="AK111" i="13"/>
  <c r="H39" i="23"/>
  <c r="AP85" i="13"/>
  <c r="AP119" i="13" s="1"/>
  <c r="I10" i="19"/>
  <c r="I15" i="19" s="1"/>
  <c r="AU85" i="13"/>
  <c r="AU119" i="13" s="1"/>
  <c r="J35" i="26"/>
  <c r="AK129" i="13"/>
  <c r="AK130" i="13" s="1"/>
  <c r="AK132" i="13" s="1"/>
  <c r="K32" i="26"/>
  <c r="K33" i="26"/>
  <c r="K34" i="26"/>
  <c r="K31" i="26"/>
  <c r="K35" i="26"/>
  <c r="H94" i="23"/>
  <c r="AR82" i="13"/>
  <c r="AR80" i="13" s="1"/>
  <c r="AR122" i="13" s="1"/>
  <c r="AN80" i="13"/>
  <c r="AS120" i="13"/>
  <c r="AQ120" i="13"/>
  <c r="AM19" i="29"/>
  <c r="AK19" i="29"/>
  <c r="AJ19" i="29"/>
  <c r="AL19" i="29"/>
  <c r="AJ13" i="29"/>
  <c r="E12" i="26"/>
  <c r="AT82" i="13"/>
  <c r="AT80" i="13" s="1"/>
  <c r="AT122" i="13" s="1"/>
  <c r="AP80" i="13"/>
  <c r="K6" i="17"/>
  <c r="AL122" i="13"/>
  <c r="I6" i="19"/>
  <c r="AL79" i="13"/>
  <c r="J11" i="17"/>
  <c r="AK110" i="13"/>
  <c r="AK114" i="13" s="1"/>
  <c r="C45" i="9"/>
  <c r="I44" i="9"/>
  <c r="D46" i="9"/>
  <c r="J45" i="9"/>
  <c r="K19" i="26"/>
  <c r="N19" i="26"/>
  <c r="D18" i="26" s="1"/>
  <c r="P12" i="26"/>
  <c r="Q12" i="26" s="1" a="1"/>
  <c r="Q12" i="26" s="1"/>
  <c r="R12" i="26" s="1" a="1"/>
  <c r="R12" i="26" s="1"/>
  <c r="AK97" i="13"/>
  <c r="AK95" i="13"/>
  <c r="AR105" i="13"/>
  <c r="AR104" i="13" s="1"/>
  <c r="AR128" i="13" s="1"/>
  <c r="AR108" i="13"/>
  <c r="AU127" i="13"/>
  <c r="AU102" i="13"/>
  <c r="J19" i="26"/>
  <c r="H36" i="26"/>
  <c r="J36" i="26" s="1"/>
  <c r="K36" i="26" s="1"/>
  <c r="M21" i="26"/>
  <c r="AM93" i="13" a="1"/>
  <c r="AM93" i="13" s="1"/>
  <c r="AT127" i="13"/>
  <c r="AT102" i="13"/>
  <c r="I20" i="19"/>
  <c r="L19" i="26"/>
  <c r="M19" i="26"/>
  <c r="C18" i="26" s="1"/>
  <c r="C19" i="26" s="1"/>
  <c r="AM13" i="29"/>
  <c r="AL13" i="29"/>
  <c r="AK13" i="29"/>
  <c r="AO120" i="13"/>
  <c r="AU79" i="13"/>
  <c r="AU118" i="13" s="1"/>
  <c r="AN104" i="13"/>
  <c r="AJ11" i="29"/>
  <c r="AK5" i="29"/>
  <c r="AL99" i="13"/>
  <c r="AL126" i="13" s="1"/>
  <c r="AL96" i="13"/>
  <c r="L11" i="19"/>
  <c r="J10" i="19"/>
  <c r="J14" i="19" s="1"/>
  <c r="K32" i="17" s="1"/>
  <c r="AN119" i="13"/>
  <c r="AR85" i="13"/>
  <c r="AR119" i="13" s="1"/>
  <c r="E9" i="26"/>
  <c r="P9" i="26"/>
  <c r="AT85" i="13"/>
  <c r="AT119" i="13" s="1"/>
  <c r="P10" i="26"/>
  <c r="Q10" i="26" s="1" a="1"/>
  <c r="Q10" i="26" s="1"/>
  <c r="R10" i="26" s="1" a="1"/>
  <c r="R10" i="26" s="1"/>
  <c r="E10" i="26"/>
  <c r="D5" i="26"/>
  <c r="O5" i="26"/>
  <c r="AM113" i="13" l="1"/>
  <c r="AM129" i="13" s="1"/>
  <c r="D14" i="26" s="1"/>
  <c r="AL111" i="13"/>
  <c r="AL110" i="13" s="1"/>
  <c r="AL114" i="13" s="1"/>
  <c r="J53" i="17"/>
  <c r="I12" i="19"/>
  <c r="J25" i="17" s="1"/>
  <c r="AU120" i="13"/>
  <c r="I14" i="19"/>
  <c r="J32" i="17" s="1"/>
  <c r="K37" i="26"/>
  <c r="AR79" i="13"/>
  <c r="AR118" i="13" s="1"/>
  <c r="AR120" i="13" s="1"/>
  <c r="AN113" i="13"/>
  <c r="AM111" i="13"/>
  <c r="I26" i="19" s="1"/>
  <c r="AN79" i="13"/>
  <c r="AN118" i="13" s="1"/>
  <c r="AN120" i="13" s="1"/>
  <c r="AN122" i="13"/>
  <c r="AJ25" i="29"/>
  <c r="AM25" i="29"/>
  <c r="AL25" i="29"/>
  <c r="AK25" i="29"/>
  <c r="AT79" i="13"/>
  <c r="AT118" i="13" s="1"/>
  <c r="AT120" i="13" s="1"/>
  <c r="AL130" i="13"/>
  <c r="AL118" i="13"/>
  <c r="I5" i="19"/>
  <c r="O8" i="26"/>
  <c r="D8" i="26"/>
  <c r="AP122" i="13"/>
  <c r="AP79" i="13"/>
  <c r="J6" i="19"/>
  <c r="L6" i="19" s="1"/>
  <c r="K11" i="17"/>
  <c r="D47" i="9"/>
  <c r="J46" i="9"/>
  <c r="C46" i="9"/>
  <c r="I45" i="9"/>
  <c r="O14" i="26"/>
  <c r="D13" i="26"/>
  <c r="O13" i="26"/>
  <c r="AJ130" i="13"/>
  <c r="AJ132" i="13" s="1"/>
  <c r="I23" i="19"/>
  <c r="E117" i="23" s="1"/>
  <c r="I22" i="19"/>
  <c r="J49" i="17" s="1"/>
  <c r="AM99" i="13"/>
  <c r="AM96" i="13"/>
  <c r="I17" i="19" s="1"/>
  <c r="AL97" i="13"/>
  <c r="AL95" i="13"/>
  <c r="J20" i="19" a="1"/>
  <c r="J20" i="19" s="1"/>
  <c r="AN128" i="13"/>
  <c r="AN93" i="13" a="1"/>
  <c r="AN93" i="13" s="1"/>
  <c r="AK11" i="29"/>
  <c r="AL5" i="29"/>
  <c r="S12" i="26" a="1"/>
  <c r="S12" i="26" s="1"/>
  <c r="L10" i="19"/>
  <c r="J15" i="19"/>
  <c r="L15" i="19" s="1"/>
  <c r="J12" i="19"/>
  <c r="K25" i="17" s="1"/>
  <c r="E5" i="26"/>
  <c r="P5" i="26"/>
  <c r="Q5" i="26" s="1"/>
  <c r="R5" i="26" s="1"/>
  <c r="S5" i="26" s="1"/>
  <c r="T5" i="26" s="1"/>
  <c r="U5" i="26" s="1"/>
  <c r="V5" i="26" s="1"/>
  <c r="W5" i="26" s="1"/>
  <c r="X5" i="26" s="1"/>
  <c r="Y5" i="26" s="1"/>
  <c r="Z5" i="26" s="1"/>
  <c r="AA5" i="26" s="1"/>
  <c r="Q9" i="26" a="1"/>
  <c r="Q9" i="26" s="1"/>
  <c r="S10" i="26" a="1"/>
  <c r="S10" i="26" s="1"/>
  <c r="AM110" i="13" l="1"/>
  <c r="AN111" i="13"/>
  <c r="AN110" i="13" s="1"/>
  <c r="AO113" i="13"/>
  <c r="AN129" i="13"/>
  <c r="AM126" i="13"/>
  <c r="AM130" i="13" s="1"/>
  <c r="AM132" i="13" s="1"/>
  <c r="H104" i="23"/>
  <c r="I104" i="23" s="1"/>
  <c r="H109" i="23"/>
  <c r="I109" i="23" s="1"/>
  <c r="H105" i="23"/>
  <c r="I105" i="23" s="1"/>
  <c r="H106" i="23"/>
  <c r="I106" i="23" s="1"/>
  <c r="H108" i="23"/>
  <c r="I108" i="23" s="1"/>
  <c r="H107" i="23"/>
  <c r="I107" i="23" s="1"/>
  <c r="AP118" i="13"/>
  <c r="J5" i="19"/>
  <c r="J7" i="19" s="1"/>
  <c r="K13" i="17" s="1"/>
  <c r="E8" i="26"/>
  <c r="P8" i="26"/>
  <c r="Q8" i="26" s="1" a="1"/>
  <c r="Q8" i="26" s="1"/>
  <c r="R8" i="26" s="1" a="1"/>
  <c r="R8" i="26" s="1"/>
  <c r="I8" i="19"/>
  <c r="I7" i="19"/>
  <c r="J13" i="17" s="1"/>
  <c r="AL120" i="13"/>
  <c r="AL132" i="13" s="1"/>
  <c r="D4" i="26"/>
  <c r="D6" i="26" s="1"/>
  <c r="O4" i="26"/>
  <c r="O6" i="26" s="1"/>
  <c r="C47" i="9"/>
  <c r="I46" i="9"/>
  <c r="D48" i="9"/>
  <c r="J47" i="9"/>
  <c r="J38" i="17"/>
  <c r="AN114" i="13"/>
  <c r="E13" i="26"/>
  <c r="P13" i="26"/>
  <c r="Q13" i="26" s="1" a="1"/>
  <c r="Q13" i="26" s="1"/>
  <c r="J23" i="19"/>
  <c r="L23" i="19" s="1"/>
  <c r="L20" i="19"/>
  <c r="J22" i="19"/>
  <c r="K49" i="17" s="1"/>
  <c r="AL11" i="29"/>
  <c r="AM5" i="29"/>
  <c r="AM11" i="29" s="1"/>
  <c r="T12" i="26" a="1"/>
  <c r="T12" i="26" s="1"/>
  <c r="U12" i="26" s="1" a="1"/>
  <c r="U12" i="26" s="1"/>
  <c r="AM97" i="13"/>
  <c r="AM95" i="13"/>
  <c r="AN96" i="13"/>
  <c r="AN99" i="13"/>
  <c r="AN126" i="13" s="1"/>
  <c r="AO93" i="13" a="1"/>
  <c r="AO93" i="13" s="1"/>
  <c r="H102" i="9"/>
  <c r="AO111" i="13"/>
  <c r="AO110" i="13" s="1"/>
  <c r="AO129" i="13"/>
  <c r="AP113" i="13"/>
  <c r="AQ113" i="13" s="1"/>
  <c r="H103" i="23"/>
  <c r="I103" i="23" s="1"/>
  <c r="H102" i="23"/>
  <c r="I102" i="23" s="1"/>
  <c r="T10" i="26" a="1"/>
  <c r="T10" i="26" s="1"/>
  <c r="R9" i="26" a="1"/>
  <c r="R9" i="26" s="1"/>
  <c r="K53" i="17" l="1"/>
  <c r="AM114" i="13"/>
  <c r="I25" i="19"/>
  <c r="H115" i="23"/>
  <c r="D11" i="26"/>
  <c r="D15" i="26" s="1"/>
  <c r="O11" i="26"/>
  <c r="O24" i="26" s="1"/>
  <c r="O21" i="26"/>
  <c r="H38" i="26"/>
  <c r="H39" i="26" s="1"/>
  <c r="J8" i="19"/>
  <c r="L8" i="19" s="1"/>
  <c r="L5" i="19"/>
  <c r="P4" i="26"/>
  <c r="E4" i="26"/>
  <c r="E6" i="26" s="1"/>
  <c r="AP120" i="13"/>
  <c r="J48" i="9"/>
  <c r="D49" i="9"/>
  <c r="I47" i="9"/>
  <c r="C48" i="9"/>
  <c r="AO114" i="13"/>
  <c r="AQ111" i="13"/>
  <c r="AQ110" i="13" s="1"/>
  <c r="AQ114" i="13" s="1"/>
  <c r="AQ129" i="13"/>
  <c r="V12" i="26" a="1"/>
  <c r="V12" i="26" s="1"/>
  <c r="AN97" i="13"/>
  <c r="AN95" i="13"/>
  <c r="AN130" i="13"/>
  <c r="AN132" i="13" s="1"/>
  <c r="AO96" i="13"/>
  <c r="AO99" i="13"/>
  <c r="AP93" i="13" a="1"/>
  <c r="AP93" i="13" s="1"/>
  <c r="AP129" i="13"/>
  <c r="AP111" i="13"/>
  <c r="AP110" i="13" s="1"/>
  <c r="AP114" i="13" s="1"/>
  <c r="AR113" i="13"/>
  <c r="R13" i="26" a="1"/>
  <c r="R13" i="26" s="1"/>
  <c r="S9" i="26" a="1"/>
  <c r="S9" i="26" s="1"/>
  <c r="S8" i="26" a="1"/>
  <c r="S8" i="26" s="1"/>
  <c r="U10" i="26" a="1"/>
  <c r="U10" i="26" s="1"/>
  <c r="V10" i="26" s="1" a="1"/>
  <c r="V10" i="26" s="1"/>
  <c r="I28" i="19" l="1"/>
  <c r="I27" i="19"/>
  <c r="J55" i="17" s="1"/>
  <c r="O17" i="26"/>
  <c r="O19" i="26" s="1"/>
  <c r="O15" i="26"/>
  <c r="I38" i="26" s="1"/>
  <c r="I39" i="26" s="1"/>
  <c r="D17" i="26"/>
  <c r="D19" i="26" s="1"/>
  <c r="E18" i="26" s="1"/>
  <c r="J26" i="19"/>
  <c r="L26" i="19" s="1"/>
  <c r="AO126" i="13"/>
  <c r="AO130" i="13" s="1"/>
  <c r="AO132" i="13" s="1"/>
  <c r="Q4" i="26"/>
  <c r="P6" i="26"/>
  <c r="P21" i="26" s="1"/>
  <c r="J49" i="9"/>
  <c r="D50" i="9"/>
  <c r="I48" i="9"/>
  <c r="C49" i="9"/>
  <c r="AS113" i="13"/>
  <c r="AR129" i="13"/>
  <c r="AR111" i="13"/>
  <c r="AR110" i="13" s="1"/>
  <c r="AR114" i="13" s="1"/>
  <c r="E14" i="26"/>
  <c r="P14" i="26"/>
  <c r="S13" i="26" a="1"/>
  <c r="S13" i="26" s="1"/>
  <c r="W12" i="26" a="1"/>
  <c r="W12" i="26" s="1"/>
  <c r="X12" i="26" s="1" a="1"/>
  <c r="X12" i="26" s="1"/>
  <c r="AO97" i="13"/>
  <c r="AO95" i="13"/>
  <c r="J25" i="19"/>
  <c r="J27" i="19" s="1"/>
  <c r="K55" i="17" s="1"/>
  <c r="AP96" i="13"/>
  <c r="AP99" i="13"/>
  <c r="AP126" i="13" s="1"/>
  <c r="AQ93" i="13" a="1"/>
  <c r="AQ93" i="13" s="1"/>
  <c r="W10" i="26" a="1"/>
  <c r="W10" i="26" s="1"/>
  <c r="X10" i="26" s="1" a="1"/>
  <c r="X10" i="26" s="1"/>
  <c r="T9" i="26" a="1"/>
  <c r="T9" i="26" s="1"/>
  <c r="T8" i="26" a="1"/>
  <c r="T8" i="26" s="1"/>
  <c r="J38" i="26" l="1"/>
  <c r="J39" i="26" s="1"/>
  <c r="Q6" i="26"/>
  <c r="Q21" i="26" s="1"/>
  <c r="R4" i="26"/>
  <c r="I49" i="9"/>
  <c r="C50" i="9"/>
  <c r="D51" i="9"/>
  <c r="J50" i="9"/>
  <c r="AQ96" i="13"/>
  <c r="K38" i="17" s="1"/>
  <c r="AQ99" i="13"/>
  <c r="AR93" i="13" a="1"/>
  <c r="AR93" i="13" s="1"/>
  <c r="AS129" i="13"/>
  <c r="AS111" i="13"/>
  <c r="AS110" i="13" s="1"/>
  <c r="AS114" i="13" s="1"/>
  <c r="AP130" i="13"/>
  <c r="AP132" i="13" s="1"/>
  <c r="AT113" i="13"/>
  <c r="AP97" i="13"/>
  <c r="AP95" i="13"/>
  <c r="L25" i="19"/>
  <c r="J28" i="19"/>
  <c r="L28" i="19" s="1"/>
  <c r="T13" i="26" a="1"/>
  <c r="T13" i="26" s="1"/>
  <c r="U13" i="26" s="1" a="1"/>
  <c r="U13" i="26" s="1"/>
  <c r="Y12" i="26" a="1"/>
  <c r="Y12" i="26" s="1"/>
  <c r="Z12" i="26" s="1" a="1"/>
  <c r="Z12" i="26" s="1"/>
  <c r="Q14" i="26" a="1"/>
  <c r="Q14" i="26" s="1"/>
  <c r="U8" i="26" a="1"/>
  <c r="U8" i="26" s="1"/>
  <c r="V8" i="26" s="1" a="1"/>
  <c r="V8" i="26" s="1"/>
  <c r="U9" i="26" a="1"/>
  <c r="U9" i="26" s="1"/>
  <c r="V9" i="26" s="1" a="1"/>
  <c r="V9" i="26" s="1"/>
  <c r="W9" i="26" s="1" a="1"/>
  <c r="W9" i="26" s="1"/>
  <c r="X9" i="26" s="1" a="1"/>
  <c r="X9" i="26" s="1"/>
  <c r="Y9" i="26" s="1" a="1"/>
  <c r="Y9" i="26" s="1"/>
  <c r="Z9" i="26" s="1" a="1"/>
  <c r="Z9" i="26" s="1"/>
  <c r="AA9" i="26" s="1" a="1"/>
  <c r="AA9" i="26" s="1"/>
  <c r="Y10" i="26" a="1"/>
  <c r="Y10" i="26" s="1"/>
  <c r="Z10" i="26" s="1" a="1"/>
  <c r="Z10" i="26" s="1"/>
  <c r="K38" i="26" l="1"/>
  <c r="AQ126" i="13"/>
  <c r="AQ130" i="13" s="1"/>
  <c r="AQ132" i="13" s="1"/>
  <c r="J17" i="19" a="1"/>
  <c r="J17" i="19" s="1"/>
  <c r="L17" i="19" s="1"/>
  <c r="S4" i="26"/>
  <c r="R6" i="26"/>
  <c r="R21" i="26" s="1"/>
  <c r="D52" i="9"/>
  <c r="J51" i="9"/>
  <c r="C51" i="9"/>
  <c r="I50" i="9"/>
  <c r="AT129" i="13"/>
  <c r="AT111" i="13"/>
  <c r="AT110" i="13" s="1"/>
  <c r="AT114" i="13" s="1"/>
  <c r="V13" i="26" a="1"/>
  <c r="V13" i="26" s="1"/>
  <c r="AU113" i="13"/>
  <c r="AA12" i="26" a="1"/>
  <c r="AA12" i="26" s="1"/>
  <c r="AR99" i="13"/>
  <c r="AR96" i="13"/>
  <c r="AS93" i="13" a="1"/>
  <c r="AS93" i="13" s="1"/>
  <c r="AQ97" i="13"/>
  <c r="AQ95" i="13"/>
  <c r="R14" i="26" a="1"/>
  <c r="R14" i="26" s="1"/>
  <c r="AA10" i="26" a="1"/>
  <c r="AA10" i="26" s="1"/>
  <c r="W8" i="26" a="1"/>
  <c r="W8" i="26" s="1"/>
  <c r="X8" i="26" s="1" a="1"/>
  <c r="X8" i="26" s="1"/>
  <c r="E11" i="26" l="1"/>
  <c r="E15" i="26" s="1"/>
  <c r="P11" i="26"/>
  <c r="P15" i="26" s="1"/>
  <c r="AR126" i="13"/>
  <c r="AR130" i="13" s="1"/>
  <c r="AR132" i="13" s="1"/>
  <c r="S6" i="26"/>
  <c r="S21" i="26" s="1"/>
  <c r="T4" i="26"/>
  <c r="C52" i="9"/>
  <c r="I51" i="9"/>
  <c r="D53" i="9"/>
  <c r="J52" i="9"/>
  <c r="S14" i="26" a="1"/>
  <c r="S14" i="26" s="1"/>
  <c r="T14" i="26" s="1" a="1"/>
  <c r="T14" i="26" s="1"/>
  <c r="AS99" i="13"/>
  <c r="AS96" i="13"/>
  <c r="AT93" i="13" a="1"/>
  <c r="AT93" i="13" s="1"/>
  <c r="AR95" i="13"/>
  <c r="AR97" i="13"/>
  <c r="W13" i="26" a="1"/>
  <c r="W13" i="26" s="1"/>
  <c r="AU129" i="13"/>
  <c r="AU111" i="13"/>
  <c r="AU110" i="13" s="1"/>
  <c r="AU114" i="13" s="1"/>
  <c r="Y8" i="26" a="1"/>
  <c r="Y8" i="26" s="1"/>
  <c r="P24" i="26" l="1"/>
  <c r="Q11" i="26"/>
  <c r="Q15" i="26" s="1"/>
  <c r="E17" i="26"/>
  <c r="E19" i="26" s="1"/>
  <c r="P17" i="26"/>
  <c r="P19" i="26" s="1"/>
  <c r="AS126" i="13"/>
  <c r="AS130" i="13" s="1"/>
  <c r="AS132" i="13" s="1"/>
  <c r="T6" i="26"/>
  <c r="T21" i="26" s="1"/>
  <c r="U4" i="26"/>
  <c r="D54" i="9"/>
  <c r="J53" i="9"/>
  <c r="C53" i="9"/>
  <c r="I52" i="9"/>
  <c r="U14" i="26" a="1"/>
  <c r="U14" i="26" s="1"/>
  <c r="V14" i="26" s="1" a="1"/>
  <c r="V14" i="26" s="1"/>
  <c r="W14" i="26" s="1" a="1"/>
  <c r="W14" i="26" s="1"/>
  <c r="AT99" i="13"/>
  <c r="AT96" i="13"/>
  <c r="AU93" i="13" a="1"/>
  <c r="AU93" i="13" s="1"/>
  <c r="X13" i="26" a="1"/>
  <c r="X13" i="26" s="1"/>
  <c r="AS95" i="13"/>
  <c r="AS97" i="13"/>
  <c r="Z8" i="26" a="1"/>
  <c r="Z8" i="26" s="1"/>
  <c r="Q17" i="26" l="1"/>
  <c r="Q19" i="26" s="1"/>
  <c r="Q24" i="26"/>
  <c r="R11" i="26"/>
  <c r="AT126" i="13"/>
  <c r="AT130" i="13" s="1"/>
  <c r="AT132" i="13" s="1"/>
  <c r="U6" i="26"/>
  <c r="U21" i="26" s="1"/>
  <c r="V4" i="26"/>
  <c r="I53" i="9"/>
  <c r="C54" i="9"/>
  <c r="J54" i="9"/>
  <c r="D55" i="9"/>
  <c r="AU99" i="13"/>
  <c r="AU96" i="13"/>
  <c r="AT95" i="13"/>
  <c r="AT97" i="13"/>
  <c r="X14" i="26" a="1"/>
  <c r="X14" i="26" s="1"/>
  <c r="Y13" i="26" a="1"/>
  <c r="Y13" i="26" s="1"/>
  <c r="Z13" i="26" s="1" a="1"/>
  <c r="Z13" i="26" s="1"/>
  <c r="AA13" i="26" s="1" a="1"/>
  <c r="AA13" i="26" s="1"/>
  <c r="AA8" i="26" a="1"/>
  <c r="AA8" i="26" s="1"/>
  <c r="R24" i="26" l="1"/>
  <c r="S11" i="26"/>
  <c r="R15" i="26"/>
  <c r="R17" i="26"/>
  <c r="R19" i="26" s="1"/>
  <c r="AU126" i="13"/>
  <c r="AU130" i="13" s="1"/>
  <c r="AU132" i="13" s="1"/>
  <c r="W4" i="26"/>
  <c r="V6" i="26"/>
  <c r="V21" i="26" s="1"/>
  <c r="I54" i="9"/>
  <c r="C55" i="9"/>
  <c r="J55" i="9"/>
  <c r="D56" i="9"/>
  <c r="AU95" i="13"/>
  <c r="AU97" i="13"/>
  <c r="Y14" i="26" a="1"/>
  <c r="Y14" i="26" s="1"/>
  <c r="Z14" i="26" s="1" a="1"/>
  <c r="Z14" i="26" s="1"/>
  <c r="T11" i="26" l="1"/>
  <c r="S15" i="26"/>
  <c r="S24" i="26"/>
  <c r="S17" i="26"/>
  <c r="S19" i="26" s="1"/>
  <c r="W6" i="26"/>
  <c r="W21" i="26" s="1"/>
  <c r="X4" i="26"/>
  <c r="D57" i="9"/>
  <c r="J56" i="9"/>
  <c r="I55" i="9"/>
  <c r="C56" i="9"/>
  <c r="AA14" i="26" a="1"/>
  <c r="AA14" i="26" s="1"/>
  <c r="T17" i="26" l="1"/>
  <c r="T19" i="26" s="1"/>
  <c r="U11" i="26"/>
  <c r="T24" i="26"/>
  <c r="T15" i="26"/>
  <c r="X6" i="26"/>
  <c r="X21" i="26" s="1"/>
  <c r="Y4" i="26"/>
  <c r="C57" i="9"/>
  <c r="I56" i="9"/>
  <c r="D58" i="9"/>
  <c r="J57" i="9"/>
  <c r="U24" i="26" l="1"/>
  <c r="U15" i="26"/>
  <c r="U17" i="26"/>
  <c r="U19" i="26" s="1"/>
  <c r="V11" i="26"/>
  <c r="Y6" i="26"/>
  <c r="Y21" i="26" s="1"/>
  <c r="Z4" i="26"/>
  <c r="D59" i="9"/>
  <c r="J58" i="9"/>
  <c r="C58" i="9"/>
  <c r="I57" i="9"/>
  <c r="V15" i="26" l="1"/>
  <c r="V24" i="26"/>
  <c r="V17" i="26"/>
  <c r="V19" i="26" s="1"/>
  <c r="W11" i="26"/>
  <c r="AA4" i="26"/>
  <c r="AA6" i="26" s="1"/>
  <c r="AA21" i="26" s="1"/>
  <c r="Z6" i="26"/>
  <c r="Z21" i="26" s="1"/>
  <c r="C59" i="9"/>
  <c r="I58" i="9"/>
  <c r="D60" i="9"/>
  <c r="J59" i="9"/>
  <c r="W15" i="26" l="1"/>
  <c r="W17" i="26"/>
  <c r="W19" i="26" s="1"/>
  <c r="X11" i="26"/>
  <c r="W24" i="26"/>
  <c r="J60" i="9"/>
  <c r="D61" i="9"/>
  <c r="I59" i="9"/>
  <c r="C60" i="9"/>
  <c r="X15" i="26" l="1"/>
  <c r="X17" i="26"/>
  <c r="X19" i="26" s="1"/>
  <c r="Y11" i="26"/>
  <c r="X24" i="26"/>
  <c r="J61" i="9"/>
  <c r="D62" i="9"/>
  <c r="I60" i="9"/>
  <c r="C61" i="9"/>
  <c r="Z11" i="26" l="1"/>
  <c r="Y24" i="26"/>
  <c r="Y15" i="26"/>
  <c r="Y17" i="26"/>
  <c r="Y19" i="26" s="1"/>
  <c r="I61" i="9"/>
  <c r="C62" i="9"/>
  <c r="D63" i="9"/>
  <c r="J63" i="9" s="1"/>
  <c r="J62" i="9"/>
  <c r="AA11" i="26" l="1"/>
  <c r="Z24" i="26"/>
  <c r="Z15" i="26"/>
  <c r="Z17" i="26"/>
  <c r="Z19" i="26" s="1"/>
  <c r="C63" i="9"/>
  <c r="I63" i="9" s="1"/>
  <c r="I62" i="9"/>
  <c r="AA24" i="26" l="1"/>
  <c r="AA15" i="26"/>
  <c r="AA17" i="26"/>
  <c r="AA19"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KENNEDY Michael  * DAS</author>
  </authors>
  <commentList>
    <comment ref="Y99" authorId="0" shapeId="0" xr:uid="{00000000-0006-0000-0000-000001000000}">
      <text>
        <r>
          <rPr>
            <b/>
            <sz val="9"/>
            <color indexed="81"/>
            <rFont val="Tahoma"/>
            <family val="2"/>
          </rPr>
          <t>KENNEDY Michael  * DAS:</t>
        </r>
        <r>
          <rPr>
            <sz val="9"/>
            <color indexed="81"/>
            <rFont val="Tahoma"/>
            <family val="2"/>
          </rPr>
          <t xml:space="preserve">
Adjusted to reflect impact of Pandemic.</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U:\Clean Fuels\Clean Fuels DB.accdb" keepAlive="1" name="Clean Fuels DB"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2" xr16:uid="{00000000-0015-0000-FFFF-FFFF01000000}" sourceFile="U:\Clean Fuels\Clean Fuels DB.accdb" keepAlive="1" name="Clean Fuels DB1" type="5" refreshedVersion="6">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ref_constants" commandType="3"/>
  </connection>
  <connection id="3" xr16:uid="{00000000-0015-0000-FFFF-FFFF02000000}" sourceFile="U:\Clean Fuels\Clean Fuels DB.accdb" keepAlive="1" name="Clean Fuels DB2" type="5" refreshedVersion="7" saveData="1">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p_facility" commandType="3"/>
  </connection>
  <connection id="4" xr16:uid="{00000000-0015-0000-FFFF-FFFF03000000}" sourceFile="U:\Clean Fuels\Clean Fuels DB.accdb" keepAlive="1" name="Clean Fuels DB3" type="5" refreshedVersion="7">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fdata" commandType="3"/>
  </connection>
  <connection id="5" xr16:uid="{00000000-0015-0000-FFFF-FFFF04000000}" sourceFile="U:\Clean Fuels\Clean Fuels DB.accdb" keepAlive="1" name="Clean Fuels DB4" type="5" refreshedVersion="8">
    <dbPr connection="Provider=Microsoft.ACE.OLEDB.12.0;User ID=Admin;Data Source=U:\Clean Fuels\Clean Fuels DB.accdb;Mode=ReadWrite;Extended Properties=&quot;&quot;;Jet OLEDB:System database=&quot;&quot;;Jet OLEDB:Registry Path=&quot;&quot;;Jet OLEDB:Engine Type=6;Jet OLEDB:Database Locking Mode=1;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view_constants" commandType="3"/>
  </connection>
  <connection id="6" xr16:uid="{293A8FAC-0966-41E5-B4AC-E3B7A9204EE3}" keepAlive="1" name="WDDASSQLL03 Clean_Fuels_Forecast CFF_QY_VW_constants"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constants&quot;" commandType="3"/>
  </connection>
  <connection id="7" xr16:uid="{F66B5FCE-2E20-4F3C-B789-9F538C2D8D0E}" keepAlive="1" name="WDDASSQLL03 Clean_Fuels_Forecast CFF_QY_VW_facility"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facility&quot;" commandType="3"/>
  </connection>
  <connection id="8" xr16:uid="{D255EF77-5D1E-4D02-83AC-FA41914E4112}" keepAlive="1" name="WDDASSQLL03 Clean_Fuels_Forecast CFF_QY_VW_master" type="5" refreshedVersion="8" background="1" saveData="1">
    <dbPr connection="Provider=SQLOLEDB.1;Integrated Security=SSPI;Persist Security Info=True;Initial Catalog=Clean_Fuels_Forecast;Data Source=WDDASSQLL05\DEV1;Use Procedure for Prepare=1;Auto Translate=True;Packet Size=4096;Workstation ID=ORDAS00139;Use Encryption for Data=False;Tag with column collation when possible=False" command="&quot;Clean_Fuels_Forecast&quot;.&quot;dbo&quot;.&quot;CFF_QY_VW_master&quot;" commandType="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<sst xmlns="http://schemas.openxmlformats.org/spreadsheetml/2006/main" count="2021" uniqueCount="931">
  <si>
    <t>- -</t>
  </si>
  <si>
    <t>Energy Use &amp; Related Statistics</t>
  </si>
  <si>
    <t>Motor Gasoline</t>
  </si>
  <si>
    <t>Diesel</t>
  </si>
  <si>
    <t>Gasoline</t>
  </si>
  <si>
    <t>Ethanol</t>
  </si>
  <si>
    <t>Renewable Diesel</t>
  </si>
  <si>
    <t>Biodiesel</t>
  </si>
  <si>
    <t>Electricity</t>
  </si>
  <si>
    <t>units</t>
  </si>
  <si>
    <t>Natural Gas</t>
  </si>
  <si>
    <t>Propane</t>
  </si>
  <si>
    <t>IA</t>
  </si>
  <si>
    <t>MN</t>
  </si>
  <si>
    <t>NE</t>
  </si>
  <si>
    <t>ND</t>
  </si>
  <si>
    <t>OR</t>
  </si>
  <si>
    <t>SD</t>
  </si>
  <si>
    <t>Hydrogen</t>
  </si>
  <si>
    <t>Year</t>
  </si>
  <si>
    <t>Kerosene</t>
  </si>
  <si>
    <t>Credit / Deficit Summary</t>
  </si>
  <si>
    <t>Deficits</t>
  </si>
  <si>
    <t>Credits</t>
  </si>
  <si>
    <t>Electricity, on-road</t>
  </si>
  <si>
    <t>Electricity, off-road</t>
  </si>
  <si>
    <t>BEV</t>
  </si>
  <si>
    <t>PHEV</t>
  </si>
  <si>
    <t>Total</t>
  </si>
  <si>
    <t>Blendstock</t>
  </si>
  <si>
    <t>Biogas</t>
  </si>
  <si>
    <t>MMmtCO2</t>
  </si>
  <si>
    <t>Energy Use &amp; Related Statistics: Carbon Dioxide Emissions: Reference case</t>
  </si>
  <si>
    <t>tons carbon dioxide)</t>
  </si>
  <si>
    <t>Carbon Dioxide Emissions (million metric</t>
  </si>
  <si>
    <t>billion 2009 $</t>
  </si>
  <si>
    <t>Energy Use &amp; Related Statistics: Gross Domestic Product: Reference case</t>
  </si>
  <si>
    <t>Gross Domestic Product (billion 2009 dollars)</t>
  </si>
  <si>
    <t>millions</t>
  </si>
  <si>
    <t>Energy Use &amp; Related Statistics: Population: Reference case</t>
  </si>
  <si>
    <t>Population (millions)</t>
  </si>
  <si>
    <t>quads</t>
  </si>
  <si>
    <t>Energy Use &amp; Related Statistics: Ethanol Consumed in Motor Gasoline and E85: Reference case</t>
  </si>
  <si>
    <t>Ethanol Consumed in Motor Gasoline and E85</t>
  </si>
  <si>
    <t>Energy Use &amp; Related Statistics: Total Energy Use: Reference case</t>
  </si>
  <si>
    <t>Total Energy Use</t>
  </si>
  <si>
    <t>Energy Use &amp; Related Statistics: Delivered Energy Use: Reference case</t>
  </si>
  <si>
    <t>Delivered Energy Use</t>
  </si>
  <si>
    <t>Energy Use: Total: Total: Reference case</t>
  </si>
  <si>
    <t>Energy Use: Total: Electricity Imports: Reference case</t>
  </si>
  <si>
    <t>Electricity Imports</t>
  </si>
  <si>
    <t>Energy Use: Total: Non-biogenic Municipal Waste: Reference case</t>
  </si>
  <si>
    <t>Non-biogenic Municipal Waste</t>
  </si>
  <si>
    <t>Energy Use: Total: Hydrogen: Reference case</t>
  </si>
  <si>
    <t>Energy Use: Total: Renewable Energy: Reference case</t>
  </si>
  <si>
    <t>Renewable Energy</t>
  </si>
  <si>
    <t>Energy Use: Total: Biofuels Heat and Coproducts: Reference case</t>
  </si>
  <si>
    <t>Biofuels Heat and Coproducts</t>
  </si>
  <si>
    <t>Energy Use: Total: Nuclear: Reference case</t>
  </si>
  <si>
    <t>Nuclear / Uranium</t>
  </si>
  <si>
    <t>Energy Use: Total: Coal Subtotal: Reference case</t>
  </si>
  <si>
    <t>Coal Subtotal</t>
  </si>
  <si>
    <t>Energy Use: Total: Net Coal Coke Imports: Reference case</t>
  </si>
  <si>
    <t>Net Coal Coke Imports</t>
  </si>
  <si>
    <t>Energy Use: Total: Coal-to-Liquids Heat and Power: Reference case</t>
  </si>
  <si>
    <t>Coal-to-Liquids Heat and Power</t>
  </si>
  <si>
    <t>Energy Use: Total: Other Coal: Reference case</t>
  </si>
  <si>
    <t>Other Coal</t>
  </si>
  <si>
    <t>Energy Use: Total: Metallurgical Coal: Reference case</t>
  </si>
  <si>
    <t>Metallurgical Coal</t>
  </si>
  <si>
    <t>Energy Use: Total: Natural Gas Subtotal: Reference case</t>
  </si>
  <si>
    <t>Natural Gas Subtotal</t>
  </si>
  <si>
    <t>Energy Use: Total: Pipeline Natural Gas: Reference case</t>
  </si>
  <si>
    <t>Pipeline and Distribution Fuel Natural Gas</t>
  </si>
  <si>
    <t>Energy Use: Total: Liquefaction: Reference case</t>
  </si>
  <si>
    <t>Natural Gas to Liquefy Gas for Export</t>
  </si>
  <si>
    <t>Energy Use: Total: Lease and Plant Fuel: Reference case</t>
  </si>
  <si>
    <t>Lease and Plant Fuel</t>
  </si>
  <si>
    <t>Energy Use: Total: Natural-Gas-to-Liquids Heat and Power: Reference case</t>
  </si>
  <si>
    <t>Natural-Gas-to-Liquids Heat and Power</t>
  </si>
  <si>
    <t>Energy Use: Total: Natural Gas: Reference case</t>
  </si>
  <si>
    <t>Energy Use: Total: Liquid Fuels Subtotal: Reference case</t>
  </si>
  <si>
    <t>Petroleum and Other Liquids Subtotal</t>
  </si>
  <si>
    <t>Energy Use: Total: Other Petroleum: Reference case</t>
  </si>
  <si>
    <t>Other Petroleum</t>
  </si>
  <si>
    <t>Energy Use: Total: Petrochemical Feedstocks: Reference case</t>
  </si>
  <si>
    <t>Petrochemical Feedstocks</t>
  </si>
  <si>
    <t>Energy Use: Total: Residual Fuel Oil: Reference case</t>
  </si>
  <si>
    <t>Residual Fuel Oil</t>
  </si>
  <si>
    <t>Energy Use: Total: Distillate Fuel Oil: Reference case</t>
  </si>
  <si>
    <t>Distillate Fuel Oil</t>
  </si>
  <si>
    <t>Energy Use: Total: Kerosene: Reference case</t>
  </si>
  <si>
    <t>Energy Use: Total: Jet Fuel: Reference case</t>
  </si>
  <si>
    <t>Jet Fuel</t>
  </si>
  <si>
    <t>Energy Use: Total: E85: Reference case</t>
  </si>
  <si>
    <t>of which:  E85</t>
  </si>
  <si>
    <t>Energy Use: Total: Motor Gasoline: Reference case</t>
  </si>
  <si>
    <t>Energy Use: Total: Liquefied Petroleum Gases: Reference case</t>
  </si>
  <si>
    <t>Liquefied Petroleum Gases and Other</t>
  </si>
  <si>
    <t>Total Energy Consumption</t>
  </si>
  <si>
    <t>Energy Use: Electric Power: Total: Reference case</t>
  </si>
  <si>
    <t>Energy Use: Electric Power: Electricity Imports: Reference case</t>
  </si>
  <si>
    <t>Energy Use: Electric Power: Non-biogenic Municipal Waste: Reference case</t>
  </si>
  <si>
    <t>Energy Use: Electric Power: Renewable Energy: Reference case</t>
  </si>
  <si>
    <t>Energy Use: Electric Power: Nuclear: Reference case</t>
  </si>
  <si>
    <t>Energy Use: Electric Power: Steam Coal: Reference case</t>
  </si>
  <si>
    <t>Steam Coal</t>
  </si>
  <si>
    <t>Energy Use: Electric Power: Natural Gas: Reference case</t>
  </si>
  <si>
    <t>Energy Use: Electric Power: Liquid Fuels Subtotal: Reference case</t>
  </si>
  <si>
    <t>Energy Use: Electric Power: Residual Fuel Oil: Reference case</t>
  </si>
  <si>
    <t>Energy Use: Electric Power: Distillate Fuel Oil: Reference case</t>
  </si>
  <si>
    <t>Electric Power</t>
  </si>
  <si>
    <t>Energy Use: Delivered: All Sectors: Total: Reference case</t>
  </si>
  <si>
    <t>Energy Use: Delivered: All Sectors: Electricity Related Losses: Reference case</t>
  </si>
  <si>
    <t>Electricity Related Losses</t>
  </si>
  <si>
    <t>Energy Use: Delivered: All Sectors: Delivered Energy: Reference case</t>
  </si>
  <si>
    <t>Delivered Energy</t>
  </si>
  <si>
    <t>Energy Use: Delivered: All Sectors: Electricity: Reference case</t>
  </si>
  <si>
    <t>Energy Use: Delivered: All Sectors: Hydrogen: Reference case</t>
  </si>
  <si>
    <t>Energy Use: Delivered: All Sectors: Renewable Energy: Reference case</t>
  </si>
  <si>
    <t>Energy Use: Delivered: All Sectors: Biofuels Heat and Coproducts: Reference case</t>
  </si>
  <si>
    <t>Energy Use: Delivered: All Sectors: Coal Subtotal: Reference case</t>
  </si>
  <si>
    <t>Energy Use: Delivered: All Sectors: Net Coal Coke Imports: Reference case</t>
  </si>
  <si>
    <t>Energy Use: Delivered: All Sectors: Coal-to-Liquids Heat and Power: Reference case</t>
  </si>
  <si>
    <t>Energy Use: Delivered: All Sectors: Other Coal: Reference case</t>
  </si>
  <si>
    <t>Energy Use: Delivered: All Sectors: Metallurgical Coal: Reference case</t>
  </si>
  <si>
    <t>Energy Use: Delivered: All Sectors: Natural Gas Subtotal: Reference case</t>
  </si>
  <si>
    <t>Energy Use: Delivered: All Sectors: Pipeline Natural Gas: Reference case</t>
  </si>
  <si>
    <t>Energy Use: Delivered: All Sectors: Liquefaction: Reference case</t>
  </si>
  <si>
    <t>Energy Use: Delivered: All Sectors: Lease and Plant Fuel: Reference case</t>
  </si>
  <si>
    <t>Energy Use: Delivered: All Sectors: Natural-Gas-to-Liquids Heat and Power: Reference case</t>
  </si>
  <si>
    <t>Energy Use: Delivered: All Sectors: Natural Gas: Reference case</t>
  </si>
  <si>
    <t>Energy Use: Delivered: All Sectors: Liquid Fuels Subtotal: Reference case</t>
  </si>
  <si>
    <t>Energy Use: Delivered: All Sectors: Other Petroleum: Reference case</t>
  </si>
  <si>
    <t>Energy Use: Delivered: All Sectors: Petrochemical Feedstocks: Reference case</t>
  </si>
  <si>
    <t>Energy Use: Delivered: All Sectors: Residual Fuel Oil: Reference case</t>
  </si>
  <si>
    <t>Energy Use: Delivered: All Sectors: Distillate Fuel Oil: Reference case</t>
  </si>
  <si>
    <t>Energy Use: Delivered: All Sectors: Kerosene: Reference case</t>
  </si>
  <si>
    <t>Energy Use: Delivered: All Sectors: Jet Fuel: Reference case</t>
  </si>
  <si>
    <t>Energy Use: Delivered: All Sectors: E85: Reference case</t>
  </si>
  <si>
    <t>Energy Use: Delivered: All Sectors: Motor Gasoline: Reference case</t>
  </si>
  <si>
    <t>Energy Use: Delivered: All Sectors: Liquefied Petroleum Gases: Reference case</t>
  </si>
  <si>
    <t xml:space="preserve"> All Sectors</t>
  </si>
  <si>
    <t>Delivered Energy Consumption</t>
  </si>
  <si>
    <t>Energy Use: Unspecified: Total: Reference case</t>
  </si>
  <si>
    <t>Unspecified Sector</t>
  </si>
  <si>
    <t>Energy Use: Transportation: Total: Reference case</t>
  </si>
  <si>
    <t>Energy Use: Transportation: Electricity Related Losses: Reference case</t>
  </si>
  <si>
    <t>Energy Use: Transportation: Delivered Energy: Reference case</t>
  </si>
  <si>
    <t>Energy Use: Transportation: Electricity: Reference case</t>
  </si>
  <si>
    <t>Energy Use: Transportation: Hydrogen: Reference case</t>
  </si>
  <si>
    <t>Energy Use: Transportation: Natural Gas: Reference case</t>
  </si>
  <si>
    <t>Compressed / Liquefied Natural Gas</t>
  </si>
  <si>
    <t>Energy Use: Transportation: Pipeline Fuel Natural Gas: Reference case</t>
  </si>
  <si>
    <t>Energy Use: Transportation: Liquid Fuels Subtotal: Reference case</t>
  </si>
  <si>
    <t>Energy Use: Transportation: Other Petroleum: Reference case</t>
  </si>
  <si>
    <t>Energy Use: Transportation: Residual Fuel Oil: Reference case</t>
  </si>
  <si>
    <t>Energy Use: Transportation: Distillate Fuel Oil: Reference case</t>
  </si>
  <si>
    <t>Energy Use: Transportation: Jet Fuel: Reference case</t>
  </si>
  <si>
    <t>Energy Use: Transportation: E85: Reference case</t>
  </si>
  <si>
    <t>Energy Use: Transportation: Motor Gasoline: Reference case</t>
  </si>
  <si>
    <t>Energy Use: Transportation: Propane: Reference case</t>
  </si>
  <si>
    <t>Transportation</t>
  </si>
  <si>
    <t>Energy Use: Industrial: Total: Reference case</t>
  </si>
  <si>
    <t>Energy Use: Industrial: Electricity Related Losses: Reference case</t>
  </si>
  <si>
    <t>Energy Use: Industrial: Delivered Energy: Reference case</t>
  </si>
  <si>
    <t>Energy Use: Industrial: Electricity: Reference case</t>
  </si>
  <si>
    <t>Energy Use: Industrial: Renewable Energy: Reference case</t>
  </si>
  <si>
    <t>Energy Use: Industrial: Biofuels Heat and Coproducts: Reference case</t>
  </si>
  <si>
    <t>Energy Use: Industrial: Coal Subtotal: Reference case</t>
  </si>
  <si>
    <t>Energy Use: Industrial: Net Coal Coke Imports: Reference case</t>
  </si>
  <si>
    <t>Energy Use: Industrial: Coal-to-Liquids Heat and Power: Reference case</t>
  </si>
  <si>
    <t>Energy Use: Industrial: Other Industrial Coal: Reference case</t>
  </si>
  <si>
    <t>Other Industrial Coal</t>
  </si>
  <si>
    <t>Energy Use: Industrial: Metallurgical Coal: Reference case</t>
  </si>
  <si>
    <t>Energy Use: Industrial: Natural Gas Subtotal: Reference case</t>
  </si>
  <si>
    <t>Energy Use: Industrial: Lease and Plant Fuel: Reference case</t>
  </si>
  <si>
    <t>Energy Use: Industrial: Natural-Gas-to-Liquids Heat and Power: Reference case</t>
  </si>
  <si>
    <t>Energy Use: Industrial: Natural Gas: Reference case</t>
  </si>
  <si>
    <t>Energy Use: Industrial: Liquid Fuels Subtotal: Reference case</t>
  </si>
  <si>
    <t>Energy Use: Industrial: Other Petroleum: Reference case</t>
  </si>
  <si>
    <t>Energy Use: Industrial: Petrochemical Feedstocks: Reference case</t>
  </si>
  <si>
    <t>Energy Use: Industrial: Residual Fuel Oil: Reference case</t>
  </si>
  <si>
    <t>Energy Use: Industrial: Distillate Fuel Oil: Reference case</t>
  </si>
  <si>
    <t>Energy Use: Industrial: Motor Gasoline: Reference case</t>
  </si>
  <si>
    <t>Energy Use: Industrial: Liquefied Petroleum Gases: Reference case</t>
  </si>
  <si>
    <t>Industrial</t>
  </si>
  <si>
    <t>Energy Use: Commercial: Total: Reference case</t>
  </si>
  <si>
    <t>Energy Use: Commercial: Electricity Related Losses: Reference case</t>
  </si>
  <si>
    <t>Energy Use: Commercial: Delivered Energy: Reference case</t>
  </si>
  <si>
    <t>Energy Use: Commercial: Electricity: Reference case</t>
  </si>
  <si>
    <t>Energy Use: Commercial: Renewable Energy: Reference case</t>
  </si>
  <si>
    <t>Energy Use: Commercial: Coal: Reference case</t>
  </si>
  <si>
    <t>Coal</t>
  </si>
  <si>
    <t>Energy Use: Commercial: Natural Gas: Reference case</t>
  </si>
  <si>
    <t>Energy Use: Commercial: Liquid Fuels Subtotal: Reference case</t>
  </si>
  <si>
    <t>Energy Use: Commercial: Residual Fuel Oil: Reference case</t>
  </si>
  <si>
    <t>Energy Use: Commercial: Distillate Fuel Oil: Reference case</t>
  </si>
  <si>
    <t>Energy Use: Commercial: Kerosene: Reference case</t>
  </si>
  <si>
    <t>Energy Use: Commercial: Motor Gasoline: Reference case</t>
  </si>
  <si>
    <t>Energy Use: Commercial: Propane: Reference case</t>
  </si>
  <si>
    <t>Commercial</t>
  </si>
  <si>
    <t>Energy Use: Residential: Total: Reference case</t>
  </si>
  <si>
    <t>Energy Use: Residential: Electricity Related Losses: Reference case</t>
  </si>
  <si>
    <t>Energy Use: Residential: Delivered Energy: Reference case</t>
  </si>
  <si>
    <t>Energy Use: Residential: Electricity: Reference case</t>
  </si>
  <si>
    <t>Energy Use: Residential: Renewable Energy: Reference case</t>
  </si>
  <si>
    <t>Energy Use: Residential: Natural Gas: Reference case</t>
  </si>
  <si>
    <t>Energy Use: Residential: Liquid Fuels Subtotal: Reference case</t>
  </si>
  <si>
    <t>Energy Use: Residential: Distillate Fuel Oil: Reference case</t>
  </si>
  <si>
    <t>Energy Use: Residential: Propane: Reference case</t>
  </si>
  <si>
    <t>Residential</t>
  </si>
  <si>
    <t>api key</t>
  </si>
  <si>
    <t>full name</t>
  </si>
  <si>
    <t>Source: U.S. Energy Information Administration</t>
  </si>
  <si>
    <t>Qtr</t>
  </si>
  <si>
    <t>Annual Averages</t>
  </si>
  <si>
    <t>Std Deviation</t>
  </si>
  <si>
    <t>Total Net Credits/Deficits</t>
  </si>
  <si>
    <t>period</t>
  </si>
  <si>
    <t>data_type</t>
  </si>
  <si>
    <t>credit</t>
  </si>
  <si>
    <t>deficit</t>
  </si>
  <si>
    <t>volume</t>
  </si>
  <si>
    <t>fuel_name</t>
  </si>
  <si>
    <t>Diesel_Renew</t>
  </si>
  <si>
    <t>Bio_CNG</t>
  </si>
  <si>
    <t>Bio_LNG</t>
  </si>
  <si>
    <t>Diesel_B20</t>
  </si>
  <si>
    <t>Diesel_B5</t>
  </si>
  <si>
    <t>Electricity_Off</t>
  </si>
  <si>
    <t>Electricity_On</t>
  </si>
  <si>
    <t>Ethanol&lt;55</t>
  </si>
  <si>
    <t>Ethanol&gt;75</t>
  </si>
  <si>
    <t>Ethanol55-65</t>
  </si>
  <si>
    <t>Ethanol65-75</t>
  </si>
  <si>
    <t>Fossil_CNG</t>
  </si>
  <si>
    <t>Gasoline_E10</t>
  </si>
  <si>
    <t>Liq_Petroleum</t>
  </si>
  <si>
    <t>fuel_type</t>
  </si>
  <si>
    <t>Alternative</t>
  </si>
  <si>
    <t>Alternative Total</t>
  </si>
  <si>
    <t>Fossil</t>
  </si>
  <si>
    <t>Fossil Total</t>
  </si>
  <si>
    <t>Sum of quantity</t>
  </si>
  <si>
    <t>Fossil_LNG</t>
  </si>
  <si>
    <t>PHEV (baseline)</t>
  </si>
  <si>
    <t>PHEV (high)</t>
  </si>
  <si>
    <t>PHEV (low)</t>
  </si>
  <si>
    <t>BEV (baseline)</t>
  </si>
  <si>
    <t>BEV (high)</t>
  </si>
  <si>
    <t>BEV (low)</t>
  </si>
  <si>
    <t>Total (high)</t>
  </si>
  <si>
    <t>Total (low)</t>
  </si>
  <si>
    <t>2-AEO2019.159.ref2019-d111618a</t>
  </si>
  <si>
    <t>2-AEO2019.158.</t>
  </si>
  <si>
    <t>2-AEO2019.157.ref2019-d111618a</t>
  </si>
  <si>
    <t>2-AEO2019.156.ref2019-d111618a</t>
  </si>
  <si>
    <t>2-AEO2019.155.ref2019-d111618a</t>
  </si>
  <si>
    <t>2-AEO2019.154.ref2019-d111618a</t>
  </si>
  <si>
    <t>2-AEO2019.153.ref2019-d111618a</t>
  </si>
  <si>
    <t>2-AEO2019.152.</t>
  </si>
  <si>
    <t>2-AEO2019.150.ref2019-d111618a</t>
  </si>
  <si>
    <t>2-AEO2019.149.ref2019-d111618a</t>
  </si>
  <si>
    <t>2-AEO2019.148.ref2019-d111618a</t>
  </si>
  <si>
    <t>2-AEO2019.147.ref2019-d111618a</t>
  </si>
  <si>
    <t>2-AEO2019.146.ref2019-d111618a</t>
  </si>
  <si>
    <t>2-AEO2019.145.ref2019-d111618a</t>
  </si>
  <si>
    <t>2-AEO2019.144.ref2019-d111618a</t>
  </si>
  <si>
    <t>2-AEO2019.143.ref2019-d111618a</t>
  </si>
  <si>
    <t>2-AEO2019.142.ref2019-d111618a</t>
  </si>
  <si>
    <t>2-AEO2019.141.ref2019-d111618a</t>
  </si>
  <si>
    <t>2-AEO2019.140.ref2019-d111618a</t>
  </si>
  <si>
    <t>2-AEO2019.139.ref2019-d111618a</t>
  </si>
  <si>
    <t>2-AEO2019.138.ref2019-d111618a</t>
  </si>
  <si>
    <t>2-AEO2019.137.ref2019-d111618a</t>
  </si>
  <si>
    <t>2-AEO2019.136.ref2019-d111618a</t>
  </si>
  <si>
    <t>2-AEO2019.135.ref2019-d111618a</t>
  </si>
  <si>
    <t>2-AEO2019.134.ref2019-d111618a</t>
  </si>
  <si>
    <t>2-AEO2019.133.ref2019-d111618a</t>
  </si>
  <si>
    <t>2-AEO2019.132.ref2019-d111618a</t>
  </si>
  <si>
    <t>2-AEO2019.131.ref2019-d111618a</t>
  </si>
  <si>
    <t>2-AEO2019.130.ref2019-d111618a</t>
  </si>
  <si>
    <t>2-AEO2019.129.ref2019-d111618a</t>
  </si>
  <si>
    <t>2-AEO2019.128.ref2019-d111618a</t>
  </si>
  <si>
    <t>2-AEO2019.127.ref2019-d111618a</t>
  </si>
  <si>
    <t>2-AEO2019.126.ref2019-d111618a</t>
  </si>
  <si>
    <t>2-AEO2019.125.ref2019-d111618a</t>
  </si>
  <si>
    <t>2-AEO2019.124.ref2019-d111618a</t>
  </si>
  <si>
    <t>2-AEO2019.123.ref2019-d111618a</t>
  </si>
  <si>
    <t>2-AEO2019.122.</t>
  </si>
  <si>
    <t>2-AEO2019.120.ref2019-d111618a</t>
  </si>
  <si>
    <t>2-AEO2019.119.ref2019-d111618a</t>
  </si>
  <si>
    <t>2-AEO2019.118.ref2019-d111618a</t>
  </si>
  <si>
    <t>2-AEO2019.117.ref2019-d111618a</t>
  </si>
  <si>
    <t>2-AEO2019.116.ref2019-d111618a</t>
  </si>
  <si>
    <t>2-AEO2019.115.ref2019-d111618a</t>
  </si>
  <si>
    <t>2-AEO2019.114.ref2019-d111618a</t>
  </si>
  <si>
    <t>2-AEO2019.113.ref2019-d111618a</t>
  </si>
  <si>
    <t>2-AEO2019.112.ref2019-d111618a</t>
  </si>
  <si>
    <t>2-AEO2019.111.ref2019-d111618a</t>
  </si>
  <si>
    <t>2-AEO2019.110.</t>
  </si>
  <si>
    <t>2-AEO2019.107.ref2019-d111618a</t>
  </si>
  <si>
    <t>2-AEO2019.106.ref2019-d111618a</t>
  </si>
  <si>
    <t>2-AEO2019.105.ref2019-d111618a</t>
  </si>
  <si>
    <t>2-AEO2019.104.ref2019-d111618a</t>
  </si>
  <si>
    <t>2-AEO2019.103.ref2019-d111618a</t>
  </si>
  <si>
    <t>2-AEO2019.102.ref2019-d111618a</t>
  </si>
  <si>
    <t>2-AEO2019.101.ref2019-d111618a</t>
  </si>
  <si>
    <t>2-AEO2019.100.ref2019-d111618a</t>
  </si>
  <si>
    <t>2-AEO2019.99.ref2019-d111618a</t>
  </si>
  <si>
    <t>2-AEO2019.98.ref2019-d111618a</t>
  </si>
  <si>
    <t>2-AEO2019.97.ref2019-d111618a</t>
  </si>
  <si>
    <t>2-AEO2019.96.ref2019-d111618a</t>
  </si>
  <si>
    <t>2-AEO2019.95.ref2019-d111618a</t>
  </si>
  <si>
    <t>2-AEO2019.94.ref2019-d111618a</t>
  </si>
  <si>
    <t>2-AEO2019.93.ref2019-d111618a</t>
  </si>
  <si>
    <t>2-AEO2019.92.ref2019-d111618a</t>
  </si>
  <si>
    <t>2-AEO2019.91.ref2019-d111618a</t>
  </si>
  <si>
    <t>2-AEO2019.90.ref2019-d111618a</t>
  </si>
  <si>
    <t>2-AEO2019.89.ref2019-d111618a</t>
  </si>
  <si>
    <t>2-AEO2019.88.ref2019-d111618a</t>
  </si>
  <si>
    <t>2-AEO2019.87.ref2019-d111618a</t>
  </si>
  <si>
    <t>2-AEO2019.86.ref2019-d111618a</t>
  </si>
  <si>
    <t>2-AEO2019.85.ref2019-d111618a</t>
  </si>
  <si>
    <t>2-AEO2019.84.ref2019-d111618a</t>
  </si>
  <si>
    <t>2-AEO2019.83.ref2019-d111618a</t>
  </si>
  <si>
    <t>2-AEO2019.82.ref2019-d111618a</t>
  </si>
  <si>
    <t>2-AEO2019.81.ref2019-d111618a</t>
  </si>
  <si>
    <t>2-AEO2019.80.ref2019-d111618a</t>
  </si>
  <si>
    <t>2-AEO2019.79.</t>
  </si>
  <si>
    <t>2-AEO2019.77.ref2019-d111618a</t>
  </si>
  <si>
    <t>2-AEO2019.73.</t>
  </si>
  <si>
    <t>2-AEO2019.71.ref2019-d111618a</t>
  </si>
  <si>
    <t>2-AEO2019.70.ref2019-d111618a</t>
  </si>
  <si>
    <t>2-AEO2019.69.ref2019-d111618a</t>
  </si>
  <si>
    <t>2-AEO2019.68.ref2019-d111618a</t>
  </si>
  <si>
    <t>2-AEO2019.67.ref2019-d111618a</t>
  </si>
  <si>
    <t>2-AEO2019.66.ref2019-d111618a</t>
  </si>
  <si>
    <t>2-AEO2019.65.ref2019-d111618a</t>
  </si>
  <si>
    <t>2-AEO2019.64.ref2019-d111618a</t>
  </si>
  <si>
    <t>2-AEO2019.63.ref2019-d111618a</t>
  </si>
  <si>
    <t>2-AEO2019.62.ref2019-d111618a</t>
  </si>
  <si>
    <t>2-AEO2019.61.ref2019-d111618a</t>
  </si>
  <si>
    <t>2-AEO2019.60.ref2019-d111618a</t>
  </si>
  <si>
    <t>2-AEO2019.59.ref2019-d111618a</t>
  </si>
  <si>
    <t>2-AEO2019.58.ref2019-d111618a</t>
  </si>
  <si>
    <t>2-AEO2019.57.ref2019-d111618a</t>
  </si>
  <si>
    <t>2-AEO2019.56.</t>
  </si>
  <si>
    <t>2-AEO2019.53.ref2019-d111618a</t>
  </si>
  <si>
    <t>2-AEO2019.52.ref2019-d111618a</t>
  </si>
  <si>
    <t>2-AEO2019.51.ref2019-d111618a</t>
  </si>
  <si>
    <t>2-AEO2019.50.ref2019-d111618a</t>
  </si>
  <si>
    <t>2-AEO2019.49.ref2019-d111618a</t>
  </si>
  <si>
    <t>2-AEO2019.48.ref2019-d111618a</t>
  </si>
  <si>
    <t>2-AEO2019.47.ref2019-d111618a</t>
  </si>
  <si>
    <t>2-AEO2019.46.ref2019-d111618a</t>
  </si>
  <si>
    <t>2-AEO2019.45.ref2019-d111618a</t>
  </si>
  <si>
    <t>2-AEO2019.43.ref2019-d111618a</t>
  </si>
  <si>
    <t>2-AEO2019.42.ref2019-d111618a</t>
  </si>
  <si>
    <t>2-AEO2019.41.ref2019-d111618a</t>
  </si>
  <si>
    <t>2-AEO2019.39.ref2019-d111618a</t>
  </si>
  <si>
    <t>2-AEO2019.38.ref2019-d111618a</t>
  </si>
  <si>
    <t>2-AEO2019.37.ref2019-d111618a</t>
  </si>
  <si>
    <t>2-AEO2019.36.ref2019-d111618a</t>
  </si>
  <si>
    <t>2-AEO2019.35.ref2019-d111618a</t>
  </si>
  <si>
    <t>2-AEO2019.34.ref2019-d111618a</t>
  </si>
  <si>
    <t>2-AEO2019.33.ref2019-d111618a</t>
  </si>
  <si>
    <t>2-AEO2019.32.ref2019-d111618a</t>
  </si>
  <si>
    <t>2-AEO2019.31.ref2019-d111618a</t>
  </si>
  <si>
    <t>2-AEO2019.30.ref2019-d111618a</t>
  </si>
  <si>
    <t>2-AEO2019.29.</t>
  </si>
  <si>
    <t>2-AEO2019.27.ref2019-d111618a</t>
  </si>
  <si>
    <t>2-AEO2019.26.ref2019-d111618a</t>
  </si>
  <si>
    <t>2-AEO2019.25.ref2019-d111618a</t>
  </si>
  <si>
    <t>2-AEO2019.24.ref2019-d111618a</t>
  </si>
  <si>
    <t>2-AEO2019.23.ref2019-d111618a</t>
  </si>
  <si>
    <t>2-AEO2019.22.ref2019-d111618a</t>
  </si>
  <si>
    <t>2-AEO2019.21.ref2019-d111618a</t>
  </si>
  <si>
    <t>2-AEO2019.20.ref2019-d111618a</t>
  </si>
  <si>
    <t>2-AEO2019.19.ref2019-d111618a</t>
  </si>
  <si>
    <t>2-AEO2019.18.ref2019-d111618a</t>
  </si>
  <si>
    <t>2-AEO2019.17.ref2019-d111618a</t>
  </si>
  <si>
    <t>2-AEO2019.16.ref2019-d111618a</t>
  </si>
  <si>
    <t>2-AEO2019.15.ref2019-d111618a</t>
  </si>
  <si>
    <t>2-AEO2019.14.</t>
  </si>
  <si>
    <t>2-AEO2019.12.ref2019-d111618a</t>
  </si>
  <si>
    <t>2-AEO2019.11.ref2019-d111618a</t>
  </si>
  <si>
    <t>2-AEO2019.10.ref2019-d111618a</t>
  </si>
  <si>
    <t>2-AEO2019.9.ref2019-d111618a</t>
  </si>
  <si>
    <t>2-AEO2019.8.ref2019-d111618a</t>
  </si>
  <si>
    <t>2-AEO2019.7.ref2019-d111618a</t>
  </si>
  <si>
    <t>2-AEO2019.6.ref2019-d111618a</t>
  </si>
  <si>
    <t>2-AEO2019.5.ref2019-d111618a</t>
  </si>
  <si>
    <t>2-AEO2019.3.ref2019-d111618a</t>
  </si>
  <si>
    <t>2-AEO2019.2.</t>
  </si>
  <si>
    <t>Growth (2018-2050)</t>
  </si>
  <si>
    <t>24-AEO2019.62.ref2019-d111618a</t>
  </si>
  <si>
    <t>Renewable Energy: Nonmarketed Selected Use: Commercial: Wind: Reference case</t>
  </si>
  <si>
    <t>Wind</t>
  </si>
  <si>
    <t>24-AEO2019.61.ref2019-d111618a</t>
  </si>
  <si>
    <t>Renewable Energy: Nonmarketed Selected Use: Commercial: Solar Photovoltaic: Reference case</t>
  </si>
  <si>
    <t>Solar Photovoltaic</t>
  </si>
  <si>
    <t>24-AEO2019.60.ref2019-d111618a</t>
  </si>
  <si>
    <t>Renewable Energy: Nonmarketed Selected Use: Commercial: Solar Thermal: Reference case</t>
  </si>
  <si>
    <t>Solar Thermal</t>
  </si>
  <si>
    <t>24-AEO2019.59.ref2019-d111618a</t>
  </si>
  <si>
    <t>Renewable Energy: Nonmarketed Selected Use: Commercial: Reference case</t>
  </si>
  <si>
    <t>24-AEO2019.57.ref2019-d111618a</t>
  </si>
  <si>
    <t>Renewable Energy: Nonmarketed Selected Use: Residential: Wind: Reference case</t>
  </si>
  <si>
    <t>24-AEO2019.56.ref2019-d111618a</t>
  </si>
  <si>
    <t>Renewable Energy: Nonmarketed Selected Use: Residential: Solar Photovoltaic: Reference case</t>
  </si>
  <si>
    <t>24-AEO2019.55.ref2019-d111618a</t>
  </si>
  <si>
    <t>Renewable Energy: Nonmarketed Selected Use: Residential: Geothermal Heat Pumps: Reference case</t>
  </si>
  <si>
    <t>Geothermal Heat Pumps</t>
  </si>
  <si>
    <t>24-AEO2019.54.ref2019-d111618a</t>
  </si>
  <si>
    <t>Renewable Energy: Nonmarketed Selected Use: Residential: Solar Hot Water Heating: Reference case</t>
  </si>
  <si>
    <t>Solar Hot Water Heating</t>
  </si>
  <si>
    <t>24-AEO2019.53.ref2019-d111618a</t>
  </si>
  <si>
    <t>Renewable Energy: Nonmarketed Selected Use: Residential: Reference case</t>
  </si>
  <si>
    <t>24-AEO2019.51.</t>
  </si>
  <si>
    <t>Selected Consumption</t>
  </si>
  <si>
    <t>24-AEO2019.50.</t>
  </si>
  <si>
    <t>Nonmarketed Renewable Energy</t>
  </si>
  <si>
    <t>24-AEO2019.39.ref2019-d111618a</t>
  </si>
  <si>
    <t>Renewable Energy: Total U.S. Supply of Ethanol: Reference case</t>
  </si>
  <si>
    <t>Total U.S. Supply of Ethanol</t>
  </si>
  <si>
    <t>24-AEO2019.38.ref2019-d111618a</t>
  </si>
  <si>
    <t>Renewable Energy: Sources of Ethanol: Net Imports: Reference case</t>
  </si>
  <si>
    <t>Net Imports</t>
  </si>
  <si>
    <t>24-AEO2019.37.ref2019-d111618a</t>
  </si>
  <si>
    <t>Renewable Energy: Sources of Ethanol: From Cellulose: Reference case</t>
  </si>
  <si>
    <t>From Cellulose</t>
  </si>
  <si>
    <t>24-AEO2019.36.ref2019-d111618a</t>
  </si>
  <si>
    <t>Renewable Energy: Sources of Ethanol: From Corn: Reference case</t>
  </si>
  <si>
    <t>From Corn and Other Starch</t>
  </si>
  <si>
    <t>24-AEO2019.35.</t>
  </si>
  <si>
    <t>Sources of Ethanol</t>
  </si>
  <si>
    <t>24-AEO2019.33.ref2019-d111618a</t>
  </si>
  <si>
    <t>Renewable Energy: Total Marketed Renewable Energy Use: Reference case</t>
  </si>
  <si>
    <t>Total Marketed Renewable Energy</t>
  </si>
  <si>
    <t>24-AEO2019.31.ref2019-d111618a</t>
  </si>
  <si>
    <t>Renewable Energy: Marketed Use: Electric Power: Wind: Reference case</t>
  </si>
  <si>
    <t>24-AEO2019.30.ref2019-d111618a</t>
  </si>
  <si>
    <t>Renewable Energy: Marketed Use: Electric Power: Solar Photovoltaic: Reference case</t>
  </si>
  <si>
    <t>24-AEO2019.29.ref2019-d111618a</t>
  </si>
  <si>
    <t>Renewable Energy: Marketed Use: Electric Power: Solar Thermal: Reference case</t>
  </si>
  <si>
    <t>24-AEO2019.28.ref2019-d111618a</t>
  </si>
  <si>
    <t>Renewable Energy: Marketed Use: Electric Power: Biomass: Cofiring: Reference case</t>
  </si>
  <si>
    <t>Cofiring</t>
  </si>
  <si>
    <t>24-AEO2019.27.ref2019-d111618a</t>
  </si>
  <si>
    <t>Renewable Energy: Marketed Use: Electric Power: Biomass: Dedicated Plants: Reference case</t>
  </si>
  <si>
    <t>Dedicated Plants</t>
  </si>
  <si>
    <t>24-AEO2019.26.ref2019-d111618a</t>
  </si>
  <si>
    <t>Renewable Energy: Marketed Use: Electric Power: Biomass: Reference case</t>
  </si>
  <si>
    <t>Biomass</t>
  </si>
  <si>
    <t>24-AEO2019.25.ref2019-d111618a</t>
  </si>
  <si>
    <t>Renewable Energy: Marketed Use: Electric Power: Biogenic Municipal Waste: Reference case</t>
  </si>
  <si>
    <t>Biogenic Municipal Waste</t>
  </si>
  <si>
    <t>24-AEO2019.24.ref2019-d111618a</t>
  </si>
  <si>
    <t>Renewable Energy: Marketed Use: Electric Power: Geothermal: Reference case</t>
  </si>
  <si>
    <t>Geothermal</t>
  </si>
  <si>
    <t>24-AEO2019.23.ref2019-d111618a</t>
  </si>
  <si>
    <t>Renewable Energy: Marketed Use: Electric Power: Hydropower: Reference case</t>
  </si>
  <si>
    <t>Conventional Hydroelectric Power</t>
  </si>
  <si>
    <t>24-AEO2019.22.ref2019-d111618a</t>
  </si>
  <si>
    <t>Renewable Energy: Marketed Use: Electric Power: Reference case</t>
  </si>
  <si>
    <t>24-AEO2019.20.ref2019-d111618a</t>
  </si>
  <si>
    <t>Renewable Energy: Marketed Use: Transportation: Green Liquids: Reference case</t>
  </si>
  <si>
    <t>Renewable Diesel and Gasoline</t>
  </si>
  <si>
    <t>24-AEO2019.19.ref2019-d111618a</t>
  </si>
  <si>
    <t>Renewable Energy: Marketed Use: Transportation: Liquids from Biomass: Reference case</t>
  </si>
  <si>
    <t>Liquids from Biomass</t>
  </si>
  <si>
    <t>24-AEO2019.18.ref2019-d111618a</t>
  </si>
  <si>
    <t>Renewable Energy: Marketed Use: Transportation: Biobutanol: Reference case</t>
  </si>
  <si>
    <t>Biobutanol</t>
  </si>
  <si>
    <t>24-AEO2019.17.ref2019-d111618a</t>
  </si>
  <si>
    <t>Renewable Energy: Marketed Use: Transportation: Biodiesel used in Distillate Blending: Reference case</t>
  </si>
  <si>
    <t>Biodiesel used in Distillate Blending</t>
  </si>
  <si>
    <t>24-AEO2019.16.ref2019-d111618a</t>
  </si>
  <si>
    <t>Renewable Energy: Marketed Use: Transportation: Ethanol used in Gasoline Blending: Reference case</t>
  </si>
  <si>
    <t>Ethanol used in Gasoline Blending</t>
  </si>
  <si>
    <t>24-AEO2019.15.ref2019-d111618a</t>
  </si>
  <si>
    <t>Renewable Energy: Marketed Use: Transportation: Ethanol used in E85: Reference case</t>
  </si>
  <si>
    <t>Ethanol used in E85</t>
  </si>
  <si>
    <t>24-AEO2019.14.ref2019-d111618a</t>
  </si>
  <si>
    <t>Renewable Energy: Marketed Use: Transportation: Reference case</t>
  </si>
  <si>
    <t>24-AEO2019.12.ref2019-d111618a</t>
  </si>
  <si>
    <t>Renewable Energy: Marketed Use: Industrial: Biofuels Heat and Coproducts: Reference case</t>
  </si>
  <si>
    <t>24-AEO2019.11.ref2019-d111618a</t>
  </si>
  <si>
    <t>Renewable Energy: Marketed Use: Industrial: Biomass: Reference case</t>
  </si>
  <si>
    <t>24-AEO2019.10.ref2019-d111618a</t>
  </si>
  <si>
    <t>Renewable Energy: Marketed Use: Industrial: Municipal Waste: Reference case</t>
  </si>
  <si>
    <t>Municipal Waste</t>
  </si>
  <si>
    <t>24-AEO2019.9.ref2019-d111618a</t>
  </si>
  <si>
    <t>Renewable Energy: Marketed Use: Industrial: Hydropower: Reference case</t>
  </si>
  <si>
    <t>24-AEO2019.8.ref2019-d111618a</t>
  </si>
  <si>
    <t>Renewable Energy: Marketed Use: Industrial: Reference case</t>
  </si>
  <si>
    <t>24-AEO2019.6.ref2019-d111618a</t>
  </si>
  <si>
    <t>Renewable Energy: Marketed Use: Commercial: Biomass: Reference case</t>
  </si>
  <si>
    <t>Commercial (biomass)</t>
  </si>
  <si>
    <t>24-AEO2019.4.ref2019-d111618a</t>
  </si>
  <si>
    <t>Renewable Energy: Marketed Use: Residential: Wood: Reference case</t>
  </si>
  <si>
    <t>Residential (wood)</t>
  </si>
  <si>
    <t>24-AEO2019.2.</t>
  </si>
  <si>
    <t>Marketed Renewable Energy1</t>
  </si>
  <si>
    <t>Pinned Series</t>
  </si>
  <si>
    <t>Clean Fuels Program</t>
  </si>
  <si>
    <t>Total Diesel</t>
  </si>
  <si>
    <t>EIA National Outlook</t>
  </si>
  <si>
    <t>(Mil. gallons, percent)</t>
  </si>
  <si>
    <t>Conventional Gasoline</t>
  </si>
  <si>
    <t>Ethanol Blend Rate</t>
  </si>
  <si>
    <t>Fossil Diesel</t>
  </si>
  <si>
    <t>Biodiesel Blend Rate</t>
  </si>
  <si>
    <t>Renew diesel Blend Rate</t>
  </si>
  <si>
    <t>Electricity (on-road)</t>
  </si>
  <si>
    <t>Electricity (off-road)</t>
  </si>
  <si>
    <t>Fossil Natural Gas</t>
  </si>
  <si>
    <t>Biogas Blend Rate</t>
  </si>
  <si>
    <t>Total Natural Gas</t>
  </si>
  <si>
    <t>ODOT Diesel Forecast</t>
  </si>
  <si>
    <t>Growth Rates by Fuel Type, EIA vs. ODOT vs. CFP/OEA</t>
  </si>
  <si>
    <t>ODOT Gasoline Forecast</t>
  </si>
  <si>
    <t>parameter_name</t>
  </si>
  <si>
    <t>gasoline</t>
  </si>
  <si>
    <t>diesel</t>
  </si>
  <si>
    <t>gasoline_E10</t>
  </si>
  <si>
    <t>Jet_Fuel</t>
  </si>
  <si>
    <t>EnDen</t>
  </si>
  <si>
    <t>CI_Target</t>
  </si>
  <si>
    <t>CI_Actual</t>
  </si>
  <si>
    <t>Parameter</t>
  </si>
  <si>
    <t>Sum of value</t>
  </si>
  <si>
    <t>Grand Total</t>
  </si>
  <si>
    <t>Yuma</t>
  </si>
  <si>
    <t>Sterling</t>
  </si>
  <si>
    <t>Benson</t>
  </si>
  <si>
    <t>Hankinson</t>
  </si>
  <si>
    <t>Trenton</t>
  </si>
  <si>
    <t>Adams</t>
  </si>
  <si>
    <t>Jackson</t>
  </si>
  <si>
    <t>Plainview</t>
  </si>
  <si>
    <t>Madrid</t>
  </si>
  <si>
    <t>Bridgeport</t>
  </si>
  <si>
    <t>Boardman</t>
  </si>
  <si>
    <t>Redfield</t>
  </si>
  <si>
    <t>Chancellor</t>
  </si>
  <si>
    <t>Mina</t>
  </si>
  <si>
    <t>Hudson</t>
  </si>
  <si>
    <t>Richardton</t>
  </si>
  <si>
    <t>Wentworth</t>
  </si>
  <si>
    <t>Energy
Density</t>
  </si>
  <si>
    <t>Carbon Intensity
Target</t>
  </si>
  <si>
    <t>Liq. Petroleum Gas</t>
  </si>
  <si>
    <t>Deficit Total</t>
  </si>
  <si>
    <t>Credit Total</t>
  </si>
  <si>
    <t>CBOB</t>
  </si>
  <si>
    <t>Renewable NG</t>
  </si>
  <si>
    <t>Blend Rate</t>
  </si>
  <si>
    <t>Fossil NG</t>
  </si>
  <si>
    <t>Residential electricity</t>
  </si>
  <si>
    <t>Total electricity</t>
  </si>
  <si>
    <t>Res percent</t>
  </si>
  <si>
    <t>Volumes Reported</t>
  </si>
  <si>
    <t>Conventional Diesel</t>
  </si>
  <si>
    <t>Electricity-On</t>
  </si>
  <si>
    <t>Electricity-Off</t>
  </si>
  <si>
    <t>Fossil Nat. Gas</t>
  </si>
  <si>
    <t>Y/Y growth</t>
  </si>
  <si>
    <t>Total KWh</t>
  </si>
  <si>
    <t>Average Evs</t>
  </si>
  <si>
    <t>KWh/EV</t>
  </si>
  <si>
    <t>Total GGE</t>
  </si>
  <si>
    <t>value</t>
  </si>
  <si>
    <t>Growth Rate</t>
  </si>
  <si>
    <t>forecast_date</t>
  </si>
  <si>
    <t>Natural_Gas</t>
  </si>
  <si>
    <t>KWh_Vehicle</t>
  </si>
  <si>
    <t>Net Credit Total</t>
  </si>
  <si>
    <t>Off-road Electricity</t>
  </si>
  <si>
    <t>Clean Fuels Program Reported Data</t>
  </si>
  <si>
    <t>CI</t>
  </si>
  <si>
    <t>Carbon Intensities</t>
  </si>
  <si>
    <t>KWh_vehicle</t>
  </si>
  <si>
    <t>Table 2.  Energy Consumption by Sector and Source</t>
  </si>
  <si>
    <t>https://www.eia.gov/outlooks/aeo/data/browser/#/?id=2-AEO2020&amp;region=1-9&amp;cases=ref2020&amp;start=2018&amp;end=2050&amp;f=A&amp;linechart=ref2020-d112119a.3-2-AEO2020.1-9&amp;map=ref2020-d112119a.5-2-AEO2020.1-9&amp;sourcekey=0</t>
  </si>
  <si>
    <t>* reflects Q4 2018 versus Q4 2017.</t>
  </si>
  <si>
    <t>Deficit/Credit Derivation</t>
  </si>
  <si>
    <t>CFP Data Pivot Table</t>
  </si>
  <si>
    <t>Table 1: Clean Fuels Forecast - Reported Volumes</t>
  </si>
  <si>
    <t>Table 17.  Renewable Energy Consumption by Sector and Source</t>
  </si>
  <si>
    <t>https://www.eia.gov/outlooks/aeo/data/browser/#/?id=24-AEO2020&amp;cases=ref2020&amp;sourcekey=0</t>
  </si>
  <si>
    <t>Mon May 04 2020 11:06:03 GMT-0700 (Pacific Daylight Time)</t>
  </si>
  <si>
    <t>Table 2: Parameters for Clean Fuels Forecast</t>
  </si>
  <si>
    <t>Net Banked
Credits</t>
  </si>
  <si>
    <t>Table 3: Net Banked Credits</t>
  </si>
  <si>
    <t>Liq_Pet_Renew</t>
  </si>
  <si>
    <t>Fossil Deficit Total</t>
  </si>
  <si>
    <t>Alternative Credit Total</t>
  </si>
  <si>
    <t>Net Credits</t>
  </si>
  <si>
    <t>Cumulative Bank</t>
  </si>
  <si>
    <t>Credits and Deficits Over Time</t>
  </si>
  <si>
    <t>EIA Pacific Outlook</t>
  </si>
  <si>
    <t>Salem</t>
  </si>
  <si>
    <t>TX</t>
  </si>
  <si>
    <t>Albert Lea</t>
  </si>
  <si>
    <t>WA</t>
  </si>
  <si>
    <t>AR</t>
  </si>
  <si>
    <t>Batesville</t>
  </si>
  <si>
    <t>Mason City</t>
  </si>
  <si>
    <t>Hoquiam</t>
  </si>
  <si>
    <t>Lloydminster</t>
  </si>
  <si>
    <t>LA</t>
  </si>
  <si>
    <t>Geismar</t>
  </si>
  <si>
    <t>Sioux City</t>
  </si>
  <si>
    <t>Ravenna</t>
  </si>
  <si>
    <t>Onida</t>
  </si>
  <si>
    <t>Newton</t>
  </si>
  <si>
    <t>Low CI producer scenario</t>
  </si>
  <si>
    <t>Raw Data Check</t>
  </si>
  <si>
    <t>Final Data Check</t>
  </si>
  <si>
    <t>Reported Volumes Array</t>
  </si>
  <si>
    <t>Credits/Deficits Array</t>
  </si>
  <si>
    <t>Forecast Begins Here -&gt;&gt;&gt;&gt;&gt;&gt;&gt;&gt;&gt;</t>
  </si>
  <si>
    <t>Table 4: Credit and Deficit Summary</t>
  </si>
  <si>
    <t>EEReon</t>
  </si>
  <si>
    <t>EERng</t>
  </si>
  <si>
    <t>EERelect</t>
  </si>
  <si>
    <t>EER_NG</t>
  </si>
  <si>
    <t>Naming Convention</t>
  </si>
  <si>
    <t>T0</t>
  </si>
  <si>
    <t>Compliance Period</t>
  </si>
  <si>
    <t>T1</t>
  </si>
  <si>
    <t>One Year Prior to Compliance Period</t>
  </si>
  <si>
    <t>T2</t>
  </si>
  <si>
    <t>Two Years Prior to Compliance Period</t>
  </si>
  <si>
    <t>ED</t>
  </si>
  <si>
    <t>Energy Density</t>
  </si>
  <si>
    <t>CIT</t>
  </si>
  <si>
    <t>Carbon Intensity Target</t>
  </si>
  <si>
    <t>CIA</t>
  </si>
  <si>
    <t>Carbon Intensity Actual</t>
  </si>
  <si>
    <t>BR</t>
  </si>
  <si>
    <t>GR</t>
  </si>
  <si>
    <t>https://secure.sos.state.or.us/oard/viewSingleRule.action?ruleVrsnRsn=269347</t>
  </si>
  <si>
    <t>Link to the rule, from there find the ED and CI tables</t>
  </si>
  <si>
    <t>Final Parameter</t>
  </si>
  <si>
    <t>California</t>
  </si>
  <si>
    <t>Note: Final Deficits and Credits may not foot to the raw totals due to rounding</t>
  </si>
  <si>
    <t>Final CI assumptions based on combination of statistical measures, forecaster judgement, and input from the Clean Fuels Forecast Advisory Committee</t>
  </si>
  <si>
    <t>Forecast assumption</t>
  </si>
  <si>
    <t>2022F</t>
  </si>
  <si>
    <t>*</t>
  </si>
  <si>
    <t>Mon Apr 19 2021 06:15:24 GMT-0700 (Pacific Daylight Time)</t>
  </si>
  <si>
    <t>Oregon</t>
  </si>
  <si>
    <t>Prelim assumption</t>
  </si>
  <si>
    <t>Iowa Falls</t>
  </si>
  <si>
    <t>SAINT-THOMAS</t>
  </si>
  <si>
    <t>Avondale</t>
  </si>
  <si>
    <t>Lower bound</t>
  </si>
  <si>
    <r>
      <t>Motor Gasoline</t>
    </r>
    <r>
      <rPr>
        <sz val="11"/>
        <color theme="1"/>
        <rFont val="Calibri"/>
        <family val="2"/>
        <scheme val="minor"/>
      </rPr>
      <t xml:space="preserve"> (Y/Y change)</t>
    </r>
  </si>
  <si>
    <r>
      <t>Ethanol</t>
    </r>
    <r>
      <rPr>
        <sz val="11"/>
        <color theme="1"/>
        <rFont val="Calibri"/>
        <family val="2"/>
        <scheme val="minor"/>
      </rPr>
      <t xml:space="preserve"> (Y/Y change)</t>
    </r>
  </si>
  <si>
    <r>
      <t>Total Diesel</t>
    </r>
    <r>
      <rPr>
        <sz val="11"/>
        <color theme="1"/>
        <rFont val="Calibri"/>
        <family val="2"/>
        <scheme val="minor"/>
      </rPr>
      <t xml:space="preserve"> (Y/Y change)</t>
    </r>
  </si>
  <si>
    <r>
      <t>Biodiesel</t>
    </r>
    <r>
      <rPr>
        <sz val="11"/>
        <color theme="1"/>
        <rFont val="Calibri"/>
        <family val="2"/>
        <scheme val="minor"/>
      </rPr>
      <t xml:space="preserve"> (Y/Y change)</t>
    </r>
  </si>
  <si>
    <r>
      <t xml:space="preserve">Renewable Diesel </t>
    </r>
    <r>
      <rPr>
        <sz val="11"/>
        <color theme="1"/>
        <rFont val="Calibri"/>
        <family val="2"/>
        <scheme val="minor"/>
      </rPr>
      <t>(Y/Y change)</t>
    </r>
  </si>
  <si>
    <r>
      <t>Natural Gas</t>
    </r>
    <r>
      <rPr>
        <sz val="11"/>
        <color theme="1"/>
        <rFont val="Calibri"/>
        <family val="2"/>
        <scheme val="minor"/>
      </rPr>
      <t xml:space="preserve"> (Y/Y change)</t>
    </r>
  </si>
  <si>
    <r>
      <t xml:space="preserve">Liq. Petroleum Gas </t>
    </r>
    <r>
      <rPr>
        <sz val="11"/>
        <color theme="1"/>
        <rFont val="Calibri"/>
        <family val="2"/>
        <scheme val="minor"/>
      </rPr>
      <t>(Y/Y change)</t>
    </r>
  </si>
  <si>
    <t>CO</t>
  </si>
  <si>
    <t>ODOT Electric Vehicle</t>
  </si>
  <si>
    <t>IL</t>
  </si>
  <si>
    <t>Seneca</t>
  </si>
  <si>
    <t>Singapore</t>
  </si>
  <si>
    <t>CA</t>
  </si>
  <si>
    <t>Blaine</t>
  </si>
  <si>
    <t>Dickinson</t>
  </si>
  <si>
    <t>Liquified Petroleum Gas</t>
  </si>
  <si>
    <t>* OAR 340-253-8010  Table 4  Oregon Carbon Intensity Lookup Table</t>
  </si>
  <si>
    <t>**</t>
  </si>
  <si>
    <t>** OAR 340-253-8010  Table 6  Oregon Energy Densities of Fuels</t>
  </si>
  <si>
    <t>Those parameters not indicated with an asterisk are dictated from within the forecast process.</t>
  </si>
  <si>
    <t>*** OAR 340-253-8010  Table 7  Oregon Energy Economy Ratio Values for Fuels</t>
  </si>
  <si>
    <t>***</t>
  </si>
  <si>
    <t>2023F</t>
  </si>
  <si>
    <t>fuel_name2</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</si>
  <si>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</si>
  <si>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</si>
  <si>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</si>
  <si>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</si>
  <si>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</si>
  <si>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</si>
  <si>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</si>
  <si>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</si>
  <si>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</si>
  <si>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</si>
  <si>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</si>
  <si>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</si>
  <si>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</si>
  <si>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</si>
  <si>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</si>
  <si>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</si>
  <si>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</si>
  <si>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</si>
  <si>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</si>
  <si>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</si>
  <si>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</si>
  <si>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</si>
  <si>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</si>
  <si>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</si>
  <si>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On-road Electricity </t>
    </r>
    <r>
      <rPr>
        <sz val="11"/>
        <color theme="1"/>
        <rFont val="Calibri"/>
        <family val="2"/>
        <scheme val="minor"/>
      </rPr>
      <t>(Y/Y change)</t>
    </r>
  </si>
  <si>
    <r>
      <t xml:space="preserve">Off-road Electricity </t>
    </r>
    <r>
      <rPr>
        <sz val="11"/>
        <color theme="1"/>
        <rFont val="Calibri"/>
        <family val="2"/>
        <scheme val="minor"/>
      </rPr>
      <t>(Y/Y change)</t>
    </r>
  </si>
  <si>
    <t>2024F</t>
  </si>
  <si>
    <t>2025F</t>
  </si>
  <si>
    <t>2026F</t>
  </si>
  <si>
    <t>2027F</t>
  </si>
  <si>
    <t>2028F</t>
  </si>
  <si>
    <t>2029F</t>
  </si>
  <si>
    <t>2030F</t>
  </si>
  <si>
    <t>2031F</t>
  </si>
  <si>
    <t>2032F</t>
  </si>
  <si>
    <t>2033F</t>
  </si>
  <si>
    <t>2034F</t>
  </si>
  <si>
    <t>2035F</t>
  </si>
  <si>
    <t>On-road electricity %ch</t>
  </si>
  <si>
    <t>Deficit (inverse)</t>
  </si>
  <si>
    <t>Jewell</t>
  </si>
  <si>
    <t>Corning</t>
  </si>
  <si>
    <t>Mitchell</t>
  </si>
  <si>
    <t xml:space="preserve">Groton
</t>
  </si>
  <si>
    <t>Big Stone City</t>
  </si>
  <si>
    <t>Coon Rapids</t>
  </si>
  <si>
    <t>Watertown</t>
  </si>
  <si>
    <t>MI</t>
  </si>
  <si>
    <t>Sandusky</t>
  </si>
  <si>
    <t>PYEONGTAEK-SI</t>
  </si>
  <si>
    <t>CROSSETT</t>
  </si>
  <si>
    <t>CLEBURNE</t>
  </si>
  <si>
    <t>MS</t>
  </si>
  <si>
    <t>NEW ALBANY</t>
  </si>
  <si>
    <t>DANVILLE</t>
  </si>
  <si>
    <t>Velva</t>
  </si>
  <si>
    <t>Sgt. Bluff</t>
  </si>
  <si>
    <t>MO</t>
  </si>
  <si>
    <t>St. Joseph</t>
  </si>
  <si>
    <t>Lethbridge</t>
  </si>
  <si>
    <t>WI</t>
  </si>
  <si>
    <t>PA</t>
  </si>
  <si>
    <t>IMPERIAL</t>
  </si>
  <si>
    <t>KY</t>
  </si>
  <si>
    <t>Louisville</t>
  </si>
  <si>
    <t>Kersey</t>
  </si>
  <si>
    <t>Parameter (sq cu ft/gal)</t>
  </si>
  <si>
    <t>Gallons</t>
  </si>
  <si>
    <t>Reported Volume</t>
  </si>
  <si>
    <t>gas</t>
  </si>
  <si>
    <t>eth</t>
  </si>
  <si>
    <t>bio</t>
  </si>
  <si>
    <t>ren</t>
  </si>
  <si>
    <t>eon</t>
  </si>
  <si>
    <t>lp</t>
  </si>
  <si>
    <t>fcg</t>
  </si>
  <si>
    <t>flg</t>
  </si>
  <si>
    <t>Gasoling</t>
  </si>
  <si>
    <t>On-Road Electricity</t>
  </si>
  <si>
    <t>Compressed Natural Gas</t>
  </si>
  <si>
    <t>Liquified Natural Gas</t>
  </si>
  <si>
    <t>bgs</t>
  </si>
  <si>
    <t>KWh</t>
  </si>
  <si>
    <t>Kilowatt Hours per Vehicle</t>
  </si>
  <si>
    <t>EER</t>
  </si>
  <si>
    <t>Energy Efficiency Ratio</t>
  </si>
  <si>
    <t>2022 Q1</t>
  </si>
  <si>
    <t>2022 Q2</t>
  </si>
  <si>
    <t>2022 Q3</t>
  </si>
  <si>
    <t>2022 Q4</t>
  </si>
  <si>
    <t>2023 Q1</t>
  </si>
  <si>
    <t>2023 Q2</t>
  </si>
  <si>
    <t>2023 Q3</t>
  </si>
  <si>
    <t>2023 Q4</t>
  </si>
  <si>
    <t>Net Credits/Deficits</t>
  </si>
  <si>
    <t>Beginning Banked Credits</t>
  </si>
  <si>
    <t>Fossil LPG</t>
  </si>
  <si>
    <t>Renewable LPG</t>
  </si>
  <si>
    <t>Liquid Petroleum Gas</t>
  </si>
  <si>
    <t>annual %ch
vs. 2022</t>
  </si>
  <si>
    <t>2023Est.</t>
  </si>
  <si>
    <t>Electricity, non-res</t>
  </si>
  <si>
    <t>Electricity, res</t>
  </si>
  <si>
    <t>NR KWH/vehicle</t>
  </si>
  <si>
    <t>2024 Q1</t>
  </si>
  <si>
    <t>2024 Q2</t>
  </si>
  <si>
    <t>2024 Q3</t>
  </si>
  <si>
    <t>2024 Q4</t>
  </si>
  <si>
    <t>This workbook contains the forecasting model for the 2024 Clean Fuels forecast, administered by the Office of Economic Analysis (Oregon Department of Administrative Services) in coordination with the Clean Fuels Program (Oregon Department of Environmental Quality).
All questions regarding this model should be directed to:
Michael Kennedy
Senior Economist, Office of Economic Analysis
michael.kennedy@das.oregon.gov
(971) 678-5595</t>
  </si>
  <si>
    <t>Electricity_Res</t>
  </si>
  <si>
    <t>Volume is gallons, actual or gasoline and diesel equilvalents.  
Credits and deficits denoted in metric tons. 
CI equals Carbon Intensity 
Data published per DEQ at https://www.oregon.gov/deq/aq/programs/Pages/Clean-Fuels-Data.aspx</t>
  </si>
  <si>
    <t>state</t>
  </si>
  <si>
    <t>cfp_id</t>
  </si>
  <si>
    <t>city</t>
  </si>
  <si>
    <t>Atwater</t>
  </si>
  <si>
    <t>Sum of Capacity</t>
  </si>
  <si>
    <t>Delta</t>
  </si>
  <si>
    <t>Prior Forecast</t>
  </si>
  <si>
    <t>BEV (prior)</t>
  </si>
  <si>
    <t>PHEV (prior)</t>
  </si>
  <si>
    <t>https://www.eia.gov/outlooks/aeo/data/browser/#/?id=2-AEO2023&amp;region=1-9&amp;cases=ref2023&amp;start=2021&amp;end=2050&amp;f=A&amp;linechart=ref2023-d020623a.3-2-AEO2023.1-9&amp;map=ref2023-d020623a.4-2-AEO2023.1-9&amp;sourcekey=0</t>
  </si>
  <si>
    <t>Tue Jun 06 2023 11:15:04 GMT-0700 (Pacific Daylight Time)</t>
  </si>
  <si>
    <t>Purchased Electricity</t>
  </si>
  <si>
    <t>Hydrocarbon Gas Liquids</t>
  </si>
  <si>
    <t>ethanol (denatured) Consumed in Motor Gasolin</t>
  </si>
  <si>
    <t>Gross Domestic Product (billion 2012 dollars)</t>
  </si>
  <si>
    <t>https://www.eia.gov/outlooks/aeo/data/browser/#/?id=24-AEO2023&amp;cases=ref2023&amp;sourcekey=0</t>
  </si>
  <si>
    <t>Tue Jun 06 2023 11:29:47 GMT-0700 (Pacific Daylight Time)</t>
  </si>
  <si>
    <t>Marketed Renewable Energy</t>
  </si>
  <si>
    <t>Weighted Average CI</t>
  </si>
  <si>
    <t>Bio LPG</t>
  </si>
  <si>
    <t>LPG Blend Rate</t>
  </si>
  <si>
    <t>LPG</t>
  </si>
  <si>
    <t>On-road add factor:</t>
  </si>
  <si>
    <t>Non-res electricity</t>
  </si>
  <si>
    <t>2016-22
Ann. Growth</t>
  </si>
  <si>
    <t>Current forecast</t>
  </si>
  <si>
    <t>KWh/vehicle (res)</t>
  </si>
  <si>
    <t>CI Targets</t>
  </si>
  <si>
    <t>Actual Cis</t>
  </si>
  <si>
    <t>Renew Diesel</t>
  </si>
  <si>
    <t>Differences</t>
  </si>
  <si>
    <t>5504</t>
  </si>
  <si>
    <t>Canada</t>
  </si>
  <si>
    <t>6459</t>
  </si>
  <si>
    <t>6523</t>
  </si>
  <si>
    <t>6320</t>
  </si>
  <si>
    <t>4727</t>
  </si>
  <si>
    <t>5078</t>
  </si>
  <si>
    <t>5026</t>
  </si>
  <si>
    <t>6169</t>
  </si>
  <si>
    <t>4805</t>
  </si>
  <si>
    <t>4786</t>
  </si>
  <si>
    <t>5046</t>
  </si>
  <si>
    <t>4789</t>
  </si>
  <si>
    <t>4791</t>
  </si>
  <si>
    <t>4793</t>
  </si>
  <si>
    <t>4810</t>
  </si>
  <si>
    <t>4736</t>
  </si>
  <si>
    <t>4783</t>
  </si>
  <si>
    <t>5934</t>
  </si>
  <si>
    <t>4766</t>
  </si>
  <si>
    <t>4735</t>
  </si>
  <si>
    <t>4754</t>
  </si>
  <si>
    <t>4831</t>
  </si>
  <si>
    <t>3697</t>
  </si>
  <si>
    <t>4063</t>
  </si>
  <si>
    <t>4803</t>
  </si>
  <si>
    <t>4061</t>
  </si>
  <si>
    <t>4764</t>
  </si>
  <si>
    <t>4804</t>
  </si>
  <si>
    <t>6274</t>
  </si>
  <si>
    <t>4060</t>
  </si>
  <si>
    <t>5095</t>
  </si>
  <si>
    <t>3862</t>
  </si>
  <si>
    <t>3919</t>
  </si>
  <si>
    <t>6129</t>
  </si>
  <si>
    <t>Korea</t>
  </si>
  <si>
    <t>5953</t>
  </si>
  <si>
    <t>5998</t>
  </si>
  <si>
    <t>4664</t>
  </si>
  <si>
    <t>4305</t>
  </si>
  <si>
    <t>3652</t>
  </si>
  <si>
    <t>6130</t>
  </si>
  <si>
    <t>3514</t>
  </si>
  <si>
    <t>3723</t>
  </si>
  <si>
    <t>6326</t>
  </si>
  <si>
    <t>4888</t>
  </si>
  <si>
    <t>6137</t>
  </si>
  <si>
    <t>4552</t>
  </si>
  <si>
    <t>3683</t>
  </si>
  <si>
    <t>1773</t>
  </si>
  <si>
    <t>6268</t>
  </si>
  <si>
    <t>4137</t>
  </si>
  <si>
    <t>1166</t>
  </si>
  <si>
    <t>4320</t>
  </si>
  <si>
    <t>4528</t>
  </si>
  <si>
    <t>(Multiple Items)</t>
  </si>
  <si>
    <t>KS</t>
  </si>
  <si>
    <t>4740</t>
  </si>
  <si>
    <t>Oakley</t>
  </si>
  <si>
    <t>Huron</t>
  </si>
  <si>
    <t>Minden</t>
  </si>
  <si>
    <t>Kansas City</t>
  </si>
  <si>
    <t>4814</t>
  </si>
  <si>
    <t>Bakersfield</t>
  </si>
  <si>
    <t>OK</t>
  </si>
  <si>
    <t>4846</t>
  </si>
  <si>
    <t>Guymon</t>
  </si>
  <si>
    <t>Shiheung-City</t>
  </si>
  <si>
    <t>6412</t>
  </si>
  <si>
    <t>St Joseph</t>
  </si>
  <si>
    <t>9871</t>
  </si>
  <si>
    <t>Coachella</t>
  </si>
  <si>
    <t>MT</t>
  </si>
  <si>
    <t>1876</t>
  </si>
  <si>
    <t>GREAT FALLS</t>
  </si>
  <si>
    <t>6072</t>
  </si>
  <si>
    <t>Port Arthur</t>
  </si>
  <si>
    <t>Rodeo</t>
  </si>
  <si>
    <t>Norco</t>
  </si>
  <si>
    <t>OUTLOOK</t>
  </si>
  <si>
    <t>KEWAUNEE</t>
  </si>
  <si>
    <t>Euless</t>
  </si>
  <si>
    <t>CAMPBELLSPORT</t>
  </si>
  <si>
    <t>Brillion</t>
  </si>
  <si>
    <t>STURGEON BAY</t>
  </si>
  <si>
    <t>C1000</t>
  </si>
  <si>
    <t>Cumulative
Total</t>
  </si>
  <si>
    <t>2025 Q1</t>
  </si>
  <si>
    <t>2025 Q2</t>
  </si>
  <si>
    <t>2025 Q3</t>
  </si>
  <si>
    <t>2025 Q4</t>
  </si>
  <si>
    <t>Total Evs</t>
  </si>
  <si>
    <t>%change</t>
  </si>
  <si>
    <t>Res. GGE</t>
  </si>
  <si>
    <t>Res. KWh</t>
  </si>
  <si>
    <t>Wtd Avg</t>
  </si>
  <si>
    <t>p 2023</t>
  </si>
  <si>
    <t>Carbon Intensity Assumption</t>
  </si>
  <si>
    <t>Notes:
Electricity and Natural Gas denoted in gasoline gallon equivalents.
On-road electricity includes a calculation for residential charging.</t>
  </si>
  <si>
    <t>2022*</t>
  </si>
  <si>
    <t>* represents the assumption for the 2023 Clean Fuels forecast.</t>
  </si>
  <si>
    <t>Off-road Electricity Credits:</t>
  </si>
  <si>
    <t>August 22nd presentation</t>
  </si>
  <si>
    <t>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</si>
</sst>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0.000"/>
    <numFmt numFmtId="167" formatCode="_(* #,##0_);_(* \(#,##0\);_(* &quot;-&quot;??_);_(@_)"/>
    <numFmt numFmtId="168" formatCode="0.0"/>
  </numFmts>
  <fonts count="36" x14ac:knownFonts="1">
    <font>
      <sz val="11"/>
      <color theme="1"/>
      <name val="Calibri"/>
      <family val="2"/>
      <scheme val="minor"/>
    </font>
    <font>
      <sz val="11"/>
      <color theme="1"/>
      <name val="Calibri"/>
      <family val="2"/>
      <scheme val="minor"/>
    </font>
    <font>
      <b/>
      <sz val="11"/>
      <color theme="1"/>
      <name val="Calibri"/>
      <family val="2"/>
      <scheme val="minor"/>
    </font>
    <font>
      <sz val="9"/>
      <color indexed="8"/>
      <name val="Calibri"/>
      <family val="2"/>
    </font>
    <font>
      <b/>
      <sz val="9"/>
      <color indexed="8"/>
      <name val="Calibri"/>
      <family val="2"/>
    </font>
    <font>
      <b/>
      <sz val="12"/>
      <color indexed="30"/>
      <name val="Calibri"/>
      <family val="2"/>
    </font>
    <font>
      <sz val="11"/>
      <name val="Calibri"/>
      <family val="2"/>
      <scheme val="minor"/>
    </font>
    <font>
      <b/>
      <sz val="14"/>
      <color theme="1"/>
      <name val="Calibri"/>
      <family val="2"/>
      <scheme val="minor"/>
    </font>
    <font>
      <sz val="10"/>
      <color theme="1"/>
      <name val="Calibri"/>
      <family val="2"/>
      <scheme val="minor"/>
    </font>
    <font>
      <i/>
      <sz val="11"/>
      <color theme="1"/>
      <name val="Calibri"/>
      <family val="2"/>
      <scheme val="minor"/>
    </font>
    <font>
      <b/>
      <sz val="11"/>
      <name val="Calibri"/>
      <family val="2"/>
      <scheme val="minor"/>
    </font>
    <font>
      <b/>
      <sz val="16"/>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u/>
      <sz val="11"/>
      <color theme="10"/>
      <name val="Calibri"/>
      <family val="2"/>
      <scheme val="minor"/>
    </font>
    <font>
      <sz val="10"/>
      <color rgb="FF000000"/>
      <name val="Arial"/>
      <family val="2"/>
    </font>
    <font>
      <sz val="9"/>
      <color indexed="81"/>
      <name val="Tahoma"/>
      <family val="2"/>
    </font>
    <font>
      <b/>
      <sz val="9"/>
      <color indexed="81"/>
      <name val="Tahoma"/>
      <family val="2"/>
    </font>
    <font>
      <sz val="18"/>
      <color theme="3"/>
      <name val="Calibri Light"/>
      <family val="2"/>
      <scheme val="major"/>
    </font>
    <font>
      <sz val="8"/>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s>
  <fills count="5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rgb="FFFF99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rgb="FFA5FBFD"/>
        <bgColor indexed="64"/>
      </patternFill>
    </fill>
    <fill>
      <patternFill patternType="solid">
        <fgColor rgb="FF66FFFF"/>
        <bgColor indexed="64"/>
      </patternFill>
    </fill>
    <fill>
      <patternFill patternType="solid">
        <fgColor theme="7" tint="0.59999389629810485"/>
        <bgColor indexed="64"/>
      </patternFill>
    </fill>
    <fill>
      <patternFill patternType="solid">
        <fgColor theme="1"/>
        <bgColor indexed="64"/>
      </patternFill>
    </fill>
    <fill>
      <patternFill patternType="solid">
        <fgColor rgb="FFCCFF66"/>
        <bgColor indexed="64"/>
      </patternFill>
    </fill>
    <fill>
      <patternFill patternType="solid">
        <fgColor rgb="FFFFCCFF"/>
        <bgColor indexed="64"/>
      </patternFill>
    </fill>
    <fill>
      <patternFill patternType="solid">
        <fgColor theme="4" tint="0.79998168889431442"/>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FF99"/>
        <bgColor indexed="64"/>
      </patternFill>
    </fill>
  </fills>
  <borders count="43">
    <border>
      <left/>
      <right/>
      <top/>
      <bottom/>
      <diagonal/>
    </border>
    <border>
      <left/>
      <right/>
      <top/>
      <bottom style="thick">
        <color rgb="FF0096D7"/>
      </bottom>
      <diagonal/>
    </border>
    <border>
      <left/>
      <right/>
      <top/>
      <bottom style="thin">
        <color rgb="FFBFBFBF"/>
      </bottom>
      <diagonal/>
    </border>
    <border>
      <left/>
      <right/>
      <top/>
      <bottom style="dashed">
        <color rgb="FFBFBFBF"/>
      </bottom>
      <diagonal/>
    </border>
    <border>
      <left/>
      <right/>
      <top style="medium">
        <color rgb="FF0096D7"/>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3D3"/>
      </left>
      <right style="thin">
        <color rgb="FFD3D3D3"/>
      </right>
      <top style="thin">
        <color rgb="FFD3D3D3"/>
      </top>
      <bottom style="thin">
        <color rgb="FFD3D3D3"/>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2">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1" applyNumberFormat="0" applyProtection="0">
      <alignment wrapText="1"/>
    </xf>
    <xf numFmtId="0" fontId="5" fillId="0" borderId="0" applyNumberFormat="0" applyProtection="0">
      <alignment horizontal="left"/>
    </xf>
    <xf numFmtId="0" fontId="4" fillId="0" borderId="2" applyNumberFormat="0" applyProtection="0">
      <alignment wrapText="1"/>
    </xf>
    <xf numFmtId="0" fontId="3" fillId="0" borderId="3" applyNumberFormat="0" applyFont="0" applyProtection="0">
      <alignment wrapText="1"/>
    </xf>
    <xf numFmtId="0" fontId="3" fillId="0" borderId="4" applyNumberFormat="0" applyProtection="0">
      <alignment wrapText="1"/>
    </xf>
    <xf numFmtId="0" fontId="12" fillId="0" borderId="23" applyNumberFormat="0" applyFill="0" applyAlignment="0" applyProtection="0"/>
    <xf numFmtId="0" fontId="13" fillId="0" borderId="24" applyNumberFormat="0" applyFill="0" applyAlignment="0" applyProtection="0"/>
    <xf numFmtId="0" fontId="14" fillId="0" borderId="25" applyNumberFormat="0" applyFill="0" applyAlignment="0" applyProtection="0"/>
    <xf numFmtId="0" fontId="14" fillId="0" borderId="0" applyNumberFormat="0" applyFill="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0" applyNumberFormat="0" applyBorder="0" applyAlignment="0" applyProtection="0"/>
    <xf numFmtId="0" fontId="18" fillId="11" borderId="26" applyNumberFormat="0" applyAlignment="0" applyProtection="0"/>
    <xf numFmtId="0" fontId="19" fillId="12" borderId="27" applyNumberFormat="0" applyAlignment="0" applyProtection="0"/>
    <xf numFmtId="0" fontId="20" fillId="12" borderId="26" applyNumberFormat="0" applyAlignment="0" applyProtection="0"/>
    <xf numFmtId="0" fontId="21" fillId="0" borderId="28" applyNumberFormat="0" applyFill="0" applyAlignment="0" applyProtection="0"/>
    <xf numFmtId="0" fontId="22" fillId="13" borderId="29" applyNumberFormat="0" applyAlignment="0" applyProtection="0"/>
    <xf numFmtId="0" fontId="23" fillId="0" borderId="0" applyNumberFormat="0" applyFill="0" applyBorder="0" applyAlignment="0" applyProtection="0"/>
    <xf numFmtId="0" fontId="1" fillId="14" borderId="30" applyNumberFormat="0" applyFont="0" applyAlignment="0" applyProtection="0"/>
    <xf numFmtId="0" fontId="24" fillId="0" borderId="0" applyNumberFormat="0" applyFill="0" applyBorder="0" applyAlignment="0" applyProtection="0"/>
    <xf numFmtId="0" fontId="2" fillId="0" borderId="31" applyNumberFormat="0" applyFill="0" applyAlignment="0" applyProtection="0"/>
    <xf numFmtId="0" fontId="25"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5" fillId="38" borderId="0" applyNumberFormat="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cellStyleXfs>
  <cellXfs count="184">
    <xf numFmtId="0" fontId="0" fillId="0" borderId="0" xfId="0"/>
    <xf numFmtId="0" fontId="0" fillId="3" borderId="0" xfId="0" applyFill="1"/>
    <xf numFmtId="0" fontId="0" fillId="3" borderId="5" xfId="0" applyFill="1" applyBorder="1"/>
    <xf numFmtId="3" fontId="0" fillId="3" borderId="5" xfId="0" applyNumberFormat="1" applyFill="1" applyBorder="1"/>
    <xf numFmtId="0" fontId="0" fillId="0" borderId="5" xfId="0" applyBorder="1"/>
    <xf numFmtId="164" fontId="0" fillId="3" borderId="0" xfId="1" applyNumberFormat="1" applyFont="1" applyFill="1"/>
    <xf numFmtId="10" fontId="0" fillId="0" borderId="0" xfId="0" applyNumberFormat="1"/>
    <xf numFmtId="164" fontId="0" fillId="0" borderId="0" xfId="1" applyNumberFormat="1" applyFont="1"/>
    <xf numFmtId="2" fontId="0" fillId="0" borderId="0" xfId="0" applyNumberFormat="1"/>
    <xf numFmtId="3" fontId="0" fillId="0" borderId="0" xfId="0" applyNumberFormat="1"/>
    <xf numFmtId="3" fontId="0" fillId="0" borderId="5" xfId="0" applyNumberFormat="1" applyBorder="1"/>
    <xf numFmtId="3" fontId="6" fillId="3" borderId="5" xfId="0" applyNumberFormat="1" applyFont="1" applyFill="1" applyBorder="1"/>
    <xf numFmtId="0" fontId="2" fillId="0" borderId="5" xfId="0" applyFont="1" applyBorder="1" applyAlignment="1">
      <alignment horizontal="center" wrapText="1"/>
    </xf>
    <xf numFmtId="3" fontId="2" fillId="0" borderId="5" xfId="0" applyNumberFormat="1" applyFont="1" applyBorder="1" applyAlignment="1">
      <alignment horizontal="center" wrapText="1"/>
    </xf>
    <xf numFmtId="3" fontId="2" fillId="3" borderId="12" xfId="0" applyNumberFormat="1" applyFont="1" applyFill="1" applyBorder="1"/>
    <xf numFmtId="0" fontId="0" fillId="0" borderId="0" xfId="0" pivotButton="1"/>
    <xf numFmtId="14" fontId="0" fillId="0" borderId="0" xfId="0" applyNumberFormat="1"/>
    <xf numFmtId="0" fontId="0" fillId="0" borderId="0" xfId="0" applyAlignment="1">
      <alignment horizontal="left" indent="2"/>
    </xf>
    <xf numFmtId="166" fontId="0" fillId="0" borderId="0" xfId="0" applyNumberFormat="1"/>
    <xf numFmtId="0" fontId="7" fillId="0" borderId="0" xfId="0" applyFont="1" applyAlignment="1">
      <alignment horizontal="center"/>
    </xf>
    <xf numFmtId="0" fontId="0" fillId="0" borderId="15" xfId="0" applyBorder="1"/>
    <xf numFmtId="164" fontId="0" fillId="0" borderId="0" xfId="0" applyNumberFormat="1"/>
    <xf numFmtId="0" fontId="0" fillId="0" borderId="0" xfId="0" applyAlignment="1">
      <alignment horizontal="left" indent="1"/>
    </xf>
    <xf numFmtId="0" fontId="0" fillId="0" borderId="16" xfId="0" applyBorder="1"/>
    <xf numFmtId="0" fontId="0" fillId="0" borderId="16" xfId="0" applyBorder="1" applyAlignment="1">
      <alignment horizontal="left"/>
    </xf>
    <xf numFmtId="165" fontId="0" fillId="0" borderId="0" xfId="0" applyNumberFormat="1"/>
    <xf numFmtId="165" fontId="0" fillId="0" borderId="16" xfId="0" applyNumberFormat="1" applyBorder="1"/>
    <xf numFmtId="164" fontId="0" fillId="0" borderId="16" xfId="1" applyNumberFormat="1" applyFont="1" applyBorder="1"/>
    <xf numFmtId="0" fontId="0" fillId="0" borderId="15" xfId="0" applyBorder="1" applyAlignment="1">
      <alignment wrapText="1"/>
    </xf>
    <xf numFmtId="0" fontId="0" fillId="0" borderId="0" xfId="0" applyAlignment="1">
      <alignment horizontal="left"/>
    </xf>
    <xf numFmtId="0" fontId="2" fillId="0" borderId="0" xfId="0" applyFont="1"/>
    <xf numFmtId="0" fontId="0" fillId="0" borderId="15" xfId="0" applyBorder="1" applyAlignment="1">
      <alignment horizontal="right" wrapText="1"/>
    </xf>
    <xf numFmtId="0" fontId="0" fillId="0" borderId="10" xfId="0" applyBorder="1"/>
    <xf numFmtId="164" fontId="0" fillId="0" borderId="10" xfId="1" applyNumberFormat="1" applyFont="1" applyBorder="1"/>
    <xf numFmtId="164" fontId="0" fillId="0" borderId="17" xfId="0" applyNumberFormat="1" applyBorder="1"/>
    <xf numFmtId="164" fontId="0" fillId="0" borderId="10" xfId="0" applyNumberFormat="1" applyBorder="1"/>
    <xf numFmtId="0" fontId="8" fillId="0" borderId="0" xfId="0" applyFont="1"/>
    <xf numFmtId="164" fontId="0" fillId="0" borderId="10" xfId="1" applyNumberFormat="1" applyFont="1" applyFill="1" applyBorder="1"/>
    <xf numFmtId="164" fontId="0" fillId="0" borderId="0" xfId="1" applyNumberFormat="1" applyFont="1" applyFill="1" applyBorder="1"/>
    <xf numFmtId="4" fontId="0" fillId="0" borderId="0" xfId="0" applyNumberFormat="1"/>
    <xf numFmtId="2" fontId="0" fillId="0" borderId="5" xfId="0" applyNumberFormat="1" applyBorder="1"/>
    <xf numFmtId="0" fontId="0" fillId="3" borderId="18" xfId="0" applyFill="1" applyBorder="1"/>
    <xf numFmtId="3" fontId="2" fillId="3" borderId="5" xfId="0" applyNumberFormat="1" applyFont="1" applyFill="1" applyBorder="1"/>
    <xf numFmtId="3" fontId="2" fillId="3" borderId="19" xfId="0" applyNumberFormat="1" applyFont="1" applyFill="1" applyBorder="1"/>
    <xf numFmtId="0" fontId="0" fillId="3" borderId="11" xfId="0" applyFill="1" applyBorder="1" applyAlignment="1">
      <alignment horizontal="center" vertical="center"/>
    </xf>
    <xf numFmtId="0" fontId="0" fillId="3" borderId="11" xfId="0" applyFill="1" applyBorder="1"/>
    <xf numFmtId="0" fontId="0" fillId="3" borderId="20" xfId="0" applyFill="1" applyBorder="1"/>
    <xf numFmtId="0" fontId="2" fillId="3" borderId="20" xfId="0" applyFont="1" applyFill="1" applyBorder="1" applyAlignment="1">
      <alignment vertical="center"/>
    </xf>
    <xf numFmtId="0" fontId="2" fillId="3" borderId="12" xfId="0" applyFont="1" applyFill="1" applyBorder="1" applyAlignment="1">
      <alignment horizontal="center" vertical="center"/>
    </xf>
    <xf numFmtId="0" fontId="2" fillId="3" borderId="12" xfId="0" applyFont="1" applyFill="1" applyBorder="1"/>
    <xf numFmtId="3" fontId="10" fillId="3" borderId="12" xfId="0" applyNumberFormat="1" applyFont="1" applyFill="1" applyBorder="1"/>
    <xf numFmtId="0" fontId="0" fillId="3" borderId="5" xfId="0" applyFill="1" applyBorder="1" applyAlignment="1">
      <alignment horizontal="center" vertical="center"/>
    </xf>
    <xf numFmtId="14" fontId="2" fillId="6" borderId="21" xfId="0" applyNumberFormat="1" applyFont="1" applyFill="1" applyBorder="1"/>
    <xf numFmtId="164" fontId="0" fillId="0" borderId="0" xfId="1" applyNumberFormat="1" applyFont="1" applyFill="1"/>
    <xf numFmtId="3" fontId="0" fillId="0" borderId="16" xfId="0" applyNumberFormat="1" applyBorder="1"/>
    <xf numFmtId="3" fontId="0" fillId="3" borderId="11" xfId="0" applyNumberFormat="1" applyFill="1" applyBorder="1"/>
    <xf numFmtId="3" fontId="0" fillId="3" borderId="20" xfId="0" applyNumberFormat="1" applyFill="1" applyBorder="1"/>
    <xf numFmtId="0" fontId="0" fillId="7" borderId="0" xfId="0" applyFill="1"/>
    <xf numFmtId="164" fontId="0" fillId="7" borderId="0" xfId="1" applyNumberFormat="1" applyFont="1" applyFill="1"/>
    <xf numFmtId="0" fontId="0" fillId="5" borderId="0" xfId="0" applyFill="1"/>
    <xf numFmtId="164" fontId="0" fillId="5" borderId="0" xfId="1" applyNumberFormat="1" applyFont="1" applyFill="1"/>
    <xf numFmtId="3" fontId="2" fillId="0" borderId="22" xfId="0" applyNumberFormat="1" applyFont="1" applyBorder="1" applyAlignment="1">
      <alignment horizontal="center" wrapText="1"/>
    </xf>
    <xf numFmtId="9" fontId="0" fillId="0" borderId="0" xfId="1" applyFont="1"/>
    <xf numFmtId="0" fontId="2" fillId="3" borderId="6" xfId="0" applyFont="1" applyFill="1" applyBorder="1" applyAlignment="1">
      <alignment horizontal="left"/>
    </xf>
    <xf numFmtId="0" fontId="2" fillId="3" borderId="7" xfId="0" applyFont="1" applyFill="1" applyBorder="1" applyAlignment="1">
      <alignment horizontal="left"/>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8" xfId="0" applyFont="1" applyFill="1" applyBorder="1" applyAlignment="1">
      <alignment horizontal="left"/>
    </xf>
    <xf numFmtId="0" fontId="2" fillId="3" borderId="9" xfId="0" applyFont="1" applyFill="1" applyBorder="1" applyAlignment="1">
      <alignment horizontal="left"/>
    </xf>
    <xf numFmtId="0" fontId="2" fillId="0" borderId="16" xfId="0" applyFont="1" applyBorder="1"/>
    <xf numFmtId="0" fontId="27" fillId="0" borderId="0" xfId="49"/>
    <xf numFmtId="0" fontId="11" fillId="0" borderId="0" xfId="0" applyFont="1"/>
    <xf numFmtId="167" fontId="28" fillId="0" borderId="32" xfId="50" applyNumberFormat="1" applyFont="1" applyFill="1" applyBorder="1" applyAlignment="1">
      <alignment horizontal="center" vertical="top" wrapText="1" readingOrder="1"/>
    </xf>
    <xf numFmtId="0" fontId="0" fillId="2" borderId="0" xfId="0" applyFill="1"/>
    <xf numFmtId="10" fontId="0" fillId="2" borderId="0" xfId="0" applyNumberFormat="1" applyFill="1"/>
    <xf numFmtId="0" fontId="0" fillId="0" borderId="0" xfId="0" applyAlignment="1">
      <alignment horizontal="right"/>
    </xf>
    <xf numFmtId="0" fontId="0" fillId="0" borderId="15" xfId="0" applyBorder="1" applyAlignment="1">
      <alignment horizontal="right"/>
    </xf>
    <xf numFmtId="0" fontId="0" fillId="3" borderId="33" xfId="0" applyFill="1" applyBorder="1"/>
    <xf numFmtId="0" fontId="0" fillId="3" borderId="16" xfId="0" applyFill="1" applyBorder="1"/>
    <xf numFmtId="0" fontId="0" fillId="2" borderId="15" xfId="0" applyFill="1" applyBorder="1" applyAlignment="1">
      <alignment horizontal="right"/>
    </xf>
    <xf numFmtId="3" fontId="0" fillId="2" borderId="0" xfId="0" applyNumberFormat="1" applyFill="1"/>
    <xf numFmtId="3" fontId="10" fillId="2" borderId="12" xfId="0" applyNumberFormat="1" applyFont="1" applyFill="1" applyBorder="1"/>
    <xf numFmtId="3" fontId="2" fillId="2" borderId="5" xfId="0" applyNumberFormat="1" applyFont="1" applyFill="1" applyBorder="1"/>
    <xf numFmtId="3" fontId="0" fillId="2" borderId="16" xfId="0" applyNumberFormat="1" applyFill="1" applyBorder="1"/>
    <xf numFmtId="0" fontId="0" fillId="5" borderId="0" xfId="0" applyFill="1" applyAlignment="1">
      <alignment horizontal="right"/>
    </xf>
    <xf numFmtId="164" fontId="0" fillId="2" borderId="10" xfId="1" applyNumberFormat="1" applyFont="1" applyFill="1" applyBorder="1"/>
    <xf numFmtId="164" fontId="0" fillId="2" borderId="10" xfId="0" applyNumberFormat="1" applyFill="1" applyBorder="1"/>
    <xf numFmtId="164" fontId="0" fillId="5" borderId="0" xfId="0" applyNumberFormat="1" applyFill="1"/>
    <xf numFmtId="164" fontId="0" fillId="0" borderId="0" xfId="1" applyNumberFormat="1" applyFont="1" applyBorder="1"/>
    <xf numFmtId="164" fontId="0" fillId="5" borderId="0" xfId="1" applyNumberFormat="1" applyFont="1" applyFill="1" applyBorder="1"/>
    <xf numFmtId="2" fontId="9" fillId="0" borderId="5" xfId="0" applyNumberFormat="1" applyFont="1" applyBorder="1"/>
    <xf numFmtId="1" fontId="9" fillId="0" borderId="5" xfId="0" applyNumberFormat="1" applyFont="1" applyBorder="1"/>
    <xf numFmtId="14" fontId="0" fillId="0" borderId="0" xfId="0" applyNumberFormat="1" applyAlignment="1">
      <alignment horizontal="left"/>
    </xf>
    <xf numFmtId="164" fontId="9" fillId="0" borderId="0" xfId="0" applyNumberFormat="1" applyFont="1"/>
    <xf numFmtId="164" fontId="9" fillId="0" borderId="0" xfId="1" applyNumberFormat="1" applyFont="1" applyBorder="1"/>
    <xf numFmtId="168" fontId="0" fillId="2" borderId="34" xfId="0" applyNumberFormat="1" applyFill="1" applyBorder="1"/>
    <xf numFmtId="3" fontId="0" fillId="7" borderId="0" xfId="0" applyNumberFormat="1" applyFill="1"/>
    <xf numFmtId="0" fontId="0" fillId="4" borderId="0" xfId="0" applyFill="1"/>
    <xf numFmtId="3" fontId="0" fillId="4" borderId="0" xfId="0" applyNumberFormat="1" applyFill="1"/>
    <xf numFmtId="3" fontId="0" fillId="5" borderId="16" xfId="0" applyNumberFormat="1" applyFill="1" applyBorder="1"/>
    <xf numFmtId="0" fontId="9" fillId="40" borderId="0" xfId="0" applyFont="1" applyFill="1" applyAlignment="1">
      <alignment horizontal="left" indent="2"/>
    </xf>
    <xf numFmtId="3" fontId="9" fillId="40" borderId="0" xfId="0" applyNumberFormat="1" applyFont="1" applyFill="1"/>
    <xf numFmtId="164" fontId="9" fillId="40" borderId="0" xfId="1" applyNumberFormat="1" applyFont="1" applyFill="1" applyBorder="1"/>
    <xf numFmtId="0" fontId="11" fillId="2" borderId="0" xfId="0" applyFont="1" applyFill="1"/>
    <xf numFmtId="164" fontId="9" fillId="39" borderId="0" xfId="1" applyNumberFormat="1" applyFont="1" applyFill="1" applyBorder="1"/>
    <xf numFmtId="168" fontId="0" fillId="5" borderId="34" xfId="0" applyNumberFormat="1" applyFill="1" applyBorder="1"/>
    <xf numFmtId="0" fontId="0" fillId="41" borderId="0" xfId="0" applyFill="1"/>
    <xf numFmtId="0" fontId="9" fillId="5" borderId="0" xfId="0" applyFont="1" applyFill="1" applyAlignment="1">
      <alignment horizontal="left" indent="1"/>
    </xf>
    <xf numFmtId="164" fontId="9" fillId="5" borderId="0" xfId="0" applyNumberFormat="1" applyFont="1" applyFill="1"/>
    <xf numFmtId="164" fontId="9" fillId="5" borderId="0" xfId="1" applyNumberFormat="1" applyFont="1" applyFill="1"/>
    <xf numFmtId="4" fontId="0" fillId="4" borderId="0" xfId="0" applyNumberFormat="1" applyFill="1"/>
    <xf numFmtId="3" fontId="10" fillId="0" borderId="12" xfId="0" applyNumberFormat="1" applyFont="1" applyBorder="1"/>
    <xf numFmtId="3" fontId="2" fillId="0" borderId="5" xfId="0" applyNumberFormat="1" applyFont="1" applyBorder="1"/>
    <xf numFmtId="3" fontId="0" fillId="42" borderId="5" xfId="0" applyNumberFormat="1" applyFill="1" applyBorder="1"/>
    <xf numFmtId="166" fontId="0" fillId="41" borderId="0" xfId="0" applyNumberFormat="1" applyFill="1"/>
    <xf numFmtId="168" fontId="0" fillId="0" borderId="0" xfId="0" applyNumberFormat="1"/>
    <xf numFmtId="2" fontId="0" fillId="5" borderId="34" xfId="0" applyNumberFormat="1" applyFill="1" applyBorder="1"/>
    <xf numFmtId="3" fontId="0" fillId="2" borderId="5" xfId="0" applyNumberFormat="1" applyFill="1" applyBorder="1"/>
    <xf numFmtId="3" fontId="0" fillId="39" borderId="5" xfId="0" applyNumberFormat="1" applyFill="1" applyBorder="1"/>
    <xf numFmtId="0" fontId="6" fillId="0" borderId="15" xfId="0" applyFont="1" applyBorder="1" applyAlignment="1">
      <alignment horizontal="right" wrapText="1"/>
    </xf>
    <xf numFmtId="0" fontId="6" fillId="0" borderId="0" xfId="0" applyFont="1" applyAlignment="1">
      <alignment wrapText="1"/>
    </xf>
    <xf numFmtId="0" fontId="6" fillId="0" borderId="15" xfId="0" applyFont="1" applyBorder="1" applyAlignment="1">
      <alignment wrapText="1"/>
    </xf>
    <xf numFmtId="166" fontId="0" fillId="43" borderId="0" xfId="0" applyNumberFormat="1" applyFill="1"/>
    <xf numFmtId="10" fontId="0" fillId="0" borderId="0" xfId="1" applyNumberFormat="1" applyFont="1" applyFill="1"/>
    <xf numFmtId="10" fontId="9" fillId="5" borderId="0" xfId="0" applyNumberFormat="1" applyFont="1" applyFill="1"/>
    <xf numFmtId="0" fontId="2" fillId="0" borderId="0" xfId="0" applyFont="1" applyAlignment="1">
      <alignment horizontal="center"/>
    </xf>
    <xf numFmtId="0" fontId="0" fillId="7" borderId="34" xfId="0" applyFill="1" applyBorder="1"/>
    <xf numFmtId="0" fontId="0" fillId="44" borderId="34" xfId="0" applyFill="1" applyBorder="1"/>
    <xf numFmtId="0" fontId="33" fillId="0" borderId="0" xfId="0" applyFont="1"/>
    <xf numFmtId="166" fontId="0" fillId="45" borderId="0" xfId="0" applyNumberFormat="1" applyFill="1"/>
    <xf numFmtId="0" fontId="0" fillId="45" borderId="0" xfId="0" applyFill="1"/>
    <xf numFmtId="166" fontId="0" fillId="46" borderId="0" xfId="0" applyNumberFormat="1" applyFill="1"/>
    <xf numFmtId="0" fontId="0" fillId="46" borderId="0" xfId="0" applyFill="1"/>
    <xf numFmtId="166" fontId="0" fillId="47" borderId="0" xfId="0" applyNumberFormat="1" applyFill="1"/>
    <xf numFmtId="0" fontId="0" fillId="47" borderId="0" xfId="0" applyFill="1"/>
    <xf numFmtId="164" fontId="0" fillId="48" borderId="0" xfId="0" applyNumberFormat="1" applyFill="1"/>
    <xf numFmtId="0" fontId="0" fillId="48" borderId="0" xfId="0" applyFill="1"/>
    <xf numFmtId="166" fontId="0" fillId="49" borderId="0" xfId="0" applyNumberFormat="1" applyFill="1"/>
    <xf numFmtId="0" fontId="0" fillId="49" borderId="0" xfId="0" applyFill="1"/>
    <xf numFmtId="0" fontId="11" fillId="3" borderId="8" xfId="0" applyFont="1" applyFill="1" applyBorder="1" applyAlignment="1">
      <alignment horizontal="center"/>
    </xf>
    <xf numFmtId="0" fontId="11" fillId="3" borderId="10" xfId="0" applyFont="1" applyFill="1" applyBorder="1" applyAlignment="1">
      <alignment horizontal="center"/>
    </xf>
    <xf numFmtId="0" fontId="11" fillId="3" borderId="9" xfId="0" applyFont="1" applyFill="1" applyBorder="1" applyAlignment="1">
      <alignment horizontal="center"/>
    </xf>
    <xf numFmtId="0" fontId="2" fillId="6" borderId="0" xfId="0" applyFont="1" applyFill="1"/>
    <xf numFmtId="0" fontId="2" fillId="0" borderId="21" xfId="0" applyFont="1" applyBorder="1"/>
    <xf numFmtId="0" fontId="2" fillId="6" borderId="21" xfId="0" applyFont="1" applyFill="1" applyBorder="1"/>
    <xf numFmtId="164" fontId="0" fillId="50" borderId="0" xfId="0" applyNumberFormat="1" applyFill="1"/>
    <xf numFmtId="0" fontId="0" fillId="50" borderId="0" xfId="0" applyFill="1"/>
    <xf numFmtId="14" fontId="2" fillId="6" borderId="0" xfId="0" applyNumberFormat="1" applyFont="1" applyFill="1"/>
    <xf numFmtId="10" fontId="0" fillId="5" borderId="0" xfId="0" applyNumberFormat="1" applyFill="1"/>
    <xf numFmtId="3" fontId="0" fillId="47" borderId="0" xfId="0" applyNumberFormat="1" applyFill="1"/>
    <xf numFmtId="3" fontId="0" fillId="5" borderId="0" xfId="0" applyNumberFormat="1" applyFill="1"/>
    <xf numFmtId="3" fontId="0" fillId="3" borderId="0" xfId="0" applyNumberFormat="1" applyFill="1"/>
    <xf numFmtId="14" fontId="0" fillId="0" borderId="5" xfId="0" applyNumberFormat="1" applyBorder="1"/>
    <xf numFmtId="2" fontId="0" fillId="51" borderId="5" xfId="0" applyNumberFormat="1" applyFill="1" applyBorder="1"/>
    <xf numFmtId="3" fontId="0" fillId="45" borderId="5" xfId="0" applyNumberFormat="1" applyFill="1" applyBorder="1"/>
    <xf numFmtId="3" fontId="0" fillId="0" borderId="35" xfId="0" applyNumberFormat="1" applyBorder="1"/>
    <xf numFmtId="3" fontId="0" fillId="41" borderId="5" xfId="0" applyNumberFormat="1" applyFill="1" applyBorder="1"/>
    <xf numFmtId="0" fontId="0" fillId="0" borderId="15" xfId="0" applyBorder="1" applyAlignment="1">
      <alignment horizontal="center"/>
    </xf>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2" xfId="0" applyBorder="1"/>
    <xf numFmtId="0" fontId="0" fillId="0" borderId="15" xfId="0" applyBorder="1" applyAlignment="1">
      <alignment horizontal="center" wrapText="1"/>
    </xf>
    <xf numFmtId="0" fontId="0" fillId="0" borderId="20" xfId="0" applyBorder="1"/>
    <xf numFmtId="2" fontId="0" fillId="0" borderId="20" xfId="0" applyNumberFormat="1" applyBorder="1"/>
    <xf numFmtId="3" fontId="0" fillId="0" borderId="10" xfId="0" applyNumberFormat="1" applyBorder="1"/>
    <xf numFmtId="0" fontId="0" fillId="0" borderId="0" xfId="0" applyAlignment="1">
      <alignment horizontal="left" vertical="top" wrapText="1"/>
    </xf>
    <xf numFmtId="0" fontId="7" fillId="0" borderId="0" xfId="0" applyFont="1" applyAlignment="1">
      <alignment horizontal="center"/>
    </xf>
    <xf numFmtId="0" fontId="8" fillId="0" borderId="0" xfId="0" applyFont="1" applyAlignment="1">
      <alignment horizontal="left" vertical="top" wrapText="1"/>
    </xf>
    <xf numFmtId="0" fontId="11" fillId="3" borderId="8" xfId="0" applyFont="1" applyFill="1" applyBorder="1" applyAlignment="1">
      <alignment horizontal="center"/>
    </xf>
    <xf numFmtId="0" fontId="11" fillId="3" borderId="10" xfId="0" applyFont="1" applyFill="1" applyBorder="1" applyAlignment="1">
      <alignment horizontal="center"/>
    </xf>
    <xf numFmtId="0" fontId="11" fillId="3" borderId="9" xfId="0" applyFont="1" applyFill="1" applyBorder="1" applyAlignment="1">
      <alignment horizontal="center"/>
    </xf>
    <xf numFmtId="0" fontId="11" fillId="0" borderId="0" xfId="0" applyFont="1" applyAlignment="1">
      <alignment horizontal="center"/>
    </xf>
    <xf numFmtId="0" fontId="0" fillId="0" borderId="0" xfId="0" applyAlignment="1">
      <alignment vertical="top" wrapText="1"/>
    </xf>
    <xf numFmtId="0" fontId="35" fillId="0" borderId="0" xfId="0" applyFont="1" applyAlignment="1">
      <alignment horizontal="center"/>
    </xf>
    <xf numFmtId="0" fontId="33" fillId="5" borderId="0" xfId="0" applyFont="1" applyFill="1" applyAlignment="1">
      <alignment horizontal="left" vertical="top" wrapText="1"/>
    </xf>
    <xf numFmtId="0" fontId="34" fillId="0" borderId="0" xfId="0" applyFont="1" applyAlignment="1">
      <alignment horizontal="center"/>
    </xf>
    <xf numFmtId="0" fontId="0" fillId="0" borderId="0" xfId="0" applyAlignment="1">
      <alignment horizontal="center"/>
    </xf>
    <xf numFmtId="0" fontId="0" fillId="3" borderId="35" xfId="0" applyFill="1" applyBorder="1" applyAlignment="1">
      <alignment horizontal="center"/>
    </xf>
    <xf numFmtId="0" fontId="2" fillId="0" borderId="0" xfId="0" applyFont="1" applyAlignment="1">
      <alignment horizontal="center"/>
    </xf>
    <xf numFmtId="0" fontId="0" fillId="0" borderId="0" xfId="0" applyAlignment="1">
      <alignment horizontal="center" wrapText="1"/>
    </xf>
  </cellXfs>
  <cellStyles count="52">
    <cellStyle name="20% - Accent1" xfId="25" builtinId="30" customBuiltin="1"/>
    <cellStyle name="20% - Accent2" xfId="29" builtinId="34" customBuiltin="1"/>
    <cellStyle name="20% - Accent3" xfId="33" builtinId="38" customBuiltin="1"/>
    <cellStyle name="20% - Accent4" xfId="37" builtinId="42" customBuiltin="1"/>
    <cellStyle name="20% - Accent5" xfId="41" builtinId="46" customBuiltin="1"/>
    <cellStyle name="20% - Accent6" xfId="45" builtinId="50" customBuiltin="1"/>
    <cellStyle name="40% - Accent1" xfId="26" builtinId="31" customBuiltin="1"/>
    <cellStyle name="40% - Accent2" xfId="30" builtinId="35" customBuiltin="1"/>
    <cellStyle name="40% - Accent3" xfId="34" builtinId="39" customBuiltin="1"/>
    <cellStyle name="40% - Accent4" xfId="38" builtinId="43" customBuiltin="1"/>
    <cellStyle name="40% - Accent5" xfId="42" builtinId="47" customBuiltin="1"/>
    <cellStyle name="40% - Accent6" xfId="46" builtinId="51" customBuiltin="1"/>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Body: normal cell" xfId="6" xr:uid="{00000000-0005-0000-0000-000019000000}"/>
    <cellStyle name="Calculation" xfId="17" builtinId="22" customBuiltin="1"/>
    <cellStyle name="Check Cell" xfId="19" builtinId="23" customBuiltin="1"/>
    <cellStyle name="Comma" xfId="50" builtinId="3"/>
    <cellStyle name="Explanatory Text" xfId="22" builtinId="53" customBuiltin="1"/>
    <cellStyle name="Font: Calibri, 9pt regular" xfId="2" xr:uid="{00000000-0005-0000-0000-00001E000000}"/>
    <cellStyle name="Footnotes: top row" xfId="7" xr:uid="{00000000-0005-0000-0000-00001F000000}"/>
    <cellStyle name="Good" xfId="12" builtinId="26" customBuiltin="1"/>
    <cellStyle name="Header: bottom row" xfId="3" xr:uid="{00000000-0005-0000-0000-000021000000}"/>
    <cellStyle name="Heading 1" xfId="8" builtinId="16" customBuiltin="1"/>
    <cellStyle name="Heading 2" xfId="9" builtinId="17" customBuiltin="1"/>
    <cellStyle name="Heading 3" xfId="10" builtinId="18" customBuiltin="1"/>
    <cellStyle name="Heading 4" xfId="11" builtinId="19" customBuiltin="1"/>
    <cellStyle name="Hyperlink" xfId="49" builtinId="8"/>
    <cellStyle name="Input" xfId="15" builtinId="20" customBuiltin="1"/>
    <cellStyle name="Linked Cell" xfId="18" builtinId="24" customBuiltin="1"/>
    <cellStyle name="Neutral" xfId="14" builtinId="28" customBuiltin="1"/>
    <cellStyle name="Normal" xfId="0" builtinId="0"/>
    <cellStyle name="Note" xfId="21" builtinId="10" customBuiltin="1"/>
    <cellStyle name="Output" xfId="16" builtinId="21" customBuiltin="1"/>
    <cellStyle name="Parent row" xfId="5" xr:uid="{00000000-0005-0000-0000-00002D000000}"/>
    <cellStyle name="Percent" xfId="1" builtinId="5"/>
    <cellStyle name="Table title" xfId="4" xr:uid="{00000000-0005-0000-0000-00002F000000}"/>
    <cellStyle name="Title 2" xfId="48" xr:uid="{00000000-0005-0000-0000-000030000000}"/>
    <cellStyle name="Title 2 2" xfId="51" xr:uid="{00000000-0005-0000-0000-000031000000}"/>
    <cellStyle name="Total" xfId="23" builtinId="25" customBuiltin="1"/>
    <cellStyle name="Warning Text" xfId="20" builtinId="11" customBuiltin="1"/>
  </cellStyles>
  <dxfs count="35">
    <dxf>
      <fill>
        <patternFill patternType="solid">
          <bgColor theme="0" tint="-0.14999847407452621"/>
        </patternFill>
      </fill>
    </dxf>
    <dxf>
      <fill>
        <patternFill patternType="solid">
          <bgColor rgb="FF66FFFF"/>
        </patternFill>
      </fill>
    </dxf>
    <dxf>
      <fill>
        <patternFill patternType="solid">
          <bgColor theme="5" tint="0.79998168889431442"/>
        </patternFill>
      </fill>
    </dxf>
    <dxf>
      <fill>
        <patternFill patternType="solid">
          <bgColor rgb="FFFFFFCC"/>
        </patternFill>
      </fill>
    </dxf>
    <dxf>
      <fill>
        <patternFill patternType="solid">
          <bgColor theme="5" tint="0.79998168889431442"/>
        </patternFill>
      </fill>
    </dxf>
    <dxf>
      <fill>
        <patternFill patternType="solid">
          <bgColor theme="5" tint="0.79998168889431442"/>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numFmt numFmtId="164" formatCode="0.0%"/>
    </dxf>
  </dxfs>
  <tableStyles count="0" defaultTableStyle="TableStyleMedium2" defaultPivotStyle="PivotStyleLight16"/>
  <colors>
    <mruColors>
      <color rgb="FFCCFFCC"/>
      <color rgb="FF66FFFF"/>
      <color rgb="FFCCFF99"/>
      <color rgb="FFFFFFCC"/>
      <color rgb="FFFF99FF"/>
      <color rgb="FFFFCCFF"/>
      <color rgb="FFFFCCCC"/>
      <color rgb="FFCCFF66"/>
      <color rgb="FFFF66CC"/>
      <color rgb="FFFEC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32.xml"/><Relationship Id="rId1" Type="http://schemas.microsoft.com/office/2011/relationships/chartStyle" Target="style32.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Forecast_Main!$H$77:$AJ$77</c:f>
              <c:strCache>
                <c:ptCount val="29"/>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strCache>
            </c:strRef>
          </c:cat>
          <c:val>
            <c:numRef>
              <c:f>Forecast_Main!$H$81:$AJ$81</c:f>
              <c:numCache>
                <c:formatCode>0.0%</c:formatCode>
                <c:ptCount val="29"/>
                <c:pt idx="0">
                  <c:v>0.11775692755767568</c:v>
                </c:pt>
                <c:pt idx="1">
                  <c:v>0.11149694823150767</c:v>
                </c:pt>
                <c:pt idx="2">
                  <c:v>0.10993553721249949</c:v>
                </c:pt>
                <c:pt idx="3">
                  <c:v>0.10318369732748199</c:v>
                </c:pt>
                <c:pt idx="4">
                  <c:v>0.12529520298502503</c:v>
                </c:pt>
                <c:pt idx="5">
                  <c:v>0.10426226684091097</c:v>
                </c:pt>
                <c:pt idx="6">
                  <c:v>0.10407437015044083</c:v>
                </c:pt>
                <c:pt idx="7">
                  <c:v>0.10168796970044768</c:v>
                </c:pt>
                <c:pt idx="8">
                  <c:v>0.11030495180562035</c:v>
                </c:pt>
                <c:pt idx="9">
                  <c:v>8.8501719969195355E-2</c:v>
                </c:pt>
                <c:pt idx="10">
                  <c:v>0.10327101202338926</c:v>
                </c:pt>
                <c:pt idx="11">
                  <c:v>0.10299711084898204</c:v>
                </c:pt>
                <c:pt idx="12">
                  <c:v>9.3923692656207286E-2</c:v>
                </c:pt>
                <c:pt idx="13">
                  <c:v>0.10147738661034471</c:v>
                </c:pt>
                <c:pt idx="14">
                  <c:v>0.10653347176178395</c:v>
                </c:pt>
                <c:pt idx="15">
                  <c:v>9.7855204515457317E-2</c:v>
                </c:pt>
                <c:pt idx="16">
                  <c:v>9.9726048539547349E-2</c:v>
                </c:pt>
                <c:pt idx="17">
                  <c:v>0.11352998615518238</c:v>
                </c:pt>
                <c:pt idx="18">
                  <c:v>9.3373932754886521E-2</c:v>
                </c:pt>
                <c:pt idx="19">
                  <c:v>0.1001774875834132</c:v>
                </c:pt>
                <c:pt idx="20" formatCode="0.00%">
                  <c:v>8.7239247985535701E-2</c:v>
                </c:pt>
                <c:pt idx="21" formatCode="0.00%">
                  <c:v>0.11944380579524001</c:v>
                </c:pt>
                <c:pt idx="22" formatCode="0.00%">
                  <c:v>0.10384242464523287</c:v>
                </c:pt>
                <c:pt idx="23" formatCode="0.00%">
                  <c:v>0.1055078055802357</c:v>
                </c:pt>
                <c:pt idx="24" formatCode="0.00%">
                  <c:v>9.8619292490911961E-2</c:v>
                </c:pt>
                <c:pt idx="25" formatCode="0.00%">
                  <c:v>0.11028180869022573</c:v>
                </c:pt>
                <c:pt idx="26" formatCode="0.00%">
                  <c:v>0.10256035628609994</c:v>
                </c:pt>
                <c:pt idx="27" formatCode="0.00%">
                  <c:v>8.5964523876734381E-2</c:v>
                </c:pt>
                <c:pt idx="28" formatCode="0.00%">
                  <c:v>0.10789825222317342</c:v>
                </c:pt>
              </c:numCache>
            </c:numRef>
          </c:val>
          <c:extLst>
            <c:ext xmlns:c16="http://schemas.microsoft.com/office/drawing/2014/chart" uri="{C3380CC4-5D6E-409C-BE32-E72D297353CC}">
              <c16:uniqueId val="{00000000-FFAB-49D6-996F-41EEA7A7259E}"/>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Carbon Intensity</a:t>
            </a:r>
          </a:p>
        </c:rich>
      </c:tx>
      <c:layout>
        <c:manualLayout>
          <c:xMode val="edge"/>
          <c:yMode val="edge"/>
          <c:x val="0.34355054266865293"/>
          <c:y val="3.3725548457386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01037272397751E-2"/>
          <c:y val="0.12228955591326579"/>
          <c:w val="0.89479327816637999"/>
          <c:h val="0.71128369540126712"/>
        </c:manualLayout>
      </c:layout>
      <c:lineChart>
        <c:grouping val="standard"/>
        <c:varyColors val="0"/>
        <c:ser>
          <c:idx val="0"/>
          <c:order val="0"/>
          <c:tx>
            <c:strRef>
              <c:f>'CI Trend'!$C$12</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Trend'!$D$12:$AM$12</c:f>
              <c:numCache>
                <c:formatCode>#,##0.00</c:formatCode>
                <c:ptCount val="36"/>
                <c:pt idx="0">
                  <c:v>64.5</c:v>
                </c:pt>
                <c:pt idx="1">
                  <c:v>62.85</c:v>
                </c:pt>
                <c:pt idx="2">
                  <c:v>63</c:v>
                </c:pt>
                <c:pt idx="3">
                  <c:v>62.48</c:v>
                </c:pt>
                <c:pt idx="4">
                  <c:v>62.68</c:v>
                </c:pt>
                <c:pt idx="5">
                  <c:v>63.04</c:v>
                </c:pt>
                <c:pt idx="6">
                  <c:v>63.49</c:v>
                </c:pt>
                <c:pt idx="7">
                  <c:v>61.33</c:v>
                </c:pt>
                <c:pt idx="8">
                  <c:v>61.85</c:v>
                </c:pt>
                <c:pt idx="9">
                  <c:v>61.12</c:v>
                </c:pt>
                <c:pt idx="10">
                  <c:v>60.81</c:v>
                </c:pt>
                <c:pt idx="11">
                  <c:v>59.73</c:v>
                </c:pt>
                <c:pt idx="12">
                  <c:v>60.13</c:v>
                </c:pt>
                <c:pt idx="13">
                  <c:v>59.68</c:v>
                </c:pt>
                <c:pt idx="14">
                  <c:v>57.02</c:v>
                </c:pt>
                <c:pt idx="15">
                  <c:v>55.81</c:v>
                </c:pt>
                <c:pt idx="16">
                  <c:v>55.33</c:v>
                </c:pt>
                <c:pt idx="17">
                  <c:v>55.78</c:v>
                </c:pt>
                <c:pt idx="18">
                  <c:v>55.03</c:v>
                </c:pt>
                <c:pt idx="19">
                  <c:v>52.89</c:v>
                </c:pt>
                <c:pt idx="20">
                  <c:v>53.55</c:v>
                </c:pt>
                <c:pt idx="21">
                  <c:v>53.66</c:v>
                </c:pt>
                <c:pt idx="22">
                  <c:v>53.67</c:v>
                </c:pt>
                <c:pt idx="23">
                  <c:v>53.98</c:v>
                </c:pt>
                <c:pt idx="24">
                  <c:v>53.71</c:v>
                </c:pt>
                <c:pt idx="25">
                  <c:v>53.34</c:v>
                </c:pt>
                <c:pt idx="26">
                  <c:v>54.01</c:v>
                </c:pt>
                <c:pt idx="27">
                  <c:v>52.46</c:v>
                </c:pt>
              </c:numCache>
            </c:numRef>
          </c:val>
          <c:smooth val="0"/>
          <c:extLst>
            <c:ext xmlns:c16="http://schemas.microsoft.com/office/drawing/2014/chart" uri="{C3380CC4-5D6E-409C-BE32-E72D297353CC}">
              <c16:uniqueId val="{00000000-4AA8-4345-B03D-A55F693F3823}"/>
            </c:ext>
          </c:extLst>
        </c:ser>
        <c:ser>
          <c:idx val="1"/>
          <c:order val="1"/>
          <c:tx>
            <c:strRef>
              <c:f>'CI Trend'!$C$15</c:f>
              <c:strCache>
                <c:ptCount val="1"/>
                <c:pt idx="0">
                  <c:v>California</c:v>
                </c:pt>
              </c:strCache>
            </c:strRef>
          </c:tx>
          <c:spPr>
            <a:ln w="28575" cap="rnd">
              <a:solidFill>
                <a:srgbClr val="FEC2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Trend'!$D$15:$AM$15</c:f>
              <c:numCache>
                <c:formatCode>#,##0.00</c:formatCode>
                <c:ptCount val="36"/>
                <c:pt idx="0">
                  <c:v>72.87</c:v>
                </c:pt>
                <c:pt idx="1">
                  <c:v>70.83</c:v>
                </c:pt>
                <c:pt idx="2">
                  <c:v>69.98</c:v>
                </c:pt>
                <c:pt idx="3">
                  <c:v>70.34</c:v>
                </c:pt>
                <c:pt idx="4">
                  <c:v>71.489999999999995</c:v>
                </c:pt>
                <c:pt idx="5">
                  <c:v>70.290000000000006</c:v>
                </c:pt>
                <c:pt idx="6">
                  <c:v>69.510000000000005</c:v>
                </c:pt>
                <c:pt idx="7">
                  <c:v>68.98</c:v>
                </c:pt>
                <c:pt idx="8">
                  <c:v>70.099999999999994</c:v>
                </c:pt>
                <c:pt idx="9">
                  <c:v>70.02</c:v>
                </c:pt>
                <c:pt idx="10">
                  <c:v>68.41</c:v>
                </c:pt>
                <c:pt idx="11">
                  <c:v>65.88</c:v>
                </c:pt>
                <c:pt idx="12">
                  <c:v>66</c:v>
                </c:pt>
                <c:pt idx="13">
                  <c:v>63.69</c:v>
                </c:pt>
                <c:pt idx="14">
                  <c:v>59.33</c:v>
                </c:pt>
                <c:pt idx="15">
                  <c:v>59.46</c:v>
                </c:pt>
                <c:pt idx="16">
                  <c:v>60.34</c:v>
                </c:pt>
                <c:pt idx="17">
                  <c:v>62.13</c:v>
                </c:pt>
                <c:pt idx="18">
                  <c:v>57.77</c:v>
                </c:pt>
                <c:pt idx="19">
                  <c:v>57.69</c:v>
                </c:pt>
                <c:pt idx="20">
                  <c:v>60.7</c:v>
                </c:pt>
                <c:pt idx="21">
                  <c:v>60.87</c:v>
                </c:pt>
              </c:numCache>
            </c:numRef>
          </c:val>
          <c:smooth val="0"/>
          <c:extLst>
            <c:ext xmlns:c16="http://schemas.microsoft.com/office/drawing/2014/chart" uri="{C3380CC4-5D6E-409C-BE32-E72D297353CC}">
              <c16:uniqueId val="{00000000-A4C0-4D16-935C-2BF6C569C18A}"/>
            </c:ext>
          </c:extLst>
        </c:ser>
        <c:ser>
          <c:idx val="3"/>
          <c:order val="2"/>
          <c:tx>
            <c:strRef>
              <c:f>'CI Trend'!$C$14</c:f>
              <c:strCache>
                <c:ptCount val="1"/>
                <c:pt idx="0">
                  <c:v>Forecast assumption</c:v>
                </c:pt>
              </c:strCache>
            </c:strRef>
          </c:tx>
          <c:spPr>
            <a:ln w="635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Trend'!$D$14:$AM$14</c:f>
              <c:numCache>
                <c:formatCode>#,##0.00</c:formatCode>
                <c:ptCount val="36"/>
                <c:pt idx="28" formatCode="0.00">
                  <c:v>51</c:v>
                </c:pt>
                <c:pt idx="29" formatCode="0.00">
                  <c:v>51</c:v>
                </c:pt>
                <c:pt idx="30" formatCode="0.00">
                  <c:v>51</c:v>
                </c:pt>
                <c:pt idx="31" formatCode="0.00">
                  <c:v>51</c:v>
                </c:pt>
                <c:pt idx="32" formatCode="0.00">
                  <c:v>50</c:v>
                </c:pt>
                <c:pt idx="33" formatCode="0.00">
                  <c:v>50</c:v>
                </c:pt>
                <c:pt idx="34" formatCode="0.00">
                  <c:v>50</c:v>
                </c:pt>
                <c:pt idx="35" formatCode="0.00">
                  <c:v>50</c:v>
                </c:pt>
              </c:numCache>
            </c:numRef>
          </c:val>
          <c:smooth val="0"/>
          <c:extLst>
            <c:ext xmlns:c16="http://schemas.microsoft.com/office/drawing/2014/chart" uri="{C3380CC4-5D6E-409C-BE32-E72D297353CC}">
              <c16:uniqueId val="{00000000-F986-45EE-92CF-5BE6F58CA32C}"/>
            </c:ext>
          </c:extLst>
        </c:ser>
        <c:ser>
          <c:idx val="2"/>
          <c:order val="3"/>
          <c:tx>
            <c:strRef>
              <c:f>'CI Trend'!$C$13</c:f>
              <c:strCache>
                <c:ptCount val="1"/>
                <c:pt idx="0">
                  <c:v>Lower bound</c:v>
                </c:pt>
              </c:strCache>
            </c:strRef>
          </c:tx>
          <c:spPr>
            <a:ln w="63500"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Trend'!$D$13:$AI$13</c:f>
              <c:numCache>
                <c:formatCode>#,##0.00</c:formatCode>
                <c:ptCount val="32"/>
              </c:numCache>
            </c:numRef>
          </c:val>
          <c:smooth val="0"/>
          <c:extLst>
            <c:ext xmlns:c16="http://schemas.microsoft.com/office/drawing/2014/chart" uri="{C3380CC4-5D6E-409C-BE32-E72D297353CC}">
              <c16:uniqueId val="{00000001-89E7-4911-803B-C546EEA71BAB}"/>
            </c:ext>
          </c:extLst>
        </c:ser>
        <c:dLbls>
          <c:showLegendKey val="0"/>
          <c:showVal val="0"/>
          <c:showCatName val="0"/>
          <c:showSerName val="0"/>
          <c:showPercent val="0"/>
          <c:showBubbleSize val="0"/>
        </c:dLbls>
        <c:smooth val="0"/>
        <c:axId val="164543584"/>
        <c:axId val="245527544"/>
      </c:lineChart>
      <c:dateAx>
        <c:axId val="16454358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5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5527544"/>
        <c:crosses val="autoZero"/>
        <c:auto val="1"/>
        <c:lblOffset val="100"/>
        <c:baseTimeUnit val="months"/>
        <c:majorUnit val="8"/>
        <c:majorTimeUnit val="months"/>
      </c:dateAx>
      <c:valAx>
        <c:axId val="245527544"/>
        <c:scaling>
          <c:orientation val="minMax"/>
          <c:min val="3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543584"/>
        <c:crosses val="autoZero"/>
        <c:crossBetween val="between"/>
      </c:valAx>
      <c:spPr>
        <a:noFill/>
        <a:ln>
          <a:noFill/>
        </a:ln>
        <a:effectLst/>
      </c:spPr>
    </c:plotArea>
    <c:legend>
      <c:legendPos val="b"/>
      <c:layout>
        <c:manualLayout>
          <c:xMode val="edge"/>
          <c:yMode val="edge"/>
          <c:x val="0.11662389885349841"/>
          <c:y val="0.58435008321120741"/>
          <c:w val="0.52196887799951375"/>
          <c:h val="0.20465336943292181"/>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a:t>
            </a:r>
            <a:r>
              <a:rPr lang="en-US" baseline="0"/>
              <a:t> </a:t>
            </a:r>
            <a:r>
              <a:rPr lang="en-US"/>
              <a:t>Carbon Intensity</a:t>
            </a:r>
          </a:p>
        </c:rich>
      </c:tx>
      <c:layout>
        <c:manualLayout>
          <c:xMode val="edge"/>
          <c:yMode val="edge"/>
          <c:x val="0.31321731851791529"/>
          <c:y val="2.208202441243558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Trend'!$C$18</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Trend'!$D$18:$AM$18</c:f>
              <c:numCache>
                <c:formatCode>#,##0.00</c:formatCode>
                <c:ptCount val="36"/>
                <c:pt idx="0">
                  <c:v>56.38</c:v>
                </c:pt>
                <c:pt idx="1">
                  <c:v>51.31</c:v>
                </c:pt>
                <c:pt idx="2">
                  <c:v>51.13</c:v>
                </c:pt>
                <c:pt idx="3">
                  <c:v>48.72</c:v>
                </c:pt>
                <c:pt idx="4">
                  <c:v>46.35</c:v>
                </c:pt>
                <c:pt idx="5">
                  <c:v>47.58</c:v>
                </c:pt>
                <c:pt idx="6">
                  <c:v>47.06</c:v>
                </c:pt>
                <c:pt idx="7">
                  <c:v>47.45</c:v>
                </c:pt>
                <c:pt idx="8">
                  <c:v>45.21</c:v>
                </c:pt>
                <c:pt idx="9">
                  <c:v>46.03</c:v>
                </c:pt>
                <c:pt idx="10">
                  <c:v>45.34</c:v>
                </c:pt>
                <c:pt idx="11">
                  <c:v>44.35</c:v>
                </c:pt>
                <c:pt idx="12">
                  <c:v>39.51</c:v>
                </c:pt>
                <c:pt idx="13">
                  <c:v>38.92</c:v>
                </c:pt>
                <c:pt idx="14">
                  <c:v>38.97</c:v>
                </c:pt>
                <c:pt idx="15">
                  <c:v>37.380000000000003</c:v>
                </c:pt>
                <c:pt idx="16">
                  <c:v>36.61</c:v>
                </c:pt>
                <c:pt idx="17">
                  <c:v>43.72</c:v>
                </c:pt>
                <c:pt idx="18">
                  <c:v>42.81</c:v>
                </c:pt>
                <c:pt idx="19">
                  <c:v>44.65</c:v>
                </c:pt>
                <c:pt idx="20">
                  <c:v>43.24</c:v>
                </c:pt>
                <c:pt idx="21">
                  <c:v>40.47</c:v>
                </c:pt>
                <c:pt idx="22">
                  <c:v>41.85</c:v>
                </c:pt>
                <c:pt idx="23">
                  <c:v>42.09</c:v>
                </c:pt>
                <c:pt idx="24">
                  <c:v>42.37</c:v>
                </c:pt>
                <c:pt idx="25">
                  <c:v>40.43</c:v>
                </c:pt>
                <c:pt idx="26">
                  <c:v>41.37</c:v>
                </c:pt>
                <c:pt idx="27">
                  <c:v>42.02</c:v>
                </c:pt>
              </c:numCache>
            </c:numRef>
          </c:val>
          <c:smooth val="0"/>
          <c:extLst>
            <c:ext xmlns:c16="http://schemas.microsoft.com/office/drawing/2014/chart" uri="{C3380CC4-5D6E-409C-BE32-E72D297353CC}">
              <c16:uniqueId val="{00000000-29F7-4C50-9A8F-9F4573EB8B8F}"/>
            </c:ext>
          </c:extLst>
        </c:ser>
        <c:ser>
          <c:idx val="1"/>
          <c:order val="1"/>
          <c:tx>
            <c:strRef>
              <c:f>'CI Trend'!$C$19</c:f>
              <c:strCache>
                <c:ptCount val="1"/>
                <c:pt idx="0">
                  <c:v>Lower bound</c:v>
                </c:pt>
              </c:strCache>
            </c:strRef>
          </c:tx>
          <c:spPr>
            <a:ln w="50800"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Trend'!$D$19:$AI$19</c:f>
              <c:numCache>
                <c:formatCode>#,##0.00</c:formatCode>
                <c:ptCount val="32"/>
              </c:numCache>
            </c:numRef>
          </c:val>
          <c:smooth val="0"/>
          <c:extLst>
            <c:ext xmlns:c16="http://schemas.microsoft.com/office/drawing/2014/chart" uri="{C3380CC4-5D6E-409C-BE32-E72D297353CC}">
              <c16:uniqueId val="{00000000-497C-4FD9-AB7E-FDD088311F0A}"/>
            </c:ext>
          </c:extLst>
        </c:ser>
        <c:ser>
          <c:idx val="2"/>
          <c:order val="2"/>
          <c:tx>
            <c:strRef>
              <c:f>'CI Trend'!$C$21</c:f>
              <c:strCache>
                <c:ptCount val="1"/>
                <c:pt idx="0">
                  <c:v>California</c:v>
                </c:pt>
              </c:strCache>
            </c:strRef>
          </c:tx>
          <c:spPr>
            <a:ln w="28575" cap="rnd">
              <a:solidFill>
                <a:srgbClr val="FEC2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Trend'!$D$21:$AM$21</c:f>
              <c:numCache>
                <c:formatCode>General</c:formatCode>
                <c:ptCount val="36"/>
                <c:pt idx="0">
                  <c:v>17.25</c:v>
                </c:pt>
                <c:pt idx="1">
                  <c:v>13.83</c:v>
                </c:pt>
                <c:pt idx="2">
                  <c:v>17.53</c:v>
                </c:pt>
                <c:pt idx="3">
                  <c:v>18.309999999999999</c:v>
                </c:pt>
                <c:pt idx="4">
                  <c:v>34.76</c:v>
                </c:pt>
                <c:pt idx="5">
                  <c:v>30.84</c:v>
                </c:pt>
                <c:pt idx="6">
                  <c:v>36.82</c:v>
                </c:pt>
                <c:pt idx="7">
                  <c:v>34.15</c:v>
                </c:pt>
                <c:pt idx="8">
                  <c:v>33.97</c:v>
                </c:pt>
                <c:pt idx="9">
                  <c:v>29.93</c:v>
                </c:pt>
                <c:pt idx="10">
                  <c:v>29.61</c:v>
                </c:pt>
                <c:pt idx="11">
                  <c:v>30.67</c:v>
                </c:pt>
                <c:pt idx="12">
                  <c:v>28.46</c:v>
                </c:pt>
                <c:pt idx="13">
                  <c:v>26.98</c:v>
                </c:pt>
                <c:pt idx="14">
                  <c:v>26.15</c:v>
                </c:pt>
                <c:pt idx="15">
                  <c:v>26.34</c:v>
                </c:pt>
                <c:pt idx="16">
                  <c:v>25.93</c:v>
                </c:pt>
                <c:pt idx="17" formatCode="0.00">
                  <c:v>27.25</c:v>
                </c:pt>
                <c:pt idx="18" formatCode="0.00">
                  <c:v>27.08</c:v>
                </c:pt>
                <c:pt idx="19" formatCode="0.00">
                  <c:v>29.92</c:v>
                </c:pt>
                <c:pt idx="20" formatCode="0.00">
                  <c:v>29.69</c:v>
                </c:pt>
                <c:pt idx="21" formatCode="0.00">
                  <c:v>28.54</c:v>
                </c:pt>
              </c:numCache>
            </c:numRef>
          </c:val>
          <c:smooth val="0"/>
          <c:extLst>
            <c:ext xmlns:c16="http://schemas.microsoft.com/office/drawing/2014/chart" uri="{C3380CC4-5D6E-409C-BE32-E72D297353CC}">
              <c16:uniqueId val="{00000001-497C-4FD9-AB7E-FDD088311F0A}"/>
            </c:ext>
          </c:extLst>
        </c:ser>
        <c:ser>
          <c:idx val="3"/>
          <c:order val="3"/>
          <c:tx>
            <c:strRef>
              <c:f>'CI Trend'!$C$20</c:f>
              <c:strCache>
                <c:ptCount val="1"/>
                <c:pt idx="0">
                  <c:v>Forecast assumption</c:v>
                </c:pt>
              </c:strCache>
            </c:strRef>
          </c:tx>
          <c:spPr>
            <a:ln w="508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Trend'!$D$20:$AM$20</c:f>
              <c:numCache>
                <c:formatCode>#,##0.00</c:formatCode>
                <c:ptCount val="36"/>
                <c:pt idx="28">
                  <c:v>41</c:v>
                </c:pt>
                <c:pt idx="29">
                  <c:v>41</c:v>
                </c:pt>
                <c:pt idx="30">
                  <c:v>41</c:v>
                </c:pt>
                <c:pt idx="31">
                  <c:v>41</c:v>
                </c:pt>
                <c:pt idx="32">
                  <c:v>40.5</c:v>
                </c:pt>
                <c:pt idx="33">
                  <c:v>40.5</c:v>
                </c:pt>
                <c:pt idx="34">
                  <c:v>40.5</c:v>
                </c:pt>
                <c:pt idx="35">
                  <c:v>40.5</c:v>
                </c:pt>
              </c:numCache>
            </c:numRef>
          </c:val>
          <c:smooth val="0"/>
          <c:extLst>
            <c:ext xmlns:c16="http://schemas.microsoft.com/office/drawing/2014/chart" uri="{C3380CC4-5D6E-409C-BE32-E72D297353CC}">
              <c16:uniqueId val="{00000000-0EE2-4660-A57E-5BCB566AEA20}"/>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8"/>
        <c:majorTimeUnit val="months"/>
      </c:dateAx>
      <c:valAx>
        <c:axId val="2494415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5398057916675267"/>
          <c:y val="0.64411253238096633"/>
          <c:w val="0.51544096990006971"/>
          <c:h val="0.13840734702981866"/>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Carbon</a:t>
            </a:r>
            <a:r>
              <a:rPr lang="en-US" baseline="0"/>
              <a:t> Intensity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1-A9A0-4D87-B150-4D91BBEC3729}"/>
              </c:ext>
            </c:extLst>
          </c:dPt>
          <c:dPt>
            <c:idx val="8"/>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2-A9A0-4D87-B150-4D91BBEC3729}"/>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Trend'!$AQ$5:$AY$5</c:f>
              <c:strCache>
                <c:ptCount val="9"/>
                <c:pt idx="0">
                  <c:v>2016</c:v>
                </c:pt>
                <c:pt idx="1">
                  <c:v>2017</c:v>
                </c:pt>
                <c:pt idx="2">
                  <c:v>2018</c:v>
                </c:pt>
                <c:pt idx="3">
                  <c:v>2019</c:v>
                </c:pt>
                <c:pt idx="4">
                  <c:v>2020</c:v>
                </c:pt>
                <c:pt idx="5">
                  <c:v>2021</c:v>
                </c:pt>
                <c:pt idx="6">
                  <c:v>2022</c:v>
                </c:pt>
                <c:pt idx="7">
                  <c:v>2023F</c:v>
                </c:pt>
                <c:pt idx="8">
                  <c:v>2024F</c:v>
                </c:pt>
              </c:strCache>
            </c:strRef>
          </c:cat>
          <c:val>
            <c:numRef>
              <c:f>'CI Trend'!$AQ$6:$AY$6</c:f>
              <c:numCache>
                <c:formatCode>0.00</c:formatCode>
                <c:ptCount val="9"/>
                <c:pt idx="0">
                  <c:v>63.281882080974157</c:v>
                </c:pt>
                <c:pt idx="1">
                  <c:v>62.667879753847885</c:v>
                </c:pt>
                <c:pt idx="2">
                  <c:v>60.863121305588329</c:v>
                </c:pt>
                <c:pt idx="3">
                  <c:v>58.086587983738774</c:v>
                </c:pt>
                <c:pt idx="4">
                  <c:v>54.76250762154914</c:v>
                </c:pt>
                <c:pt idx="5">
                  <c:v>53.717956174981033</c:v>
                </c:pt>
                <c:pt idx="6">
                  <c:v>53.407431487636629</c:v>
                </c:pt>
                <c:pt idx="7">
                  <c:v>51</c:v>
                </c:pt>
                <c:pt idx="8">
                  <c:v>50</c:v>
                </c:pt>
              </c:numCache>
            </c:numRef>
          </c:val>
          <c:extLst>
            <c:ext xmlns:c16="http://schemas.microsoft.com/office/drawing/2014/chart" uri="{C3380CC4-5D6E-409C-BE32-E72D297353CC}">
              <c16:uniqueId val="{00000000-A9A0-4D87-B150-4D91BBEC3729}"/>
            </c:ext>
          </c:extLst>
        </c:ser>
        <c:dLbls>
          <c:showLegendKey val="0"/>
          <c:showVal val="0"/>
          <c:showCatName val="0"/>
          <c:showSerName val="0"/>
          <c:showPercent val="0"/>
          <c:showBubbleSize val="0"/>
        </c:dLbls>
        <c:gapWidth val="219"/>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4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6666666666666666E-2"/>
              <c:y val="0.3450869355616262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 Carbon</a:t>
            </a:r>
            <a:r>
              <a:rPr lang="en-US" baseline="0"/>
              <a:t> Intensity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4-5653-4FFA-9796-D8FF931AFA53}"/>
              </c:ext>
            </c:extLst>
          </c:dPt>
          <c:dPt>
            <c:idx val="8"/>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5-5653-4FFA-9796-D8FF931AFA5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Trend'!$AQ$5:$AY$5</c:f>
              <c:strCache>
                <c:ptCount val="9"/>
                <c:pt idx="0">
                  <c:v>2016</c:v>
                </c:pt>
                <c:pt idx="1">
                  <c:v>2017</c:v>
                </c:pt>
                <c:pt idx="2">
                  <c:v>2018</c:v>
                </c:pt>
                <c:pt idx="3">
                  <c:v>2019</c:v>
                </c:pt>
                <c:pt idx="4">
                  <c:v>2020</c:v>
                </c:pt>
                <c:pt idx="5">
                  <c:v>2021</c:v>
                </c:pt>
                <c:pt idx="6">
                  <c:v>2022</c:v>
                </c:pt>
                <c:pt idx="7">
                  <c:v>2023F</c:v>
                </c:pt>
                <c:pt idx="8">
                  <c:v>2024F</c:v>
                </c:pt>
              </c:strCache>
            </c:strRef>
          </c:cat>
          <c:val>
            <c:numRef>
              <c:f>'CI Trend'!$AQ$7:$AY$7</c:f>
              <c:numCache>
                <c:formatCode>0.00</c:formatCode>
                <c:ptCount val="9"/>
                <c:pt idx="0">
                  <c:v>51.900486040330627</c:v>
                </c:pt>
                <c:pt idx="1">
                  <c:v>47.178114702642979</c:v>
                </c:pt>
                <c:pt idx="2">
                  <c:v>45.237497693801501</c:v>
                </c:pt>
                <c:pt idx="3">
                  <c:v>38.653140121327112</c:v>
                </c:pt>
                <c:pt idx="4">
                  <c:v>42.136654583905496</c:v>
                </c:pt>
                <c:pt idx="5">
                  <c:v>41.821512929244939</c:v>
                </c:pt>
                <c:pt idx="6">
                  <c:v>41.499166320052083</c:v>
                </c:pt>
                <c:pt idx="7">
                  <c:v>41</c:v>
                </c:pt>
                <c:pt idx="8">
                  <c:v>40.5</c:v>
                </c:pt>
              </c:numCache>
            </c:numRef>
          </c:val>
          <c:extLst>
            <c:ext xmlns:c16="http://schemas.microsoft.com/office/drawing/2014/chart" uri="{C3380CC4-5D6E-409C-BE32-E72D297353CC}">
              <c16:uniqueId val="{00000000-5653-4FFA-9796-D8FF931AFA53}"/>
            </c:ext>
          </c:extLst>
        </c:ser>
        <c:dLbls>
          <c:showLegendKey val="0"/>
          <c:showVal val="0"/>
          <c:showCatName val="0"/>
          <c:showSerName val="0"/>
          <c:showPercent val="0"/>
          <c:showBubbleSize val="0"/>
        </c:dLbls>
        <c:gapWidth val="219"/>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3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1.9444444444444445E-2"/>
              <c:y val="0.3532502008677486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 Diesel Carbon</a:t>
            </a:r>
            <a:r>
              <a:rPr lang="en-US" baseline="0"/>
              <a:t> Intensity</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1-3E8B-44DF-B198-DC7D3AF5A9AD}"/>
              </c:ext>
            </c:extLst>
          </c:dPt>
          <c:dPt>
            <c:idx val="8"/>
            <c:invertIfNegative val="0"/>
            <c:bubble3D val="0"/>
            <c:spPr>
              <a:pattFill prst="wdUpDiag">
                <a:fgClr>
                  <a:srgbClr val="FF99FF"/>
                </a:fgClr>
                <a:bgClr>
                  <a:schemeClr val="bg1"/>
                </a:bgClr>
              </a:pattFill>
              <a:ln>
                <a:noFill/>
              </a:ln>
              <a:effectLst/>
            </c:spPr>
            <c:extLst>
              <c:ext xmlns:c16="http://schemas.microsoft.com/office/drawing/2014/chart" uri="{C3380CC4-5D6E-409C-BE32-E72D297353CC}">
                <c16:uniqueId val="{00000002-3E8B-44DF-B198-DC7D3AF5A9AD}"/>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'CI Trend'!$AQ$5:$AY$5</c:f>
              <c:strCache>
                <c:ptCount val="9"/>
                <c:pt idx="0">
                  <c:v>2016</c:v>
                </c:pt>
                <c:pt idx="1">
                  <c:v>2017</c:v>
                </c:pt>
                <c:pt idx="2">
                  <c:v>2018</c:v>
                </c:pt>
                <c:pt idx="3">
                  <c:v>2019</c:v>
                </c:pt>
                <c:pt idx="4">
                  <c:v>2020</c:v>
                </c:pt>
                <c:pt idx="5">
                  <c:v>2021</c:v>
                </c:pt>
                <c:pt idx="6">
                  <c:v>2022</c:v>
                </c:pt>
                <c:pt idx="7">
                  <c:v>2023F</c:v>
                </c:pt>
                <c:pt idx="8">
                  <c:v>2024F</c:v>
                </c:pt>
              </c:strCache>
            </c:strRef>
          </c:cat>
          <c:val>
            <c:numRef>
              <c:f>'CI Trend'!$AQ$8:$AY$8</c:f>
              <c:numCache>
                <c:formatCode>0.00</c:formatCode>
                <c:ptCount val="9"/>
                <c:pt idx="1">
                  <c:v>33.64</c:v>
                </c:pt>
                <c:pt idx="2">
                  <c:v>39.09764666383375</c:v>
                </c:pt>
                <c:pt idx="3">
                  <c:v>30.108851344683323</c:v>
                </c:pt>
                <c:pt idx="4">
                  <c:v>31.481638380492861</c:v>
                </c:pt>
                <c:pt idx="5">
                  <c:v>36.964289320926227</c:v>
                </c:pt>
                <c:pt idx="6">
                  <c:v>39.161223731186084</c:v>
                </c:pt>
                <c:pt idx="7">
                  <c:v>40.5</c:v>
                </c:pt>
                <c:pt idx="8">
                  <c:v>41.45</c:v>
                </c:pt>
              </c:numCache>
            </c:numRef>
          </c:val>
          <c:extLst>
            <c:ext xmlns:c16="http://schemas.microsoft.com/office/drawing/2014/chart" uri="{C3380CC4-5D6E-409C-BE32-E72D297353CC}">
              <c16:uniqueId val="{00000000-3E8B-44DF-B198-DC7D3AF5A9AD}"/>
            </c:ext>
          </c:extLst>
        </c:ser>
        <c:dLbls>
          <c:showLegendKey val="0"/>
          <c:showVal val="0"/>
          <c:showCatName val="0"/>
          <c:showSerName val="0"/>
          <c:showPercent val="0"/>
          <c:showBubbleSize val="0"/>
        </c:dLbls>
        <c:gapWidth val="219"/>
        <c:overlap val="-27"/>
        <c:axId val="111880976"/>
        <c:axId val="111878576"/>
      </c:barChart>
      <c:catAx>
        <c:axId val="111880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78576"/>
        <c:crosses val="autoZero"/>
        <c:auto val="1"/>
        <c:lblAlgn val="ctr"/>
        <c:lblOffset val="100"/>
        <c:noMultiLvlLbl val="0"/>
      </c:catAx>
      <c:valAx>
        <c:axId val="111878576"/>
        <c:scaling>
          <c:orientation val="minMax"/>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Weighted Average</a:t>
                </a:r>
              </a:p>
            </c:rich>
          </c:tx>
          <c:layout>
            <c:manualLayout>
              <c:xMode val="edge"/>
              <c:yMode val="edge"/>
              <c:x val="2.2222222222222223E-2"/>
              <c:y val="0.3491685682146874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1880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t>
            </a:r>
            <a:r>
              <a:rPr lang="en-US" baseline="0"/>
              <a:t>Electric Vehicles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145948969493567"/>
          <c:y val="0.12003236245954693"/>
          <c:w val="0.8484858654963211"/>
          <c:h val="0.74502127768009585"/>
        </c:manualLayout>
      </c:layout>
      <c:lineChart>
        <c:grouping val="standard"/>
        <c:varyColors val="0"/>
        <c:ser>
          <c:idx val="0"/>
          <c:order val="0"/>
          <c:tx>
            <c:strRef>
              <c:f>'Electric Vehicles'!$H$3</c:f>
              <c:strCache>
                <c:ptCount val="1"/>
                <c:pt idx="0">
                  <c:v>Current forecast</c:v>
                </c:pt>
              </c:strCache>
            </c:strRef>
          </c:tx>
          <c:spPr>
            <a:ln w="28575" cap="rnd">
              <a:solidFill>
                <a:schemeClr val="accent1"/>
              </a:solidFill>
              <a:round/>
            </a:ln>
            <a:effectLst/>
          </c:spPr>
          <c:marker>
            <c:symbol val="none"/>
          </c:marker>
          <c:cat>
            <c:numRef>
              <c:f>'Electric Vehicles'!$A$4:$A$63</c:f>
              <c:numCache>
                <c:formatCode>m/d/yyyy</c:formatCode>
                <c:ptCount val="60"/>
                <c:pt idx="0">
                  <c:v>41275</c:v>
                </c:pt>
                <c:pt idx="1">
                  <c:v>41365</c:v>
                </c:pt>
                <c:pt idx="2">
                  <c:v>41456</c:v>
                </c:pt>
                <c:pt idx="3">
                  <c:v>41548</c:v>
                </c:pt>
                <c:pt idx="4">
                  <c:v>41640</c:v>
                </c:pt>
                <c:pt idx="5">
                  <c:v>41730</c:v>
                </c:pt>
                <c:pt idx="6">
                  <c:v>41821</c:v>
                </c:pt>
                <c:pt idx="7">
                  <c:v>41913</c:v>
                </c:pt>
                <c:pt idx="8">
                  <c:v>42005</c:v>
                </c:pt>
                <c:pt idx="9">
                  <c:v>42095</c:v>
                </c:pt>
                <c:pt idx="10">
                  <c:v>42186</c:v>
                </c:pt>
                <c:pt idx="11">
                  <c:v>42278</c:v>
                </c:pt>
                <c:pt idx="12">
                  <c:v>42370</c:v>
                </c:pt>
                <c:pt idx="13">
                  <c:v>42461</c:v>
                </c:pt>
                <c:pt idx="14">
                  <c:v>42552</c:v>
                </c:pt>
                <c:pt idx="15">
                  <c:v>42644</c:v>
                </c:pt>
                <c:pt idx="16">
                  <c:v>42736</c:v>
                </c:pt>
                <c:pt idx="17">
                  <c:v>42826</c:v>
                </c:pt>
                <c:pt idx="18">
                  <c:v>42917</c:v>
                </c:pt>
                <c:pt idx="19">
                  <c:v>43009</c:v>
                </c:pt>
                <c:pt idx="20">
                  <c:v>43101</c:v>
                </c:pt>
                <c:pt idx="21">
                  <c:v>43191</c:v>
                </c:pt>
                <c:pt idx="22">
                  <c:v>43282</c:v>
                </c:pt>
                <c:pt idx="23">
                  <c:v>43374</c:v>
                </c:pt>
                <c:pt idx="24">
                  <c:v>43466</c:v>
                </c:pt>
                <c:pt idx="25">
                  <c:v>43556</c:v>
                </c:pt>
                <c:pt idx="26">
                  <c:v>43647</c:v>
                </c:pt>
                <c:pt idx="27">
                  <c:v>43739</c:v>
                </c:pt>
                <c:pt idx="28">
                  <c:v>43831</c:v>
                </c:pt>
                <c:pt idx="29">
                  <c:v>43922</c:v>
                </c:pt>
                <c:pt idx="30">
                  <c:v>44013</c:v>
                </c:pt>
                <c:pt idx="31">
                  <c:v>44105</c:v>
                </c:pt>
                <c:pt idx="32">
                  <c:v>44197</c:v>
                </c:pt>
                <c:pt idx="33">
                  <c:v>44287</c:v>
                </c:pt>
                <c:pt idx="34">
                  <c:v>44378</c:v>
                </c:pt>
                <c:pt idx="35">
                  <c:v>44470</c:v>
                </c:pt>
                <c:pt idx="36">
                  <c:v>44562</c:v>
                </c:pt>
                <c:pt idx="37">
                  <c:v>44652</c:v>
                </c:pt>
                <c:pt idx="38">
                  <c:v>44743</c:v>
                </c:pt>
                <c:pt idx="39">
                  <c:v>44835</c:v>
                </c:pt>
                <c:pt idx="40">
                  <c:v>44927</c:v>
                </c:pt>
                <c:pt idx="41">
                  <c:v>45017</c:v>
                </c:pt>
                <c:pt idx="42">
                  <c:v>45108</c:v>
                </c:pt>
                <c:pt idx="43">
                  <c:v>45200</c:v>
                </c:pt>
                <c:pt idx="44">
                  <c:v>45292</c:v>
                </c:pt>
                <c:pt idx="45">
                  <c:v>45383</c:v>
                </c:pt>
                <c:pt idx="46">
                  <c:v>45474</c:v>
                </c:pt>
                <c:pt idx="47">
                  <c:v>45566</c:v>
                </c:pt>
                <c:pt idx="48">
                  <c:v>45658</c:v>
                </c:pt>
                <c:pt idx="49">
                  <c:v>45748</c:v>
                </c:pt>
                <c:pt idx="50">
                  <c:v>45839</c:v>
                </c:pt>
                <c:pt idx="51">
                  <c:v>45931</c:v>
                </c:pt>
                <c:pt idx="52">
                  <c:v>46023</c:v>
                </c:pt>
                <c:pt idx="53">
                  <c:v>46113</c:v>
                </c:pt>
                <c:pt idx="54">
                  <c:v>46204</c:v>
                </c:pt>
                <c:pt idx="55">
                  <c:v>46296</c:v>
                </c:pt>
                <c:pt idx="56">
                  <c:v>46388</c:v>
                </c:pt>
                <c:pt idx="57">
                  <c:v>46478</c:v>
                </c:pt>
                <c:pt idx="58">
                  <c:v>46569</c:v>
                </c:pt>
                <c:pt idx="59">
                  <c:v>46661</c:v>
                </c:pt>
              </c:numCache>
            </c:numRef>
          </c:cat>
          <c:val>
            <c:numRef>
              <c:f>'Electric Vehicles'!$H$4:$H$63</c:f>
              <c:numCache>
                <c:formatCode>#,##0</c:formatCode>
                <c:ptCount val="60"/>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32230</c:v>
                </c:pt>
                <c:pt idx="29">
                  <c:v>32579</c:v>
                </c:pt>
                <c:pt idx="30">
                  <c:v>33752</c:v>
                </c:pt>
                <c:pt idx="31">
                  <c:v>35735</c:v>
                </c:pt>
                <c:pt idx="32">
                  <c:v>37908</c:v>
                </c:pt>
                <c:pt idx="33">
                  <c:v>40303</c:v>
                </c:pt>
                <c:pt idx="34">
                  <c:v>43647</c:v>
                </c:pt>
                <c:pt idx="35">
                  <c:v>47157</c:v>
                </c:pt>
                <c:pt idx="36">
                  <c:v>50044</c:v>
                </c:pt>
                <c:pt idx="37">
                  <c:v>53169</c:v>
                </c:pt>
                <c:pt idx="38">
                  <c:v>57744</c:v>
                </c:pt>
                <c:pt idx="39">
                  <c:v>62532</c:v>
                </c:pt>
                <c:pt idx="40">
                  <c:v>67769</c:v>
                </c:pt>
                <c:pt idx="41">
                  <c:v>73369</c:v>
                </c:pt>
                <c:pt idx="42">
                  <c:v>79022</c:v>
                </c:pt>
                <c:pt idx="43">
                  <c:v>84561</c:v>
                </c:pt>
                <c:pt idx="44">
                  <c:v>92528</c:v>
                </c:pt>
                <c:pt idx="45">
                  <c:v>100008</c:v>
                </c:pt>
                <c:pt idx="46">
                  <c:v>107463</c:v>
                </c:pt>
                <c:pt idx="47">
                  <c:v>114570</c:v>
                </c:pt>
                <c:pt idx="48">
                  <c:v>124589</c:v>
                </c:pt>
                <c:pt idx="49">
                  <c:v>133633</c:v>
                </c:pt>
                <c:pt idx="50">
                  <c:v>142945</c:v>
                </c:pt>
                <c:pt idx="51">
                  <c:v>152151</c:v>
                </c:pt>
                <c:pt idx="52">
                  <c:v>164642</c:v>
                </c:pt>
                <c:pt idx="53">
                  <c:v>176117</c:v>
                </c:pt>
                <c:pt idx="54">
                  <c:v>187798</c:v>
                </c:pt>
                <c:pt idx="55">
                  <c:v>199057</c:v>
                </c:pt>
                <c:pt idx="56">
                  <c:v>214774</c:v>
                </c:pt>
                <c:pt idx="57">
                  <c:v>229079</c:v>
                </c:pt>
                <c:pt idx="58">
                  <c:v>243980</c:v>
                </c:pt>
                <c:pt idx="59">
                  <c:v>258629</c:v>
                </c:pt>
              </c:numCache>
            </c:numRef>
          </c:val>
          <c:smooth val="0"/>
          <c:extLst>
            <c:ext xmlns:c16="http://schemas.microsoft.com/office/drawing/2014/chart" uri="{C3380CC4-5D6E-409C-BE32-E72D297353CC}">
              <c16:uniqueId val="{00000000-EF24-4740-A444-3B2B1319CDF5}"/>
            </c:ext>
          </c:extLst>
        </c:ser>
        <c:ser>
          <c:idx val="2"/>
          <c:order val="1"/>
          <c:tx>
            <c:strRef>
              <c:f>'Electric Vehicles'!$R$3</c:f>
              <c:strCache>
                <c:ptCount val="1"/>
                <c:pt idx="0">
                  <c:v>Prior Forecast</c:v>
                </c:pt>
              </c:strCache>
            </c:strRef>
          </c:tx>
          <c:spPr>
            <a:ln w="28575" cap="rnd">
              <a:solidFill>
                <a:schemeClr val="accent3"/>
              </a:solidFill>
              <a:round/>
            </a:ln>
            <a:effectLst/>
          </c:spPr>
          <c:marker>
            <c:symbol val="none"/>
          </c:marker>
          <c:val>
            <c:numRef>
              <c:f>'Electric Vehicles'!$R$4:$R$63</c:f>
              <c:numCache>
                <c:formatCode>#,##0</c:formatCode>
                <c:ptCount val="60"/>
                <c:pt idx="0">
                  <c:v>2586</c:v>
                </c:pt>
                <c:pt idx="1">
                  <c:v>3075</c:v>
                </c:pt>
                <c:pt idx="2">
                  <c:v>3677</c:v>
                </c:pt>
                <c:pt idx="3">
                  <c:v>4374</c:v>
                </c:pt>
                <c:pt idx="4">
                  <c:v>4762</c:v>
                </c:pt>
                <c:pt idx="5">
                  <c:v>5232</c:v>
                </c:pt>
                <c:pt idx="6">
                  <c:v>5919</c:v>
                </c:pt>
                <c:pt idx="7">
                  <c:v>6642</c:v>
                </c:pt>
                <c:pt idx="8">
                  <c:v>7192</c:v>
                </c:pt>
                <c:pt idx="9">
                  <c:v>7885</c:v>
                </c:pt>
                <c:pt idx="10">
                  <c:v>8620</c:v>
                </c:pt>
                <c:pt idx="11">
                  <c:v>9313</c:v>
                </c:pt>
                <c:pt idx="12">
                  <c:v>10172</c:v>
                </c:pt>
                <c:pt idx="13">
                  <c:v>11122</c:v>
                </c:pt>
                <c:pt idx="14">
                  <c:v>12057</c:v>
                </c:pt>
                <c:pt idx="15">
                  <c:v>13169</c:v>
                </c:pt>
                <c:pt idx="16">
                  <c:v>14319</c:v>
                </c:pt>
                <c:pt idx="17">
                  <c:v>15418</c:v>
                </c:pt>
                <c:pt idx="18">
                  <c:v>16325</c:v>
                </c:pt>
                <c:pt idx="19">
                  <c:v>17313</c:v>
                </c:pt>
                <c:pt idx="20">
                  <c:v>18461</c:v>
                </c:pt>
                <c:pt idx="21">
                  <c:v>19638</c:v>
                </c:pt>
                <c:pt idx="22">
                  <c:v>20867</c:v>
                </c:pt>
                <c:pt idx="23">
                  <c:v>22847</c:v>
                </c:pt>
                <c:pt idx="24">
                  <c:v>24747</c:v>
                </c:pt>
                <c:pt idx="25">
                  <c:v>26315</c:v>
                </c:pt>
                <c:pt idx="26">
                  <c:v>28425</c:v>
                </c:pt>
                <c:pt idx="27">
                  <c:v>30242</c:v>
                </c:pt>
                <c:pt idx="28">
                  <c:v>31973</c:v>
                </c:pt>
                <c:pt idx="29">
                  <c:v>32164</c:v>
                </c:pt>
                <c:pt idx="30">
                  <c:v>33238</c:v>
                </c:pt>
                <c:pt idx="31">
                  <c:v>35140</c:v>
                </c:pt>
                <c:pt idx="32">
                  <c:v>37256</c:v>
                </c:pt>
                <c:pt idx="33">
                  <c:v>39611</c:v>
                </c:pt>
                <c:pt idx="34">
                  <c:v>42960</c:v>
                </c:pt>
                <c:pt idx="35">
                  <c:v>46664</c:v>
                </c:pt>
                <c:pt idx="36">
                  <c:v>49636</c:v>
                </c:pt>
                <c:pt idx="37">
                  <c:v>54160.259441361472</c:v>
                </c:pt>
                <c:pt idx="38">
                  <c:v>58539.139950075893</c:v>
                </c:pt>
                <c:pt idx="39">
                  <c:v>62351.731736037211</c:v>
                </c:pt>
                <c:pt idx="40">
                  <c:v>66380.458933282745</c:v>
                </c:pt>
                <c:pt idx="41">
                  <c:v>71270.724876521563</c:v>
                </c:pt>
                <c:pt idx="42">
                  <c:v>75796.475715163382</c:v>
                </c:pt>
                <c:pt idx="43">
                  <c:v>80265.226845480836</c:v>
                </c:pt>
                <c:pt idx="44">
                  <c:v>84818.9724826686</c:v>
                </c:pt>
                <c:pt idx="45">
                  <c:v>90034.521464391059</c:v>
                </c:pt>
                <c:pt idx="46">
                  <c:v>95217.952645828525</c:v>
                </c:pt>
                <c:pt idx="47">
                  <c:v>99848.996771351143</c:v>
                </c:pt>
                <c:pt idx="48">
                  <c:v>104441.51648684018</c:v>
                </c:pt>
                <c:pt idx="49">
                  <c:v>109798.12999085612</c:v>
                </c:pt>
                <c:pt idx="50">
                  <c:v>114790.73713900434</c:v>
                </c:pt>
                <c:pt idx="51">
                  <c:v>119707.72652248977</c:v>
                </c:pt>
                <c:pt idx="52">
                  <c:v>124425.15505845618</c:v>
                </c:pt>
                <c:pt idx="53">
                  <c:v>129605.70716190006</c:v>
                </c:pt>
                <c:pt idx="54">
                  <c:v>134800.72258030638</c:v>
                </c:pt>
                <c:pt idx="55">
                  <c:v>139460.42262023815</c:v>
                </c:pt>
                <c:pt idx="56">
                  <c:v>144029.80146510832</c:v>
                </c:pt>
                <c:pt idx="57">
                  <c:v>149308.53894878295</c:v>
                </c:pt>
                <c:pt idx="58">
                  <c:v>154678.11379060204</c:v>
                </c:pt>
                <c:pt idx="59">
                  <c:v>159927.35024974332</c:v>
                </c:pt>
              </c:numCache>
            </c:numRef>
          </c:val>
          <c:smooth val="0"/>
          <c:extLst>
            <c:ext xmlns:c16="http://schemas.microsoft.com/office/drawing/2014/chart" uri="{C3380CC4-5D6E-409C-BE32-E72D297353CC}">
              <c16:uniqueId val="{00000002-946D-43E5-8064-F0A956C86027}"/>
            </c:ext>
          </c:extLst>
        </c:ser>
        <c:dLbls>
          <c:showLegendKey val="0"/>
          <c:showVal val="0"/>
          <c:showCatName val="0"/>
          <c:showSerName val="0"/>
          <c:showPercent val="0"/>
          <c:showBubbleSize val="0"/>
        </c:dLbls>
        <c:smooth val="0"/>
        <c:axId val="434422656"/>
        <c:axId val="434422264"/>
      </c:lineChart>
      <c:dateAx>
        <c:axId val="434422656"/>
        <c:scaling>
          <c:orientation val="minMax"/>
        </c:scaling>
        <c:delete val="0"/>
        <c:axPos val="b"/>
        <c:numFmt formatCode="m/d/yyyy" sourceLinked="1"/>
        <c:majorTickMark val="cross"/>
        <c:minorTickMark val="none"/>
        <c:tickLblPos val="nextTo"/>
        <c:spPr>
          <a:noFill/>
          <a:ln w="9525" cap="flat" cmpd="sng" algn="ctr">
            <a:solidFill>
              <a:schemeClr val="tx1">
                <a:lumMod val="15000"/>
                <a:lumOff val="85000"/>
              </a:schemeClr>
            </a:solidFill>
            <a:round/>
          </a:ln>
          <a:effectLst/>
        </c:spPr>
        <c:txPr>
          <a:bodyPr rot="-24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4422264"/>
        <c:crosses val="autoZero"/>
        <c:auto val="1"/>
        <c:lblOffset val="100"/>
        <c:baseTimeUnit val="months"/>
        <c:majorUnit val="12"/>
        <c:majorTimeUnit val="months"/>
      </c:dateAx>
      <c:valAx>
        <c:axId val="4344222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4422656"/>
        <c:crosses val="autoZero"/>
        <c:crossBetween val="between"/>
      </c:valAx>
      <c:spPr>
        <a:noFill/>
        <a:ln>
          <a:noFill/>
        </a:ln>
        <a:effectLst/>
      </c:spPr>
    </c:plotArea>
    <c:legend>
      <c:legendPos val="b"/>
      <c:layout>
        <c:manualLayout>
          <c:xMode val="edge"/>
          <c:yMode val="edge"/>
          <c:x val="0.1548926027103755"/>
          <c:y val="0.15250770838111261"/>
          <c:w val="0.43198778724088061"/>
          <c:h val="5.461203271921107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 Vehicle Fleet</a:t>
            </a:r>
          </a:p>
          <a:p>
            <a:pPr>
              <a:defRPr/>
            </a:pPr>
            <a:r>
              <a:rPr lang="en-US"/>
              <a:t>(Quarterly changes, year-over-year)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591822995606254E-2"/>
          <c:y val="0.13137450102282752"/>
          <c:w val="0.89931179561852925"/>
          <c:h val="0.71889094162684486"/>
        </c:manualLayout>
      </c:layout>
      <c:barChart>
        <c:barDir val="col"/>
        <c:grouping val="clustered"/>
        <c:varyColors val="0"/>
        <c:ser>
          <c:idx val="2"/>
          <c:order val="0"/>
          <c:tx>
            <c:strRef>
              <c:f>'Electric Vehicles'!$N$3</c:f>
              <c:strCache>
                <c:ptCount val="1"/>
                <c:pt idx="0">
                  <c:v>Total</c:v>
                </c:pt>
              </c:strCache>
            </c:strRef>
          </c:tx>
          <c:spPr>
            <a:solidFill>
              <a:schemeClr val="accent3"/>
            </a:solidFill>
            <a:ln>
              <a:noFill/>
            </a:ln>
            <a:effectLst/>
          </c:spPr>
          <c:invertIfNegative val="0"/>
          <c:cat>
            <c:numRef>
              <c:f>'Electric Vehicles'!$A$8:$A$63</c:f>
              <c:numCache>
                <c:formatCode>m/d/yyyy</c:formatCode>
                <c:ptCount val="56"/>
                <c:pt idx="0">
                  <c:v>41640</c:v>
                </c:pt>
                <c:pt idx="1">
                  <c:v>41730</c:v>
                </c:pt>
                <c:pt idx="2">
                  <c:v>41821</c:v>
                </c:pt>
                <c:pt idx="3">
                  <c:v>41913</c:v>
                </c:pt>
                <c:pt idx="4">
                  <c:v>42005</c:v>
                </c:pt>
                <c:pt idx="5">
                  <c:v>42095</c:v>
                </c:pt>
                <c:pt idx="6">
                  <c:v>42186</c:v>
                </c:pt>
                <c:pt idx="7">
                  <c:v>42278</c:v>
                </c:pt>
                <c:pt idx="8">
                  <c:v>42370</c:v>
                </c:pt>
                <c:pt idx="9">
                  <c:v>42461</c:v>
                </c:pt>
                <c:pt idx="10">
                  <c:v>42552</c:v>
                </c:pt>
                <c:pt idx="11">
                  <c:v>42644</c:v>
                </c:pt>
                <c:pt idx="12">
                  <c:v>42736</c:v>
                </c:pt>
                <c:pt idx="13">
                  <c:v>42826</c:v>
                </c:pt>
                <c:pt idx="14">
                  <c:v>42917</c:v>
                </c:pt>
                <c:pt idx="15">
                  <c:v>43009</c:v>
                </c:pt>
                <c:pt idx="16">
                  <c:v>43101</c:v>
                </c:pt>
                <c:pt idx="17">
                  <c:v>43191</c:v>
                </c:pt>
                <c:pt idx="18">
                  <c:v>43282</c:v>
                </c:pt>
                <c:pt idx="19">
                  <c:v>43374</c:v>
                </c:pt>
                <c:pt idx="20">
                  <c:v>43466</c:v>
                </c:pt>
                <c:pt idx="21">
                  <c:v>43556</c:v>
                </c:pt>
                <c:pt idx="22">
                  <c:v>43647</c:v>
                </c:pt>
                <c:pt idx="23">
                  <c:v>43739</c:v>
                </c:pt>
                <c:pt idx="24">
                  <c:v>43831</c:v>
                </c:pt>
                <c:pt idx="25">
                  <c:v>43922</c:v>
                </c:pt>
                <c:pt idx="26">
                  <c:v>44013</c:v>
                </c:pt>
                <c:pt idx="27">
                  <c:v>44105</c:v>
                </c:pt>
                <c:pt idx="28">
                  <c:v>44197</c:v>
                </c:pt>
                <c:pt idx="29">
                  <c:v>44287</c:v>
                </c:pt>
                <c:pt idx="30">
                  <c:v>44378</c:v>
                </c:pt>
                <c:pt idx="31">
                  <c:v>44470</c:v>
                </c:pt>
                <c:pt idx="32">
                  <c:v>44562</c:v>
                </c:pt>
                <c:pt idx="33">
                  <c:v>44652</c:v>
                </c:pt>
                <c:pt idx="34">
                  <c:v>44743</c:v>
                </c:pt>
                <c:pt idx="35">
                  <c:v>44835</c:v>
                </c:pt>
                <c:pt idx="36">
                  <c:v>44927</c:v>
                </c:pt>
                <c:pt idx="37">
                  <c:v>45017</c:v>
                </c:pt>
                <c:pt idx="38">
                  <c:v>45108</c:v>
                </c:pt>
                <c:pt idx="39">
                  <c:v>45200</c:v>
                </c:pt>
                <c:pt idx="40">
                  <c:v>45292</c:v>
                </c:pt>
                <c:pt idx="41">
                  <c:v>45383</c:v>
                </c:pt>
                <c:pt idx="42">
                  <c:v>45474</c:v>
                </c:pt>
                <c:pt idx="43">
                  <c:v>45566</c:v>
                </c:pt>
                <c:pt idx="44">
                  <c:v>45658</c:v>
                </c:pt>
                <c:pt idx="45">
                  <c:v>45748</c:v>
                </c:pt>
                <c:pt idx="46">
                  <c:v>45839</c:v>
                </c:pt>
                <c:pt idx="47">
                  <c:v>45931</c:v>
                </c:pt>
                <c:pt idx="48">
                  <c:v>46023</c:v>
                </c:pt>
                <c:pt idx="49">
                  <c:v>46113</c:v>
                </c:pt>
                <c:pt idx="50">
                  <c:v>46204</c:v>
                </c:pt>
                <c:pt idx="51">
                  <c:v>46296</c:v>
                </c:pt>
                <c:pt idx="52">
                  <c:v>46388</c:v>
                </c:pt>
                <c:pt idx="53">
                  <c:v>46478</c:v>
                </c:pt>
                <c:pt idx="54">
                  <c:v>46569</c:v>
                </c:pt>
                <c:pt idx="55">
                  <c:v>46661</c:v>
                </c:pt>
              </c:numCache>
            </c:numRef>
          </c:cat>
          <c:val>
            <c:numRef>
              <c:f>'Electric Vehicles'!$N$8:$N$63</c:f>
              <c:numCache>
                <c:formatCode>0%</c:formatCode>
                <c:ptCount val="56"/>
                <c:pt idx="0">
                  <c:v>0.84145398298530538</c:v>
                </c:pt>
                <c:pt idx="1">
                  <c:v>0.7014634146341463</c:v>
                </c:pt>
                <c:pt idx="2">
                  <c:v>0.60973619798748979</c:v>
                </c:pt>
                <c:pt idx="3">
                  <c:v>0.5185185185185186</c:v>
                </c:pt>
                <c:pt idx="4">
                  <c:v>0.51028979420411602</c:v>
                </c:pt>
                <c:pt idx="5">
                  <c:v>0.50707186544342497</c:v>
                </c:pt>
                <c:pt idx="6">
                  <c:v>0.4563270822774117</c:v>
                </c:pt>
                <c:pt idx="7">
                  <c:v>0.40213791026799162</c:v>
                </c:pt>
                <c:pt idx="8">
                  <c:v>0.41434927697441593</c:v>
                </c:pt>
                <c:pt idx="9">
                  <c:v>0.41052631578947363</c:v>
                </c:pt>
                <c:pt idx="10">
                  <c:v>0.39872389791183305</c:v>
                </c:pt>
                <c:pt idx="11">
                  <c:v>0.41404488349618807</c:v>
                </c:pt>
                <c:pt idx="12">
                  <c:v>0.40768777034998038</c:v>
                </c:pt>
                <c:pt idx="13">
                  <c:v>0.38626146376550974</c:v>
                </c:pt>
                <c:pt idx="14">
                  <c:v>0.35398523679190519</c:v>
                </c:pt>
                <c:pt idx="15">
                  <c:v>0.31467841142076081</c:v>
                </c:pt>
                <c:pt idx="16">
                  <c:v>0.28926601019624276</c:v>
                </c:pt>
                <c:pt idx="17">
                  <c:v>0.2737060578544559</c:v>
                </c:pt>
                <c:pt idx="18">
                  <c:v>0.27822358346094944</c:v>
                </c:pt>
                <c:pt idx="19">
                  <c:v>0.31964419800150168</c:v>
                </c:pt>
                <c:pt idx="20">
                  <c:v>0.34050159796327395</c:v>
                </c:pt>
                <c:pt idx="21">
                  <c:v>0.34000407373459618</c:v>
                </c:pt>
                <c:pt idx="22">
                  <c:v>0.36219868692193424</c:v>
                </c:pt>
                <c:pt idx="23">
                  <c:v>0.32367488072832318</c:v>
                </c:pt>
                <c:pt idx="24">
                  <c:v>0.30238008647512826</c:v>
                </c:pt>
                <c:pt idx="25">
                  <c:v>0.2380391411742353</c:v>
                </c:pt>
                <c:pt idx="26">
                  <c:v>0.18740545294635003</c:v>
                </c:pt>
                <c:pt idx="27">
                  <c:v>0.18163481251239988</c:v>
                </c:pt>
                <c:pt idx="28">
                  <c:v>0.17617126900403357</c:v>
                </c:pt>
                <c:pt idx="29">
                  <c:v>0.2370852389576108</c:v>
                </c:pt>
                <c:pt idx="30">
                  <c:v>0.29316781227779098</c:v>
                </c:pt>
                <c:pt idx="31">
                  <c:v>0.31963061424373862</c:v>
                </c:pt>
                <c:pt idx="32">
                  <c:v>0.32014350532869051</c:v>
                </c:pt>
                <c:pt idx="33">
                  <c:v>0.31923181897129238</c:v>
                </c:pt>
                <c:pt idx="34">
                  <c:v>0.32297752422846937</c:v>
                </c:pt>
                <c:pt idx="35">
                  <c:v>0.3260385520707425</c:v>
                </c:pt>
                <c:pt idx="36">
                  <c:v>0.35418831428343056</c:v>
                </c:pt>
                <c:pt idx="37">
                  <c:v>0.37992063044255109</c:v>
                </c:pt>
                <c:pt idx="38">
                  <c:v>0.36848850096979779</c:v>
                </c:pt>
                <c:pt idx="39">
                  <c:v>0.35228363078104019</c:v>
                </c:pt>
                <c:pt idx="40">
                  <c:v>0.36534403635880719</c:v>
                </c:pt>
                <c:pt idx="41">
                  <c:v>0.36308250078370974</c:v>
                </c:pt>
                <c:pt idx="42">
                  <c:v>0.35991242945002666</c:v>
                </c:pt>
                <c:pt idx="43">
                  <c:v>0.35487990917798995</c:v>
                </c:pt>
                <c:pt idx="44">
                  <c:v>0.34650051876188837</c:v>
                </c:pt>
                <c:pt idx="45">
                  <c:v>0.33622310215182782</c:v>
                </c:pt>
                <c:pt idx="46">
                  <c:v>0.33017875920084117</c:v>
                </c:pt>
                <c:pt idx="47">
                  <c:v>0.32801780570830052</c:v>
                </c:pt>
                <c:pt idx="48">
                  <c:v>0.32148102962540825</c:v>
                </c:pt>
                <c:pt idx="49">
                  <c:v>0.31791548494758026</c:v>
                </c:pt>
                <c:pt idx="50">
                  <c:v>0.31377802651369402</c:v>
                </c:pt>
                <c:pt idx="51">
                  <c:v>0.30828584761191191</c:v>
                </c:pt>
                <c:pt idx="52">
                  <c:v>0.30449095613512966</c:v>
                </c:pt>
                <c:pt idx="53">
                  <c:v>0.30072054372945267</c:v>
                </c:pt>
                <c:pt idx="54">
                  <c:v>0.29916186540857725</c:v>
                </c:pt>
                <c:pt idx="55">
                  <c:v>0.29927106306233897</c:v>
                </c:pt>
              </c:numCache>
            </c:numRef>
          </c:val>
          <c:extLst>
            <c:ext xmlns:c16="http://schemas.microsoft.com/office/drawing/2014/chart" uri="{C3380CC4-5D6E-409C-BE32-E72D297353CC}">
              <c16:uniqueId val="{00000002-0BCE-4B74-B8E9-2806189225CA}"/>
            </c:ext>
          </c:extLst>
        </c:ser>
        <c:dLbls>
          <c:showLegendKey val="0"/>
          <c:showVal val="0"/>
          <c:showCatName val="0"/>
          <c:showSerName val="0"/>
          <c:showPercent val="0"/>
          <c:showBubbleSize val="0"/>
        </c:dLbls>
        <c:gapWidth val="219"/>
        <c:overlap val="-27"/>
        <c:axId val="434420696"/>
        <c:axId val="434423440"/>
      </c:barChart>
      <c:dateAx>
        <c:axId val="434420696"/>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33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3440"/>
        <c:crosses val="autoZero"/>
        <c:auto val="1"/>
        <c:lblOffset val="100"/>
        <c:baseTimeUnit val="months"/>
      </c:dateAx>
      <c:valAx>
        <c:axId val="43442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34420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Intensity</a:t>
            </a:r>
            <a:r>
              <a:rPr lang="en-US" baseline="0"/>
              <a:t> Targets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9247594050743664E-2"/>
          <c:y val="0.17171296296296296"/>
          <c:w val="0.89019685039370078"/>
          <c:h val="0.69760279965004379"/>
        </c:manualLayout>
      </c:layout>
      <c:lineChart>
        <c:grouping val="standard"/>
        <c:varyColors val="0"/>
        <c:ser>
          <c:idx val="0"/>
          <c:order val="0"/>
          <c:tx>
            <c:strRef>
              <c:f>Constants_out!$S$18</c:f>
              <c:strCache>
                <c:ptCount val="1"/>
                <c:pt idx="0">
                  <c:v>Gasoline</c:v>
                </c:pt>
              </c:strCache>
            </c:strRef>
          </c:tx>
          <c:spPr>
            <a:ln w="28575" cap="rnd">
              <a:solidFill>
                <a:schemeClr val="accent1"/>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Constants_out!$S$19:$S$28</c:f>
              <c:numCache>
                <c:formatCode>General</c:formatCode>
                <c:ptCount val="10"/>
                <c:pt idx="0">
                  <c:v>98.37</c:v>
                </c:pt>
                <c:pt idx="1">
                  <c:v>98.13</c:v>
                </c:pt>
                <c:pt idx="2">
                  <c:v>97.66</c:v>
                </c:pt>
                <c:pt idx="3">
                  <c:v>96.59</c:v>
                </c:pt>
                <c:pt idx="4">
                  <c:v>95.61</c:v>
                </c:pt>
                <c:pt idx="5">
                  <c:v>94.63</c:v>
                </c:pt>
                <c:pt idx="6">
                  <c:v>93.15</c:v>
                </c:pt>
                <c:pt idx="7">
                  <c:v>91.68</c:v>
                </c:pt>
                <c:pt idx="8">
                  <c:v>90.21</c:v>
                </c:pt>
                <c:pt idx="9">
                  <c:v>88.25</c:v>
                </c:pt>
              </c:numCache>
            </c:numRef>
          </c:val>
          <c:smooth val="0"/>
          <c:extLst>
            <c:ext xmlns:c16="http://schemas.microsoft.com/office/drawing/2014/chart" uri="{C3380CC4-5D6E-409C-BE32-E72D297353CC}">
              <c16:uniqueId val="{00000000-904F-4B94-89B5-0F363981A3EB}"/>
            </c:ext>
          </c:extLst>
        </c:ser>
        <c:ser>
          <c:idx val="1"/>
          <c:order val="1"/>
          <c:tx>
            <c:strRef>
              <c:f>Constants_out!$T$18</c:f>
              <c:strCache>
                <c:ptCount val="1"/>
                <c:pt idx="0">
                  <c:v>Diesel</c:v>
                </c:pt>
              </c:strCache>
            </c:strRef>
          </c:tx>
          <c:spPr>
            <a:ln w="28575" cap="rnd">
              <a:solidFill>
                <a:schemeClr val="accent2"/>
              </a:solidFill>
              <a:round/>
            </a:ln>
            <a:effectLst/>
          </c:spPr>
          <c:marker>
            <c:symbol val="none"/>
          </c:marker>
          <c:cat>
            <c:numRef>
              <c:f>Constants_out!$R$19:$R$28</c:f>
              <c:numCache>
                <c:formatCode>General</c:formatCode>
                <c:ptCount val="10"/>
                <c:pt idx="0">
                  <c:v>2016</c:v>
                </c:pt>
                <c:pt idx="1">
                  <c:v>2017</c:v>
                </c:pt>
                <c:pt idx="2">
                  <c:v>2018</c:v>
                </c:pt>
                <c:pt idx="3">
                  <c:v>2019</c:v>
                </c:pt>
                <c:pt idx="4">
                  <c:v>2020</c:v>
                </c:pt>
                <c:pt idx="5">
                  <c:v>2021</c:v>
                </c:pt>
                <c:pt idx="6">
                  <c:v>2022</c:v>
                </c:pt>
                <c:pt idx="7">
                  <c:v>2023</c:v>
                </c:pt>
                <c:pt idx="8">
                  <c:v>2024</c:v>
                </c:pt>
                <c:pt idx="9">
                  <c:v>2025</c:v>
                </c:pt>
              </c:numCache>
            </c:numRef>
          </c:cat>
          <c:val>
            <c:numRef>
              <c:f>Constants_out!$T$19:$T$28</c:f>
              <c:numCache>
                <c:formatCode>General</c:formatCode>
                <c:ptCount val="10"/>
                <c:pt idx="0">
                  <c:v>99.36</c:v>
                </c:pt>
                <c:pt idx="1">
                  <c:v>99.14</c:v>
                </c:pt>
                <c:pt idx="2">
                  <c:v>98.61</c:v>
                </c:pt>
                <c:pt idx="3">
                  <c:v>97.26</c:v>
                </c:pt>
                <c:pt idx="4">
                  <c:v>96.27</c:v>
                </c:pt>
                <c:pt idx="5">
                  <c:v>95.29</c:v>
                </c:pt>
                <c:pt idx="6">
                  <c:v>93.81</c:v>
                </c:pt>
                <c:pt idx="7">
                  <c:v>92.32</c:v>
                </c:pt>
                <c:pt idx="8">
                  <c:v>90.84</c:v>
                </c:pt>
                <c:pt idx="9">
                  <c:v>88.87</c:v>
                </c:pt>
              </c:numCache>
            </c:numRef>
          </c:val>
          <c:smooth val="0"/>
          <c:extLst>
            <c:ext xmlns:c16="http://schemas.microsoft.com/office/drawing/2014/chart" uri="{C3380CC4-5D6E-409C-BE32-E72D297353CC}">
              <c16:uniqueId val="{00000001-904F-4B94-89B5-0F363981A3EB}"/>
            </c:ext>
          </c:extLst>
        </c:ser>
        <c:dLbls>
          <c:showLegendKey val="0"/>
          <c:showVal val="0"/>
          <c:showCatName val="0"/>
          <c:showSerName val="0"/>
          <c:showPercent val="0"/>
          <c:showBubbleSize val="0"/>
        </c:dLbls>
        <c:smooth val="0"/>
        <c:axId val="1614869711"/>
        <c:axId val="1614872623"/>
      </c:lineChart>
      <c:catAx>
        <c:axId val="161486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72623"/>
        <c:crosses val="autoZero"/>
        <c:auto val="1"/>
        <c:lblAlgn val="ctr"/>
        <c:lblOffset val="100"/>
        <c:noMultiLvlLbl val="0"/>
      </c:catAx>
      <c:valAx>
        <c:axId val="1614872623"/>
        <c:scaling>
          <c:orientation val="minMax"/>
          <c:min val="8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4869711"/>
        <c:crosses val="autoZero"/>
        <c:crossBetween val="between"/>
      </c:valAx>
      <c:spPr>
        <a:noFill/>
        <a:ln>
          <a:noFill/>
        </a:ln>
        <a:effectLst/>
      </c:spPr>
    </c:plotArea>
    <c:legend>
      <c:legendPos val="b"/>
      <c:layout>
        <c:manualLayout>
          <c:xMode val="edge"/>
          <c:yMode val="edge"/>
          <c:x val="0.54432174103237096"/>
          <c:y val="0.19039297171186931"/>
          <c:w val="0.33807762139613157"/>
          <c:h val="6.7164649194970047E-2"/>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Diesel</a:t>
            </a:r>
          </a:p>
          <a:p>
            <a:pPr>
              <a:defRPr/>
            </a:pPr>
            <a:r>
              <a:rPr lang="en-US" sz="1200"/>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Forecast_Main!$H$85:$AU$85</c:f>
              <c:numCache>
                <c:formatCode>#,##0</c:formatCode>
                <c:ptCount val="40"/>
                <c:pt idx="0">
                  <c:v>200546412.40000001</c:v>
                </c:pt>
                <c:pt idx="1">
                  <c:v>158442194</c:v>
                </c:pt>
                <c:pt idx="2">
                  <c:v>184357269.94999999</c:v>
                </c:pt>
                <c:pt idx="3">
                  <c:v>165547124.84999999</c:v>
                </c:pt>
                <c:pt idx="4">
                  <c:v>140610590</c:v>
                </c:pt>
                <c:pt idx="5">
                  <c:v>185101028.80000001</c:v>
                </c:pt>
                <c:pt idx="6">
                  <c:v>193155530.75</c:v>
                </c:pt>
                <c:pt idx="7">
                  <c:v>163876928.19999999</c:v>
                </c:pt>
                <c:pt idx="8">
                  <c:v>161928057.75</c:v>
                </c:pt>
                <c:pt idx="9">
                  <c:v>181643251.14999998</c:v>
                </c:pt>
                <c:pt idx="10">
                  <c:v>204800544.40000001</c:v>
                </c:pt>
                <c:pt idx="11">
                  <c:v>168174070.40000001</c:v>
                </c:pt>
                <c:pt idx="12">
                  <c:v>174790251.40000001</c:v>
                </c:pt>
                <c:pt idx="13">
                  <c:v>169817565.84999999</c:v>
                </c:pt>
                <c:pt idx="14">
                  <c:v>191951959.25</c:v>
                </c:pt>
                <c:pt idx="15">
                  <c:v>183194227.59999999</c:v>
                </c:pt>
                <c:pt idx="16">
                  <c:v>140924041.65000001</c:v>
                </c:pt>
                <c:pt idx="17">
                  <c:v>178466626.09999999</c:v>
                </c:pt>
                <c:pt idx="18">
                  <c:v>169549457.19999999</c:v>
                </c:pt>
                <c:pt idx="19">
                  <c:v>173352886.5</c:v>
                </c:pt>
                <c:pt idx="20">
                  <c:v>182466654.55000001</c:v>
                </c:pt>
                <c:pt idx="21">
                  <c:v>183771544.39999998</c:v>
                </c:pt>
                <c:pt idx="22">
                  <c:v>201469885.70000002</c:v>
                </c:pt>
                <c:pt idx="23">
                  <c:v>168445697.09999999</c:v>
                </c:pt>
                <c:pt idx="24">
                  <c:v>197939524.75</c:v>
                </c:pt>
                <c:pt idx="25">
                  <c:v>177323579.34999999</c:v>
                </c:pt>
                <c:pt idx="26">
                  <c:v>193932019.15000001</c:v>
                </c:pt>
                <c:pt idx="27">
                  <c:v>186123913.5</c:v>
                </c:pt>
                <c:pt idx="28">
                  <c:v>152436641.75</c:v>
                </c:pt>
                <c:pt idx="29">
                  <c:v>168026825.23922038</c:v>
                </c:pt>
                <c:pt idx="30">
                  <c:v>179567285.06824172</c:v>
                </c:pt>
                <c:pt idx="31">
                  <c:v>191041618.23382699</c:v>
                </c:pt>
                <c:pt idx="32">
                  <c:v>155341854.43391192</c:v>
                </c:pt>
                <c:pt idx="33">
                  <c:v>162959540.25881302</c:v>
                </c:pt>
                <c:pt idx="34">
                  <c:v>174039016.00595221</c:v>
                </c:pt>
                <c:pt idx="35">
                  <c:v>185075410.50142273</c:v>
                </c:pt>
                <c:pt idx="36">
                  <c:v>158428511.72084758</c:v>
                </c:pt>
                <c:pt idx="37">
                  <c:v>164674406.31623125</c:v>
                </c:pt>
                <c:pt idx="38">
                  <c:v>176024424.50968429</c:v>
                </c:pt>
                <c:pt idx="39">
                  <c:v>187122389.18037409</c:v>
                </c:pt>
              </c:numCache>
            </c:numRef>
          </c:val>
          <c:smooth val="0"/>
          <c:extLst>
            <c:ext xmlns:c16="http://schemas.microsoft.com/office/drawing/2014/chart" uri="{C3380CC4-5D6E-409C-BE32-E72D297353CC}">
              <c16:uniqueId val="{00000000-C410-4083-82EA-527008730AA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1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6666666666666666E-2"/>
                <c:y val="0.34763888888888889"/>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Motor Gasoline</a:t>
            </a:r>
          </a:p>
          <a:p>
            <a:pPr>
              <a:defRPr/>
            </a:pPr>
            <a:r>
              <a:rPr lang="en-US" sz="1200"/>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Forecast_Main!$H$82:$AU$82</c:f>
              <c:numCache>
                <c:formatCode>#,##0</c:formatCode>
                <c:ptCount val="40"/>
                <c:pt idx="0">
                  <c:v>432288642</c:v>
                </c:pt>
                <c:pt idx="1">
                  <c:v>369245735</c:v>
                </c:pt>
                <c:pt idx="2">
                  <c:v>426111111</c:v>
                </c:pt>
                <c:pt idx="3">
                  <c:v>374941421</c:v>
                </c:pt>
                <c:pt idx="4">
                  <c:v>317609932</c:v>
                </c:pt>
                <c:pt idx="5">
                  <c:v>410970093</c:v>
                </c:pt>
                <c:pt idx="6">
                  <c:v>472280556</c:v>
                </c:pt>
                <c:pt idx="7">
                  <c:v>417771717</c:v>
                </c:pt>
                <c:pt idx="8">
                  <c:v>380521964</c:v>
                </c:pt>
                <c:pt idx="9">
                  <c:v>455326178</c:v>
                </c:pt>
                <c:pt idx="10">
                  <c:v>453925418</c:v>
                </c:pt>
                <c:pt idx="11">
                  <c:v>422283914</c:v>
                </c:pt>
                <c:pt idx="12">
                  <c:v>411105176</c:v>
                </c:pt>
                <c:pt idx="13">
                  <c:v>438385251</c:v>
                </c:pt>
                <c:pt idx="14">
                  <c:v>443985802</c:v>
                </c:pt>
                <c:pt idx="15">
                  <c:v>445906198</c:v>
                </c:pt>
                <c:pt idx="16">
                  <c:v>362760614</c:v>
                </c:pt>
                <c:pt idx="17">
                  <c:v>284894327</c:v>
                </c:pt>
                <c:pt idx="18">
                  <c:v>418924031</c:v>
                </c:pt>
                <c:pt idx="19">
                  <c:v>340666084</c:v>
                </c:pt>
                <c:pt idx="20">
                  <c:v>359593243</c:v>
                </c:pt>
                <c:pt idx="21">
                  <c:v>365515387</c:v>
                </c:pt>
                <c:pt idx="22">
                  <c:v>424684711</c:v>
                </c:pt>
                <c:pt idx="23">
                  <c:v>358585642</c:v>
                </c:pt>
                <c:pt idx="24">
                  <c:v>348878091</c:v>
                </c:pt>
                <c:pt idx="25">
                  <c:v>370283684</c:v>
                </c:pt>
                <c:pt idx="26">
                  <c:v>395394151</c:v>
                </c:pt>
                <c:pt idx="27">
                  <c:v>394028172</c:v>
                </c:pt>
                <c:pt idx="28">
                  <c:v>345768459</c:v>
                </c:pt>
                <c:pt idx="29">
                  <c:v>358368261.6820637</c:v>
                </c:pt>
                <c:pt idx="30">
                  <c:v>393808049.17143953</c:v>
                </c:pt>
                <c:pt idx="31">
                  <c:v>396660768.88428605</c:v>
                </c:pt>
                <c:pt idx="32">
                  <c:v>348677417.69126666</c:v>
                </c:pt>
                <c:pt idx="33">
                  <c:v>359321567.45211059</c:v>
                </c:pt>
                <c:pt idx="34">
                  <c:v>393668117.7046091</c:v>
                </c:pt>
                <c:pt idx="35">
                  <c:v>395489672.80932719</c:v>
                </c:pt>
                <c:pt idx="36">
                  <c:v>346835521.24690217</c:v>
                </c:pt>
                <c:pt idx="37">
                  <c:v>357117282.5218429</c:v>
                </c:pt>
                <c:pt idx="38">
                  <c:v>391262314.19197011</c:v>
                </c:pt>
                <c:pt idx="39">
                  <c:v>393088649.17406547</c:v>
                </c:pt>
              </c:numCache>
            </c:numRef>
          </c:val>
          <c:smooth val="0"/>
          <c:extLst>
            <c:ext xmlns:c16="http://schemas.microsoft.com/office/drawing/2014/chart" uri="{C3380CC4-5D6E-409C-BE32-E72D297353CC}">
              <c16:uniqueId val="{00000000-FE8F-4209-BA48-4D2E6978658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2000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393373374340477E-2"/>
                <c:y val="0.40511026638911518"/>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Biodiesel/Renewable Diesel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022426146617086"/>
          <c:y val="0.14058634974452031"/>
          <c:w val="0.84214695878692158"/>
          <c:h val="0.68844431975550358"/>
        </c:manualLayout>
      </c:layout>
      <c:barChart>
        <c:barDir val="col"/>
        <c:grouping val="stacked"/>
        <c:varyColors val="0"/>
        <c:ser>
          <c:idx val="0"/>
          <c:order val="0"/>
          <c:tx>
            <c:strRef>
              <c:f>Forecast_Main!$G$86</c:f>
              <c:strCache>
                <c:ptCount val="1"/>
                <c:pt idx="0">
                  <c:v>Biodiesel</c:v>
                </c:pt>
              </c:strCache>
            </c:strRef>
          </c:tx>
          <c:spPr>
            <a:solidFill>
              <a:schemeClr val="accent1"/>
            </a:solidFill>
            <a:ln>
              <a:noFill/>
            </a:ln>
            <a:effectLst/>
          </c:spPr>
          <c:invertIfNegative val="0"/>
          <c:cat>
            <c:strRef>
              <c:f>Forecast_Main!$H$77:$AJ$77</c:f>
              <c:strCache>
                <c:ptCount val="29"/>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strCache>
            </c:strRef>
          </c:cat>
          <c:val>
            <c:numRef>
              <c:f>Forecast_Main!$H$87:$AJ$87</c:f>
              <c:numCache>
                <c:formatCode>0.0%</c:formatCode>
                <c:ptCount val="29"/>
                <c:pt idx="0">
                  <c:v>5.5869384181331347E-2</c:v>
                </c:pt>
                <c:pt idx="1">
                  <c:v>6.5833092061322054E-2</c:v>
                </c:pt>
                <c:pt idx="2">
                  <c:v>6.5930567152852546E-2</c:v>
                </c:pt>
                <c:pt idx="3">
                  <c:v>6.4896925449701173E-2</c:v>
                </c:pt>
                <c:pt idx="4">
                  <c:v>6.0812781805495791E-2</c:v>
                </c:pt>
                <c:pt idx="5">
                  <c:v>6.7506535503566889E-2</c:v>
                </c:pt>
                <c:pt idx="6">
                  <c:v>6.969851875392663E-2</c:v>
                </c:pt>
                <c:pt idx="7">
                  <c:v>7.9642577236442066E-2</c:v>
                </c:pt>
                <c:pt idx="8">
                  <c:v>6.2385752232972005E-2</c:v>
                </c:pt>
                <c:pt idx="9">
                  <c:v>6.7023368584565382E-2</c:v>
                </c:pt>
                <c:pt idx="10">
                  <c:v>6.7111751966367289E-2</c:v>
                </c:pt>
                <c:pt idx="11">
                  <c:v>7.1738307743542812E-2</c:v>
                </c:pt>
                <c:pt idx="12">
                  <c:v>6.0750667673647646E-2</c:v>
                </c:pt>
                <c:pt idx="13">
                  <c:v>8.8439150430515756E-2</c:v>
                </c:pt>
                <c:pt idx="14">
                  <c:v>7.6943815626543066E-2</c:v>
                </c:pt>
                <c:pt idx="15">
                  <c:v>7.5432523813665373E-2</c:v>
                </c:pt>
                <c:pt idx="16">
                  <c:v>9.3944557143805119E-2</c:v>
                </c:pt>
                <c:pt idx="17">
                  <c:v>8.0697180491971679E-2</c:v>
                </c:pt>
                <c:pt idx="18">
                  <c:v>9.698689108802698E-2</c:v>
                </c:pt>
                <c:pt idx="19">
                  <c:v>9.5244092818178264E-2</c:v>
                </c:pt>
                <c:pt idx="20">
                  <c:v>7.4196041247198197E-2</c:v>
                </c:pt>
                <c:pt idx="21">
                  <c:v>9.9364502847590033E-2</c:v>
                </c:pt>
                <c:pt idx="22">
                  <c:v>9.3181299323159619E-2</c:v>
                </c:pt>
                <c:pt idx="23">
                  <c:v>0.10330238621613826</c:v>
                </c:pt>
                <c:pt idx="24">
                  <c:v>7.741699533566386E-2</c:v>
                </c:pt>
                <c:pt idx="25">
                  <c:v>0.1155652604957067</c:v>
                </c:pt>
                <c:pt idx="26">
                  <c:v>7.6206662734594796E-2</c:v>
                </c:pt>
                <c:pt idx="27">
                  <c:v>0.10209317735329219</c:v>
                </c:pt>
                <c:pt idx="28" formatCode="0.00%">
                  <c:v>9.1688449683914361E-2</c:v>
                </c:pt>
              </c:numCache>
            </c:numRef>
          </c:val>
          <c:extLst>
            <c:ext xmlns:c16="http://schemas.microsoft.com/office/drawing/2014/chart" uri="{C3380CC4-5D6E-409C-BE32-E72D297353CC}">
              <c16:uniqueId val="{00000000-7EED-4E18-AA45-C8DAB3DF3365}"/>
            </c:ext>
          </c:extLst>
        </c:ser>
        <c:ser>
          <c:idx val="1"/>
          <c:order val="1"/>
          <c:tx>
            <c:strRef>
              <c:f>Forecast_Main!$G$88</c:f>
              <c:strCache>
                <c:ptCount val="1"/>
                <c:pt idx="0">
                  <c:v>Renewable Diesel</c:v>
                </c:pt>
              </c:strCache>
            </c:strRef>
          </c:tx>
          <c:spPr>
            <a:solidFill>
              <a:schemeClr val="accent2"/>
            </a:solidFill>
            <a:ln>
              <a:noFill/>
            </a:ln>
            <a:effectLst/>
          </c:spPr>
          <c:invertIfNegative val="0"/>
          <c:cat>
            <c:strRef>
              <c:f>Forecast_Main!$H$77:$AJ$77</c:f>
              <c:strCache>
                <c:ptCount val="29"/>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strCache>
            </c:strRef>
          </c:cat>
          <c:val>
            <c:numRef>
              <c:f>Forecast_Main!$H$89:$AJ$89</c:f>
              <c:numCache>
                <c:formatCode>0.0%</c:formatCode>
                <c:ptCount val="29"/>
                <c:pt idx="0">
                  <c:v>0</c:v>
                </c:pt>
                <c:pt idx="1">
                  <c:v>0</c:v>
                </c:pt>
                <c:pt idx="2">
                  <c:v>0</c:v>
                </c:pt>
                <c:pt idx="3">
                  <c:v>0</c:v>
                </c:pt>
                <c:pt idx="4">
                  <c:v>0</c:v>
                </c:pt>
                <c:pt idx="5">
                  <c:v>0</c:v>
                </c:pt>
                <c:pt idx="6">
                  <c:v>0</c:v>
                </c:pt>
                <c:pt idx="7">
                  <c:v>1.9069555357184209E-3</c:v>
                </c:pt>
                <c:pt idx="8">
                  <c:v>1.7424259230957673E-3</c:v>
                </c:pt>
                <c:pt idx="9">
                  <c:v>1.0284694935403047E-3</c:v>
                </c:pt>
                <c:pt idx="10">
                  <c:v>1.0188139878315738E-3</c:v>
                </c:pt>
                <c:pt idx="11">
                  <c:v>2.650563039697287E-3</c:v>
                </c:pt>
                <c:pt idx="12">
                  <c:v>8.7405181541309028E-4</c:v>
                </c:pt>
                <c:pt idx="13">
                  <c:v>2.4617866139428376E-3</c:v>
                </c:pt>
                <c:pt idx="14">
                  <c:v>5.1693615561994463E-2</c:v>
                </c:pt>
                <c:pt idx="15">
                  <c:v>2.1214793040279803E-2</c:v>
                </c:pt>
                <c:pt idx="16">
                  <c:v>4.3624113098234142E-2</c:v>
                </c:pt>
                <c:pt idx="17">
                  <c:v>3.0816183105971472E-2</c:v>
                </c:pt>
                <c:pt idx="18">
                  <c:v>1.0820147956753792E-3</c:v>
                </c:pt>
                <c:pt idx="19">
                  <c:v>1.9899682184112946E-2</c:v>
                </c:pt>
                <c:pt idx="20">
                  <c:v>3.3536409102412595E-2</c:v>
                </c:pt>
                <c:pt idx="21">
                  <c:v>-2.2315688139367311E-3</c:v>
                </c:pt>
                <c:pt idx="22">
                  <c:v>1.4643540488530614E-2</c:v>
                </c:pt>
                <c:pt idx="23">
                  <c:v>3.5026586005796782E-4</c:v>
                </c:pt>
                <c:pt idx="24">
                  <c:v>6.1401499218951112E-2</c:v>
                </c:pt>
                <c:pt idx="25">
                  <c:v>2.4532888297412278E-2</c:v>
                </c:pt>
                <c:pt idx="26">
                  <c:v>3.8964312987369444E-2</c:v>
                </c:pt>
                <c:pt idx="27">
                  <c:v>8.2761189093012832E-2</c:v>
                </c:pt>
                <c:pt idx="28" formatCode="0.00%">
                  <c:v>0.12259482934027036</c:v>
                </c:pt>
              </c:numCache>
            </c:numRef>
          </c:val>
          <c:extLst>
            <c:ext xmlns:c16="http://schemas.microsoft.com/office/drawing/2014/chart" uri="{C3380CC4-5D6E-409C-BE32-E72D297353CC}">
              <c16:uniqueId val="{00000002-7EED-4E18-AA45-C8DAB3DF3365}"/>
            </c:ext>
          </c:extLst>
        </c:ser>
        <c:dLbls>
          <c:showLegendKey val="0"/>
          <c:showVal val="0"/>
          <c:showCatName val="0"/>
          <c:showSerName val="0"/>
          <c:showPercent val="0"/>
          <c:showBubbleSize val="0"/>
        </c:dLbls>
        <c:gapWidth val="219"/>
        <c:overlap val="100"/>
        <c:axId val="1862246543"/>
        <c:axId val="1862248207"/>
      </c:barChart>
      <c:catAx>
        <c:axId val="1862246543"/>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34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legend>
      <c:legendPos val="b"/>
      <c:layout>
        <c:manualLayout>
          <c:xMode val="edge"/>
          <c:yMode val="edge"/>
          <c:x val="0.18177514564232372"/>
          <c:y val="0.16658289957499642"/>
          <c:w val="0.45563279981572569"/>
          <c:h val="6.39636359295162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a:t>Ethanol</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n-US" sz="1200" b="0" i="0" u="none" strike="noStrike" kern="1200" spc="0" baseline="0">
                <a:solidFill>
                  <a:sysClr val="windowText" lastClr="000000">
                    <a:lumMod val="65000"/>
                    <a:lumOff val="35000"/>
                  </a:sysClr>
                </a:solidFill>
              </a:rPr>
              <a:t>(CFP Reported, quarterly)</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Forecast_Main!$H$80:$AU$80</c:f>
              <c:numCache>
                <c:formatCode>#,##0</c:formatCode>
                <c:ptCount val="40"/>
                <c:pt idx="0">
                  <c:v>50904982.299999997</c:v>
                </c:pt>
                <c:pt idx="1">
                  <c:v>41169772.600000001</c:v>
                </c:pt>
                <c:pt idx="2">
                  <c:v>46844753.899999999</c:v>
                </c:pt>
                <c:pt idx="3">
                  <c:v>38687842.100000001</c:v>
                </c:pt>
                <c:pt idx="4">
                  <c:v>39795000.899999999</c:v>
                </c:pt>
                <c:pt idx="5">
                  <c:v>42848673.5</c:v>
                </c:pt>
                <c:pt idx="6">
                  <c:v>49152301.399999999</c:v>
                </c:pt>
                <c:pt idx="7">
                  <c:v>42482357.700000003</c:v>
                </c:pt>
                <c:pt idx="8">
                  <c:v>41973456.899999999</c:v>
                </c:pt>
                <c:pt idx="9">
                  <c:v>40297149.899999999</c:v>
                </c:pt>
                <c:pt idx="10">
                  <c:v>46877337.299999997</c:v>
                </c:pt>
                <c:pt idx="11">
                  <c:v>43494023.100000001</c:v>
                </c:pt>
                <c:pt idx="12">
                  <c:v>38612516.200000003</c:v>
                </c:pt>
                <c:pt idx="13">
                  <c:v>44486189.600000001</c:v>
                </c:pt>
                <c:pt idx="14">
                  <c:v>47299348.899999999</c:v>
                </c:pt>
                <c:pt idx="15">
                  <c:v>43634242.200000003</c:v>
                </c:pt>
                <c:pt idx="16">
                  <c:v>36176682.600000001</c:v>
                </c:pt>
                <c:pt idx="17">
                  <c:v>32344049</c:v>
                </c:pt>
                <c:pt idx="18">
                  <c:v>39116584.299999997</c:v>
                </c:pt>
                <c:pt idx="19">
                  <c:v>34127072.399999999</c:v>
                </c:pt>
                <c:pt idx="20">
                  <c:v>31370644.100000001</c:v>
                </c:pt>
                <c:pt idx="21">
                  <c:v>43658548.899999999</c:v>
                </c:pt>
                <c:pt idx="22">
                  <c:v>44100290.100000001</c:v>
                </c:pt>
                <c:pt idx="23">
                  <c:v>37833584.200000003</c:v>
                </c:pt>
                <c:pt idx="24">
                  <c:v>34406110.5</c:v>
                </c:pt>
                <c:pt idx="25">
                  <c:v>40835554.399999999</c:v>
                </c:pt>
                <c:pt idx="26">
                  <c:v>40551765</c:v>
                </c:pt>
                <c:pt idx="27">
                  <c:v>33872444.200000003</c:v>
                </c:pt>
                <c:pt idx="28">
                  <c:v>37307812.399999999</c:v>
                </c:pt>
                <c:pt idx="29">
                  <c:v>36195194.429888435</c:v>
                </c:pt>
                <c:pt idx="30">
                  <c:v>39774612.966315396</c:v>
                </c:pt>
                <c:pt idx="31">
                  <c:v>40062737.657312892</c:v>
                </c:pt>
                <c:pt idx="32">
                  <c:v>35390757.895663567</c:v>
                </c:pt>
                <c:pt idx="33">
                  <c:v>36471139.096389227</c:v>
                </c:pt>
                <c:pt idx="34">
                  <c:v>39957313.947017826</c:v>
                </c:pt>
                <c:pt idx="35">
                  <c:v>40142201.790146708</c:v>
                </c:pt>
                <c:pt idx="36">
                  <c:v>35203805.40656057</c:v>
                </c:pt>
                <c:pt idx="37">
                  <c:v>36247404.17596706</c:v>
                </c:pt>
                <c:pt idx="38">
                  <c:v>39713124.890484966</c:v>
                </c:pt>
                <c:pt idx="39">
                  <c:v>39898497.891167648</c:v>
                </c:pt>
              </c:numCache>
            </c:numRef>
          </c:val>
          <c:smooth val="0"/>
          <c:extLst>
            <c:ext xmlns:c16="http://schemas.microsoft.com/office/drawing/2014/chart" uri="{C3380CC4-5D6E-409C-BE32-E72D297353CC}">
              <c16:uniqueId val="{00000000-470A-4ABD-8E8B-2F4F1110BB69}"/>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3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Gallone</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a:t>
            </a:r>
          </a:p>
          <a:p>
            <a:pPr>
              <a:defRPr/>
            </a:pPr>
            <a:r>
              <a:rPr lang="en-US" sz="1200"/>
              <a:t>(CFP Reported,</a:t>
            </a:r>
            <a:r>
              <a:rPr lang="en-US" sz="1200" baseline="0"/>
              <a:t> quarterly)</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Forecast_Main!$H$86:$AU$86</c:f>
              <c:numCache>
                <c:formatCode>#,##0</c:formatCode>
                <c:ptCount val="40"/>
                <c:pt idx="0">
                  <c:v>11867430.6</c:v>
                </c:pt>
                <c:pt idx="1">
                  <c:v>11165820</c:v>
                </c:pt>
                <c:pt idx="2">
                  <c:v>13012715.050000001</c:v>
                </c:pt>
                <c:pt idx="3">
                  <c:v>11489107.15</c:v>
                </c:pt>
                <c:pt idx="4">
                  <c:v>9104597</c:v>
                </c:pt>
                <c:pt idx="5">
                  <c:v>13400125.199999999</c:v>
                </c:pt>
                <c:pt idx="6">
                  <c:v>14471281.25</c:v>
                </c:pt>
                <c:pt idx="7">
                  <c:v>14210435.268036803</c:v>
                </c:pt>
                <c:pt idx="8">
                  <c:v>10794217.172234204</c:v>
                </c:pt>
                <c:pt idx="9">
                  <c:v>13063325.912483048</c:v>
                </c:pt>
                <c:pt idx="10">
                  <c:v>14749408.915234635</c:v>
                </c:pt>
                <c:pt idx="11">
                  <c:v>13034116.418898588</c:v>
                </c:pt>
                <c:pt idx="12">
                  <c:v>11315967.817921368</c:v>
                </c:pt>
                <c:pt idx="13">
                  <c:v>16520225.203099381</c:v>
                </c:pt>
                <c:pt idx="14">
                  <c:v>16949908.901677188</c:v>
                </c:pt>
                <c:pt idx="15">
                  <c:v>15297240.151916169</c:v>
                </c:pt>
                <c:pt idx="16">
                  <c:v>15350841.541714288</c:v>
                </c:pt>
                <c:pt idx="17">
                  <c:v>16209307.994214851</c:v>
                </c:pt>
                <c:pt idx="18">
                  <c:v>18232074.320047941</c:v>
                </c:pt>
                <c:pt idx="19">
                  <c:v>18659345.943063095</c:v>
                </c:pt>
                <c:pt idx="20">
                  <c:v>15172919.190588832</c:v>
                </c:pt>
                <c:pt idx="21">
                  <c:v>20224869.014682226</c:v>
                </c:pt>
                <c:pt idx="22">
                  <c:v>21042085.188800845</c:v>
                </c:pt>
                <c:pt idx="23">
                  <c:v>19413057.3360608</c:v>
                </c:pt>
                <c:pt idx="24">
                  <c:v>17794022.708823826</c:v>
                </c:pt>
                <c:pt idx="25">
                  <c:v>23831144.927589715</c:v>
                </c:pt>
                <c:pt idx="26">
                  <c:v>16702562.383576512</c:v>
                </c:pt>
                <c:pt idx="27">
                  <c:v>23311149.478656471</c:v>
                </c:pt>
                <c:pt idx="28">
                  <c:v>17788445.86598783</c:v>
                </c:pt>
                <c:pt idx="29">
                  <c:v>19348543.512395076</c:v>
                </c:pt>
                <c:pt idx="30">
                  <c:v>20677444.947252076</c:v>
                </c:pt>
                <c:pt idx="31">
                  <c:v>21998731.796622504</c:v>
                </c:pt>
                <c:pt idx="32">
                  <c:v>18981922.362248588</c:v>
                </c:pt>
                <c:pt idx="33">
                  <c:v>19912761.777261443</c:v>
                </c:pt>
                <c:pt idx="34">
                  <c:v>21266612.928408127</c:v>
                </c:pt>
                <c:pt idx="35">
                  <c:v>22615199.786956895</c:v>
                </c:pt>
                <c:pt idx="36">
                  <c:v>19359094.948432747</c:v>
                </c:pt>
                <c:pt idx="37">
                  <c:v>20122309.001235243</c:v>
                </c:pt>
                <c:pt idx="38">
                  <c:v>21509218.955048706</c:v>
                </c:pt>
                <c:pt idx="39">
                  <c:v>22865329.35121778</c:v>
                </c:pt>
              </c:numCache>
            </c:numRef>
          </c:val>
          <c:smooth val="0"/>
          <c:extLst>
            <c:ext xmlns:c16="http://schemas.microsoft.com/office/drawing/2014/chart" uri="{C3380CC4-5D6E-409C-BE32-E72D297353CC}">
              <c16:uniqueId val="{00000000-2E2A-491B-AA8E-4F3BF16CB0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8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 Diesel</a:t>
            </a:r>
          </a:p>
          <a:p>
            <a:pPr>
              <a:defRPr/>
            </a:pPr>
            <a:r>
              <a:rPr lang="en-US" sz="1200"/>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Forecast_Main!$H$88:$AU$88</c:f>
              <c:numCache>
                <c:formatCode>#,##0</c:formatCode>
                <c:ptCount val="40"/>
                <c:pt idx="0">
                  <c:v>0</c:v>
                </c:pt>
                <c:pt idx="1">
                  <c:v>0</c:v>
                </c:pt>
                <c:pt idx="2">
                  <c:v>0</c:v>
                </c:pt>
                <c:pt idx="3">
                  <c:v>0</c:v>
                </c:pt>
                <c:pt idx="4">
                  <c:v>0</c:v>
                </c:pt>
                <c:pt idx="5">
                  <c:v>0</c:v>
                </c:pt>
                <c:pt idx="6">
                  <c:v>0</c:v>
                </c:pt>
                <c:pt idx="7">
                  <c:v>340253.53196319623</c:v>
                </c:pt>
                <c:pt idx="8">
                  <c:v>301481.0777657968</c:v>
                </c:pt>
                <c:pt idx="9">
                  <c:v>200455.93751695345</c:v>
                </c:pt>
                <c:pt idx="10">
                  <c:v>223908.68476536599</c:v>
                </c:pt>
                <c:pt idx="11">
                  <c:v>481580.18110141181</c:v>
                </c:pt>
                <c:pt idx="12">
                  <c:v>162808.78207863175</c:v>
                </c:pt>
                <c:pt idx="13">
                  <c:v>459855.94690061948</c:v>
                </c:pt>
                <c:pt idx="14">
                  <c:v>11387556.848322812</c:v>
                </c:pt>
                <c:pt idx="15">
                  <c:v>4302226.2480838317</c:v>
                </c:pt>
                <c:pt idx="16">
                  <c:v>7128319.8082857123</c:v>
                </c:pt>
                <c:pt idx="17">
                  <c:v>6189918.905785149</c:v>
                </c:pt>
                <c:pt idx="18">
                  <c:v>203402.47995205966</c:v>
                </c:pt>
                <c:pt idx="19">
                  <c:v>3898562.5569369039</c:v>
                </c:pt>
                <c:pt idx="20">
                  <c:v>6858118.2594111674</c:v>
                </c:pt>
                <c:pt idx="21">
                  <c:v>-454218.41468222882</c:v>
                </c:pt>
                <c:pt idx="22">
                  <c:v>3306786.1111991559</c:v>
                </c:pt>
                <c:pt idx="23">
                  <c:v>65823.563939200656</c:v>
                </c:pt>
                <c:pt idx="24">
                  <c:v>14112917.541176174</c:v>
                </c:pt>
                <c:pt idx="25">
                  <c:v>5059018.7224102831</c:v>
                </c:pt>
                <c:pt idx="26">
                  <c:v>8539986.4664234873</c:v>
                </c:pt>
                <c:pt idx="27">
                  <c:v>18897036.021343525</c:v>
                </c:pt>
                <c:pt idx="28">
                  <c:v>23784582.38401217</c:v>
                </c:pt>
                <c:pt idx="29">
                  <c:v>16293510.326227432</c:v>
                </c:pt>
                <c:pt idx="30">
                  <c:v>17412585.218738593</c:v>
                </c:pt>
                <c:pt idx="31">
                  <c:v>18525247.828734741</c:v>
                </c:pt>
                <c:pt idx="32">
                  <c:v>19369308.532906722</c:v>
                </c:pt>
                <c:pt idx="33">
                  <c:v>20319144.670674942</c:v>
                </c:pt>
                <c:pt idx="34">
                  <c:v>21700625.437151149</c:v>
                </c:pt>
                <c:pt idx="35">
                  <c:v>23076734.476486627</c:v>
                </c:pt>
                <c:pt idx="36">
                  <c:v>19754178.518808927</c:v>
                </c:pt>
                <c:pt idx="37">
                  <c:v>20532968.368607391</c:v>
                </c:pt>
                <c:pt idx="38">
                  <c:v>21948182.607192557</c:v>
                </c:pt>
                <c:pt idx="39">
                  <c:v>23331968.725732431</c:v>
                </c:pt>
              </c:numCache>
            </c:numRef>
          </c:val>
          <c:smooth val="0"/>
          <c:extLst>
            <c:ext xmlns:c16="http://schemas.microsoft.com/office/drawing/2014/chart" uri="{C3380CC4-5D6E-409C-BE32-E72D297353CC}">
              <c16:uniqueId val="{00000000-66E0-42F3-A159-C9605CFA70E3}"/>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Residential Charging</a:t>
            </a:r>
            <a:r>
              <a:rPr lang="en-US" baseline="0"/>
              <a:t> Percentage</a:t>
            </a:r>
            <a:endParaRPr lang="en-US"/>
          </a:p>
        </c:rich>
      </c:tx>
      <c:overlay val="0"/>
      <c:spPr>
        <a:noFill/>
        <a:ln>
          <a:noFill/>
        </a:ln>
        <a:effectLst/>
      </c:spPr>
    </c:title>
    <c:autoTitleDeleted val="0"/>
    <c:plotArea>
      <c:layout/>
      <c:lineChart>
        <c:grouping val="standard"/>
        <c:varyColors val="0"/>
        <c:ser>
          <c:idx val="1"/>
          <c:order val="0"/>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Forecast_Main!$H$95:$AE$95</c:f>
              <c:numCache>
                <c:formatCode>0.0%</c:formatCode>
                <c:ptCount val="24"/>
                <c:pt idx="0">
                  <c:v>0.96445123059040005</c:v>
                </c:pt>
                <c:pt idx="1">
                  <c:v>0.96445123059040005</c:v>
                </c:pt>
                <c:pt idx="2">
                  <c:v>0.96445123059040005</c:v>
                </c:pt>
                <c:pt idx="3">
                  <c:v>0.96445123059040005</c:v>
                </c:pt>
                <c:pt idx="4">
                  <c:v>0.95158695803547244</c:v>
                </c:pt>
                <c:pt idx="5">
                  <c:v>0.95158695803547244</c:v>
                </c:pt>
                <c:pt idx="6">
                  <c:v>0.95158695803547244</c:v>
                </c:pt>
                <c:pt idx="7">
                  <c:v>0.95158695803547244</c:v>
                </c:pt>
                <c:pt idx="8">
                  <c:v>0.94462868059347527</c:v>
                </c:pt>
                <c:pt idx="9">
                  <c:v>0.94462868059347527</c:v>
                </c:pt>
                <c:pt idx="10">
                  <c:v>0.94462868059347527</c:v>
                </c:pt>
                <c:pt idx="11">
                  <c:v>0.94462868059347527</c:v>
                </c:pt>
                <c:pt idx="12">
                  <c:v>0.91770971607879626</c:v>
                </c:pt>
                <c:pt idx="13">
                  <c:v>0.91770971607879626</c:v>
                </c:pt>
                <c:pt idx="14">
                  <c:v>0.91770971607879626</c:v>
                </c:pt>
                <c:pt idx="15">
                  <c:v>0.91770971607879626</c:v>
                </c:pt>
                <c:pt idx="16">
                  <c:v>0.93706354148340298</c:v>
                </c:pt>
                <c:pt idx="17">
                  <c:v>0.93706354148340298</c:v>
                </c:pt>
                <c:pt idx="18">
                  <c:v>0.93706354148340298</c:v>
                </c:pt>
                <c:pt idx="19">
                  <c:v>0.93706354148340298</c:v>
                </c:pt>
                <c:pt idx="20">
                  <c:v>0.90123892939229355</c:v>
                </c:pt>
                <c:pt idx="21">
                  <c:v>0.90123892939229344</c:v>
                </c:pt>
                <c:pt idx="22">
                  <c:v>0.90123892939229355</c:v>
                </c:pt>
                <c:pt idx="23">
                  <c:v>0.90123892939229355</c:v>
                </c:pt>
              </c:numCache>
            </c:numRef>
          </c:val>
          <c:smooth val="0"/>
          <c:extLst>
            <c:ext xmlns:c16="http://schemas.microsoft.com/office/drawing/2014/chart" uri="{C3380CC4-5D6E-409C-BE32-E72D297353CC}">
              <c16:uniqueId val="{00000002-A791-4135-83E5-22B3E4D2D0A7}"/>
            </c:ext>
          </c:extLst>
        </c:ser>
        <c:ser>
          <c:idx val="0"/>
          <c:order val="1"/>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Forecast_Main!$H$95:$AU$95</c:f>
              <c:numCache>
                <c:formatCode>0.0%</c:formatCode>
                <c:ptCount val="40"/>
                <c:pt idx="0">
                  <c:v>0.96445123059040005</c:v>
                </c:pt>
                <c:pt idx="1">
                  <c:v>0.96445123059040005</c:v>
                </c:pt>
                <c:pt idx="2">
                  <c:v>0.96445123059040005</c:v>
                </c:pt>
                <c:pt idx="3">
                  <c:v>0.96445123059040005</c:v>
                </c:pt>
                <c:pt idx="4">
                  <c:v>0.95158695803547244</c:v>
                </c:pt>
                <c:pt idx="5">
                  <c:v>0.95158695803547244</c:v>
                </c:pt>
                <c:pt idx="6">
                  <c:v>0.95158695803547244</c:v>
                </c:pt>
                <c:pt idx="7">
                  <c:v>0.95158695803547244</c:v>
                </c:pt>
                <c:pt idx="8">
                  <c:v>0.94462868059347527</c:v>
                </c:pt>
                <c:pt idx="9">
                  <c:v>0.94462868059347527</c:v>
                </c:pt>
                <c:pt idx="10">
                  <c:v>0.94462868059347527</c:v>
                </c:pt>
                <c:pt idx="11">
                  <c:v>0.94462868059347527</c:v>
                </c:pt>
                <c:pt idx="12">
                  <c:v>0.91770971607879626</c:v>
                </c:pt>
                <c:pt idx="13">
                  <c:v>0.91770971607879626</c:v>
                </c:pt>
                <c:pt idx="14">
                  <c:v>0.91770971607879626</c:v>
                </c:pt>
                <c:pt idx="15">
                  <c:v>0.91770971607879626</c:v>
                </c:pt>
                <c:pt idx="16">
                  <c:v>0.93706354148340298</c:v>
                </c:pt>
                <c:pt idx="17">
                  <c:v>0.93706354148340298</c:v>
                </c:pt>
                <c:pt idx="18">
                  <c:v>0.93706354148340298</c:v>
                </c:pt>
                <c:pt idx="19">
                  <c:v>0.93706354148340298</c:v>
                </c:pt>
                <c:pt idx="20">
                  <c:v>0.90123892939229355</c:v>
                </c:pt>
                <c:pt idx="21">
                  <c:v>0.90123892939229344</c:v>
                </c:pt>
                <c:pt idx="22">
                  <c:v>0.90123892939229355</c:v>
                </c:pt>
                <c:pt idx="23">
                  <c:v>0.90123892939229355</c:v>
                </c:pt>
                <c:pt idx="24">
                  <c:v>0.87279144799299158</c:v>
                </c:pt>
                <c:pt idx="25">
                  <c:v>0.87279144799299158</c:v>
                </c:pt>
                <c:pt idx="26">
                  <c:v>0.87279144799299158</c:v>
                </c:pt>
                <c:pt idx="27">
                  <c:v>0.87279144799299158</c:v>
                </c:pt>
                <c:pt idx="28">
                  <c:v>0.8648612582590246</c:v>
                </c:pt>
                <c:pt idx="29">
                  <c:v>0.85457788796098699</c:v>
                </c:pt>
                <c:pt idx="30">
                  <c:v>0.8517644734843981</c:v>
                </c:pt>
                <c:pt idx="31">
                  <c:v>0.84857335282764357</c:v>
                </c:pt>
                <c:pt idx="32">
                  <c:v>0.84575894181775679</c:v>
                </c:pt>
                <c:pt idx="33">
                  <c:v>0.84348877681529566</c:v>
                </c:pt>
                <c:pt idx="34">
                  <c:v>0.84191818342532032</c:v>
                </c:pt>
                <c:pt idx="35">
                  <c:v>0.8391165439386048</c:v>
                </c:pt>
                <c:pt idx="36">
                  <c:v>0.83672265618251651</c:v>
                </c:pt>
                <c:pt idx="37">
                  <c:v>0.83207385613870422</c:v>
                </c:pt>
                <c:pt idx="38">
                  <c:v>0.82657660312711412</c:v>
                </c:pt>
                <c:pt idx="39">
                  <c:v>0.82258558157280548</c:v>
                </c:pt>
              </c:numCache>
            </c:numRef>
          </c:val>
          <c:smooth val="0"/>
          <c:extLst>
            <c:ext xmlns:c16="http://schemas.microsoft.com/office/drawing/2014/chart" uri="{C3380CC4-5D6E-409C-BE32-E72D297353CC}">
              <c16:uniqueId val="{00000001-A791-4135-83E5-22B3E4D2D0A7}"/>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0.60000000000000009"/>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On-Road</a:t>
            </a:r>
            <a:r>
              <a:rPr lang="en-US" baseline="0"/>
              <a:t> Electricity</a:t>
            </a:r>
          </a:p>
          <a:p>
            <a:pPr>
              <a:defRPr/>
            </a:pPr>
            <a:r>
              <a:rPr lang="en-US" sz="1200"/>
              <a:t>(CFP Reported, quarterly)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Forecast_Main!$H$96:$AU$96</c:f>
              <c:numCache>
                <c:formatCode>#,##0</c:formatCode>
                <c:ptCount val="40"/>
                <c:pt idx="0">
                  <c:v>198628.53531276336</c:v>
                </c:pt>
                <c:pt idx="1">
                  <c:v>308843.32094587578</c:v>
                </c:pt>
                <c:pt idx="2">
                  <c:v>422827.57602126413</c:v>
                </c:pt>
                <c:pt idx="3">
                  <c:v>396188.11660458281</c:v>
                </c:pt>
                <c:pt idx="4">
                  <c:v>295829.37611096178</c:v>
                </c:pt>
                <c:pt idx="5">
                  <c:v>374775.04539570527</c:v>
                </c:pt>
                <c:pt idx="6">
                  <c:v>498150.89119313407</c:v>
                </c:pt>
                <c:pt idx="7">
                  <c:v>474396.96139788156</c:v>
                </c:pt>
                <c:pt idx="8">
                  <c:v>336690.5502671334</c:v>
                </c:pt>
                <c:pt idx="9">
                  <c:v>477214.5631206744</c:v>
                </c:pt>
                <c:pt idx="10">
                  <c:v>629423.32553291484</c:v>
                </c:pt>
                <c:pt idx="11">
                  <c:v>792269.36381853104</c:v>
                </c:pt>
                <c:pt idx="12">
                  <c:v>527206.83333091799</c:v>
                </c:pt>
                <c:pt idx="13">
                  <c:v>656845.46734286321</c:v>
                </c:pt>
                <c:pt idx="14">
                  <c:v>852992.5606674609</c:v>
                </c:pt>
                <c:pt idx="15">
                  <c:v>840901.21825633547</c:v>
                </c:pt>
                <c:pt idx="16">
                  <c:v>862774.95238599239</c:v>
                </c:pt>
                <c:pt idx="17">
                  <c:v>597952.29803208204</c:v>
                </c:pt>
                <c:pt idx="18">
                  <c:v>1145441.0003223976</c:v>
                </c:pt>
                <c:pt idx="19">
                  <c:v>1066599.5764966279</c:v>
                </c:pt>
                <c:pt idx="20">
                  <c:v>710421.62228773115</c:v>
                </c:pt>
                <c:pt idx="21">
                  <c:v>1099734.9394015674</c:v>
                </c:pt>
                <c:pt idx="22">
                  <c:v>1436598.4403264343</c:v>
                </c:pt>
                <c:pt idx="23">
                  <c:v>1416843.6929548748</c:v>
                </c:pt>
                <c:pt idx="24">
                  <c:v>1133720.9466235754</c:v>
                </c:pt>
                <c:pt idx="25">
                  <c:v>1618028.0079649056</c:v>
                </c:pt>
                <c:pt idx="26">
                  <c:v>2077289.5833720469</c:v>
                </c:pt>
                <c:pt idx="27">
                  <c:v>2078625.9715104061</c:v>
                </c:pt>
                <c:pt idx="28">
                  <c:v>1786667.5158393206</c:v>
                </c:pt>
                <c:pt idx="29">
                  <c:v>1957582.4181736473</c:v>
                </c:pt>
                <c:pt idx="30">
                  <c:v>2115376.1451913575</c:v>
                </c:pt>
                <c:pt idx="31">
                  <c:v>2272164.80107967</c:v>
                </c:pt>
                <c:pt idx="32">
                  <c:v>2494512.4981854083</c:v>
                </c:pt>
                <c:pt idx="33">
                  <c:v>2703426.341406153</c:v>
                </c:pt>
                <c:pt idx="34">
                  <c:v>2910369.8214694806</c:v>
                </c:pt>
                <c:pt idx="35">
                  <c:v>3113205.1251791497</c:v>
                </c:pt>
                <c:pt idx="36">
                  <c:v>3395136.8057205221</c:v>
                </c:pt>
                <c:pt idx="37">
                  <c:v>3661937.6787814754</c:v>
                </c:pt>
                <c:pt idx="38">
                  <c:v>3943165.1627640254</c:v>
                </c:pt>
                <c:pt idx="39">
                  <c:v>4217477.9974223915</c:v>
                </c:pt>
              </c:numCache>
            </c:numRef>
          </c:val>
          <c:smooth val="0"/>
          <c:extLst>
            <c:ext xmlns:c16="http://schemas.microsoft.com/office/drawing/2014/chart" uri="{C3380CC4-5D6E-409C-BE32-E72D297353CC}">
              <c16:uniqueId val="{00000000-B564-47E2-A92A-BBF66E7CAEB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Natural</a:t>
            </a:r>
            <a:r>
              <a:rPr lang="en-US" baseline="0"/>
              <a:t> Gas</a:t>
            </a:r>
          </a:p>
          <a:p>
            <a:pPr>
              <a:defRPr/>
            </a:pPr>
            <a:r>
              <a:rPr lang="en-US" sz="1200" baseline="0"/>
              <a:t>(CFP Reported, quarterly)</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Forecast_Main!$H$107:$AU$107</c:f>
              <c:numCache>
                <c:formatCode>#,##0</c:formatCode>
                <c:ptCount val="40"/>
                <c:pt idx="0">
                  <c:v>136671</c:v>
                </c:pt>
                <c:pt idx="1">
                  <c:v>164875</c:v>
                </c:pt>
                <c:pt idx="2">
                  <c:v>569688</c:v>
                </c:pt>
                <c:pt idx="3">
                  <c:v>641005</c:v>
                </c:pt>
                <c:pt idx="4">
                  <c:v>653628</c:v>
                </c:pt>
                <c:pt idx="5">
                  <c:v>764053</c:v>
                </c:pt>
                <c:pt idx="6">
                  <c:v>715854</c:v>
                </c:pt>
                <c:pt idx="7">
                  <c:v>641309</c:v>
                </c:pt>
                <c:pt idx="8">
                  <c:v>656068</c:v>
                </c:pt>
                <c:pt idx="9">
                  <c:v>781791</c:v>
                </c:pt>
                <c:pt idx="10">
                  <c:v>796050</c:v>
                </c:pt>
                <c:pt idx="11">
                  <c:v>857405</c:v>
                </c:pt>
                <c:pt idx="12">
                  <c:v>794598</c:v>
                </c:pt>
                <c:pt idx="13">
                  <c:v>838419</c:v>
                </c:pt>
                <c:pt idx="14">
                  <c:v>864575</c:v>
                </c:pt>
                <c:pt idx="15">
                  <c:v>816268</c:v>
                </c:pt>
                <c:pt idx="16">
                  <c:v>833581</c:v>
                </c:pt>
                <c:pt idx="17">
                  <c:v>800387</c:v>
                </c:pt>
                <c:pt idx="18">
                  <c:v>807804</c:v>
                </c:pt>
                <c:pt idx="19">
                  <c:v>848580</c:v>
                </c:pt>
                <c:pt idx="20">
                  <c:v>891682</c:v>
                </c:pt>
                <c:pt idx="21">
                  <c:v>954642</c:v>
                </c:pt>
                <c:pt idx="22">
                  <c:v>984096</c:v>
                </c:pt>
                <c:pt idx="23">
                  <c:v>980595</c:v>
                </c:pt>
                <c:pt idx="24">
                  <c:v>922381</c:v>
                </c:pt>
                <c:pt idx="25">
                  <c:v>984394</c:v>
                </c:pt>
                <c:pt idx="26">
                  <c:v>1031520</c:v>
                </c:pt>
                <c:pt idx="27">
                  <c:v>1020006</c:v>
                </c:pt>
                <c:pt idx="28">
                  <c:v>993318</c:v>
                </c:pt>
                <c:pt idx="29">
                  <c:v>1082833.4000000001</c:v>
                </c:pt>
                <c:pt idx="30">
                  <c:v>1134672</c:v>
                </c:pt>
                <c:pt idx="31">
                  <c:v>1122006.6000000001</c:v>
                </c:pt>
                <c:pt idx="32">
                  <c:v>1142315.7</c:v>
                </c:pt>
                <c:pt idx="33">
                  <c:v>1245258.4100000001</c:v>
                </c:pt>
                <c:pt idx="34">
                  <c:v>1304872.7999999998</c:v>
                </c:pt>
                <c:pt idx="35">
                  <c:v>1290307.5900000001</c:v>
                </c:pt>
                <c:pt idx="36">
                  <c:v>1313663.0549999999</c:v>
                </c:pt>
                <c:pt idx="37">
                  <c:v>1432047.1715000002</c:v>
                </c:pt>
                <c:pt idx="38">
                  <c:v>1500603.7199999997</c:v>
                </c:pt>
                <c:pt idx="39">
                  <c:v>1483853.7285</c:v>
                </c:pt>
              </c:numCache>
            </c:numRef>
          </c:val>
          <c:smooth val="0"/>
          <c:extLst>
            <c:ext xmlns:c16="http://schemas.microsoft.com/office/drawing/2014/chart" uri="{C3380CC4-5D6E-409C-BE32-E72D297353CC}">
              <c16:uniqueId val="{00000000-DC3C-4DD4-8E1C-7149D58AD77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Liquified Petroleum</a:t>
            </a:r>
            <a:r>
              <a:rPr lang="en-US" baseline="0"/>
              <a:t> Gas</a:t>
            </a:r>
          </a:p>
          <a:p>
            <a:pPr>
              <a:defRPr/>
            </a:pPr>
            <a:r>
              <a:rPr lang="en-US" sz="1200" baseline="0"/>
              <a:t>(CFP Reported, quarterly)</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Forecast_Main!$H$110:$AU$110</c:f>
              <c:numCache>
                <c:formatCode>#,##0</c:formatCode>
                <c:ptCount val="40"/>
                <c:pt idx="0">
                  <c:v>18821</c:v>
                </c:pt>
                <c:pt idx="1">
                  <c:v>18876</c:v>
                </c:pt>
                <c:pt idx="2">
                  <c:v>7995</c:v>
                </c:pt>
                <c:pt idx="3">
                  <c:v>19358</c:v>
                </c:pt>
                <c:pt idx="4">
                  <c:v>20826</c:v>
                </c:pt>
                <c:pt idx="5">
                  <c:v>43505</c:v>
                </c:pt>
                <c:pt idx="6">
                  <c:v>24333</c:v>
                </c:pt>
                <c:pt idx="7">
                  <c:v>39627</c:v>
                </c:pt>
                <c:pt idx="8">
                  <c:v>138064</c:v>
                </c:pt>
                <c:pt idx="9">
                  <c:v>152677</c:v>
                </c:pt>
                <c:pt idx="10">
                  <c:v>162962</c:v>
                </c:pt>
                <c:pt idx="11">
                  <c:v>286715</c:v>
                </c:pt>
                <c:pt idx="12">
                  <c:v>495110</c:v>
                </c:pt>
                <c:pt idx="13">
                  <c:v>365157</c:v>
                </c:pt>
                <c:pt idx="14">
                  <c:v>257693</c:v>
                </c:pt>
                <c:pt idx="15">
                  <c:v>485144</c:v>
                </c:pt>
                <c:pt idx="16">
                  <c:v>458192</c:v>
                </c:pt>
                <c:pt idx="17">
                  <c:v>68331</c:v>
                </c:pt>
                <c:pt idx="18">
                  <c:v>81833</c:v>
                </c:pt>
                <c:pt idx="19">
                  <c:v>141995</c:v>
                </c:pt>
                <c:pt idx="20">
                  <c:v>419390</c:v>
                </c:pt>
                <c:pt idx="21">
                  <c:v>691611</c:v>
                </c:pt>
                <c:pt idx="22">
                  <c:v>412444</c:v>
                </c:pt>
                <c:pt idx="23">
                  <c:v>631224</c:v>
                </c:pt>
                <c:pt idx="24">
                  <c:v>684672</c:v>
                </c:pt>
                <c:pt idx="25">
                  <c:v>786185</c:v>
                </c:pt>
                <c:pt idx="26">
                  <c:v>409142</c:v>
                </c:pt>
                <c:pt idx="27">
                  <c:v>691712</c:v>
                </c:pt>
                <c:pt idx="28">
                  <c:v>730659</c:v>
                </c:pt>
                <c:pt idx="29">
                  <c:v>732684.09375</c:v>
                </c:pt>
                <c:pt idx="30">
                  <c:v>760637.404296875</c:v>
                </c:pt>
                <c:pt idx="31">
                  <c:v>863986.24938964844</c:v>
                </c:pt>
                <c:pt idx="32">
                  <c:v>828109.47792279045</c:v>
                </c:pt>
                <c:pt idx="33">
                  <c:v>890026.2396600137</c:v>
                </c:pt>
                <c:pt idx="34">
                  <c:v>951880.87325034267</c:v>
                </c:pt>
                <c:pt idx="35">
                  <c:v>1024325.4133250142</c:v>
                </c:pt>
                <c:pt idx="36">
                  <c:v>1089830.8912266574</c:v>
                </c:pt>
                <c:pt idx="37">
                  <c:v>1167038.7081512983</c:v>
                </c:pt>
                <c:pt idx="38">
                  <c:v>1248757.3863562271</c:v>
                </c:pt>
                <c:pt idx="39">
                  <c:v>1336335.9577224632</c:v>
                </c:pt>
              </c:numCache>
            </c:numRef>
          </c:val>
          <c:smooth val="0"/>
          <c:extLst>
            <c:ext xmlns:c16="http://schemas.microsoft.com/office/drawing/2014/chart" uri="{C3380CC4-5D6E-409C-BE32-E72D297353CC}">
              <c16:uniqueId val="{00000000-1CC7-49D3-BB79-817141FEE9A1}"/>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Non-Res KWh per Vehicle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Forecast_Main!$H$99:$AU$99</c:f>
              <c:numCache>
                <c:formatCode>#,##0</c:formatCode>
                <c:ptCount val="40"/>
                <c:pt idx="0">
                  <c:v>22.384745980250795</c:v>
                </c:pt>
                <c:pt idx="1">
                  <c:v>31.832606795340567</c:v>
                </c:pt>
                <c:pt idx="2">
                  <c:v>40.201376563176758</c:v>
                </c:pt>
                <c:pt idx="3">
                  <c:v>34.487803005374573</c:v>
                </c:pt>
                <c:pt idx="4">
                  <c:v>32.253978397001653</c:v>
                </c:pt>
                <c:pt idx="5">
                  <c:v>37.948735244519391</c:v>
                </c:pt>
                <c:pt idx="6">
                  <c:v>47.638974476773868</c:v>
                </c:pt>
                <c:pt idx="7">
                  <c:v>42.778371904220975</c:v>
                </c:pt>
                <c:pt idx="8">
                  <c:v>32.565135360429494</c:v>
                </c:pt>
                <c:pt idx="9">
                  <c:v>43.390396170689478</c:v>
                </c:pt>
                <c:pt idx="10">
                  <c:v>53.859212579138777</c:v>
                </c:pt>
                <c:pt idx="11">
                  <c:v>61.918562247413952</c:v>
                </c:pt>
                <c:pt idx="12">
                  <c:v>57.649278161662686</c:v>
                </c:pt>
                <c:pt idx="13">
                  <c:v>67.545315472797512</c:v>
                </c:pt>
                <c:pt idx="14">
                  <c:v>81.204514013485777</c:v>
                </c:pt>
                <c:pt idx="15">
                  <c:v>75.24365336287282</c:v>
                </c:pt>
                <c:pt idx="16">
                  <c:v>57.319474609576993</c:v>
                </c:pt>
                <c:pt idx="17">
                  <c:v>39.300110159577912</c:v>
                </c:pt>
                <c:pt idx="18">
                  <c:v>72.667160464565072</c:v>
                </c:pt>
                <c:pt idx="19">
                  <c:v>63.910556410615179</c:v>
                </c:pt>
                <c:pt idx="20">
                  <c:v>62.970010434619489</c:v>
                </c:pt>
                <c:pt idx="21">
                  <c:v>91.685174249504442</c:v>
                </c:pt>
                <c:pt idx="22">
                  <c:v>110.59346321371203</c:v>
                </c:pt>
                <c:pt idx="23">
                  <c:v>100.9541644577334</c:v>
                </c:pt>
                <c:pt idx="24">
                  <c:v>98.046736205472527</c:v>
                </c:pt>
                <c:pt idx="25">
                  <c:v>131.70629376767164</c:v>
                </c:pt>
                <c:pt idx="26">
                  <c:v>155.69302784704902</c:v>
                </c:pt>
                <c:pt idx="27">
                  <c:v>143.86429312636375</c:v>
                </c:pt>
                <c:pt idx="28">
                  <c:v>121.21467796649073</c:v>
                </c:pt>
                <c:pt idx="29">
                  <c:v>132.00810014337088</c:v>
                </c:pt>
                <c:pt idx="30">
                  <c:v>135.00646396305072</c:v>
                </c:pt>
                <c:pt idx="31">
                  <c:v>138.43142864729452</c:v>
                </c:pt>
                <c:pt idx="32">
                  <c:v>141.47352746600674</c:v>
                </c:pt>
                <c:pt idx="33">
                  <c:v>143.94214211592421</c:v>
                </c:pt>
                <c:pt idx="34">
                  <c:v>145.65782236568765</c:v>
                </c:pt>
                <c:pt idx="35">
                  <c:v>148.73421569526218</c:v>
                </c:pt>
                <c:pt idx="36">
                  <c:v>151.37919181524302</c:v>
                </c:pt>
                <c:pt idx="37">
                  <c:v>156.55906640898564</c:v>
                </c:pt>
                <c:pt idx="38">
                  <c:v>162.75950663879627</c:v>
                </c:pt>
                <c:pt idx="39">
                  <c:v>167.31296800965731</c:v>
                </c:pt>
              </c:numCache>
            </c:numRef>
          </c:val>
          <c:smooth val="0"/>
          <c:extLst>
            <c:ext xmlns:c16="http://schemas.microsoft.com/office/drawing/2014/chart" uri="{C3380CC4-5D6E-409C-BE32-E72D297353CC}">
              <c16:uniqueId val="{00000000-7E24-41CA-B0AA-5D8256A4D736}"/>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On-road Electricity</a:t>
            </a:r>
          </a:p>
          <a:p>
            <a:pPr>
              <a:defRPr/>
            </a:pPr>
            <a:r>
              <a:rPr lang="en-US" sz="1200" baseline="0"/>
              <a:t>(CFP Reported, quarterly)</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553427370658423"/>
          <c:y val="0.14210727969348658"/>
          <c:w val="0.80228346456692912"/>
          <c:h val="0.70104956707997712"/>
        </c:manualLayout>
      </c:layout>
      <c:lineChart>
        <c:grouping val="standard"/>
        <c:varyColors val="0"/>
        <c:ser>
          <c:idx val="0"/>
          <c:order val="0"/>
          <c:tx>
            <c:strRef>
              <c:f>Forecast_Main!$G$93</c:f>
              <c:strCache>
                <c:ptCount val="1"/>
                <c:pt idx="0">
                  <c:v>Non-res electricity</c:v>
                </c:pt>
              </c:strCache>
            </c:strRef>
          </c:tx>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Forecast_Main!$H$93:$AU$93</c:f>
              <c:numCache>
                <c:formatCode>#,##0</c:formatCode>
                <c:ptCount val="40"/>
                <c:pt idx="0">
                  <c:v>7061</c:v>
                </c:pt>
                <c:pt idx="1">
                  <c:v>10979</c:v>
                </c:pt>
                <c:pt idx="2">
                  <c:v>15031</c:v>
                </c:pt>
                <c:pt idx="3">
                  <c:v>14084</c:v>
                </c:pt>
                <c:pt idx="4">
                  <c:v>14322</c:v>
                </c:pt>
                <c:pt idx="5">
                  <c:v>18144</c:v>
                </c:pt>
                <c:pt idx="6">
                  <c:v>24117</c:v>
                </c:pt>
                <c:pt idx="7">
                  <c:v>22967</c:v>
                </c:pt>
                <c:pt idx="8">
                  <c:v>18643</c:v>
                </c:pt>
                <c:pt idx="9">
                  <c:v>26424</c:v>
                </c:pt>
                <c:pt idx="10">
                  <c:v>34852</c:v>
                </c:pt>
                <c:pt idx="11">
                  <c:v>43869</c:v>
                </c:pt>
                <c:pt idx="12">
                  <c:v>43384</c:v>
                </c:pt>
                <c:pt idx="13">
                  <c:v>54052</c:v>
                </c:pt>
                <c:pt idx="14">
                  <c:v>70193</c:v>
                </c:pt>
                <c:pt idx="15">
                  <c:v>69198</c:v>
                </c:pt>
                <c:pt idx="16">
                  <c:v>54300</c:v>
                </c:pt>
                <c:pt idx="17">
                  <c:v>37633</c:v>
                </c:pt>
                <c:pt idx="18">
                  <c:v>72090</c:v>
                </c:pt>
                <c:pt idx="19">
                  <c:v>67128</c:v>
                </c:pt>
                <c:pt idx="20">
                  <c:v>70162</c:v>
                </c:pt>
                <c:pt idx="21">
                  <c:v>108611</c:v>
                </c:pt>
                <c:pt idx="22">
                  <c:v>141880</c:v>
                </c:pt>
                <c:pt idx="23">
                  <c:v>139929</c:v>
                </c:pt>
                <c:pt idx="24">
                  <c:v>144219</c:v>
                </c:pt>
                <c:pt idx="25">
                  <c:v>205827</c:v>
                </c:pt>
                <c:pt idx="26">
                  <c:v>264249</c:v>
                </c:pt>
                <c:pt idx="27">
                  <c:v>264419</c:v>
                </c:pt>
                <c:pt idx="28">
                  <c:v>241448</c:v>
                </c:pt>
                <c:pt idx="29">
                  <c:v>284675.7697412502</c:v>
                </c:pt>
                <c:pt idx="30">
                  <c:v>313573.89666098543</c:v>
                </c:pt>
                <c:pt idx="31">
                  <c:v>344066.29765053838</c:v>
                </c:pt>
                <c:pt idx="32">
                  <c:v>384756.24736894853</c:v>
                </c:pt>
                <c:pt idx="33">
                  <c:v>423116.56348322704</c:v>
                </c:pt>
                <c:pt idx="34">
                  <c:v>460076.54828202166</c:v>
                </c:pt>
                <c:pt idx="35">
                  <c:v>500863.19996687025</c:v>
                </c:pt>
                <c:pt idx="36">
                  <c:v>554348.91953502223</c:v>
                </c:pt>
                <c:pt idx="37">
                  <c:v>614935.07345815748</c:v>
                </c:pt>
                <c:pt idx="38">
                  <c:v>683837.09695736319</c:v>
                </c:pt>
                <c:pt idx="39">
                  <c:v>748241.40614218265</c:v>
                </c:pt>
              </c:numCache>
            </c:numRef>
          </c:val>
          <c:smooth val="0"/>
          <c:extLst>
            <c:ext xmlns:c16="http://schemas.microsoft.com/office/drawing/2014/chart" uri="{C3380CC4-5D6E-409C-BE32-E72D297353CC}">
              <c16:uniqueId val="{00000000-B180-4167-973B-2EB7AE9FFD6B}"/>
            </c:ext>
          </c:extLst>
        </c:ser>
        <c:ser>
          <c:idx val="1"/>
          <c:order val="1"/>
          <c:tx>
            <c:strRef>
              <c:f>Forecast_Main!$G$94</c:f>
              <c:strCache>
                <c:ptCount val="1"/>
                <c:pt idx="0">
                  <c:v>Residential electricity</c:v>
                </c:pt>
              </c:strCache>
            </c:strRef>
          </c:tx>
          <c:spPr>
            <a:ln w="28575" cap="rnd">
              <a:solidFill>
                <a:schemeClr val="accent2"/>
              </a:solidFill>
              <a:round/>
            </a:ln>
            <a:effectLst/>
          </c:spPr>
          <c:marker>
            <c:symbol val="none"/>
          </c:marker>
          <c:val>
            <c:numRef>
              <c:f>Forecast_Main!$H$94:$AU$94</c:f>
              <c:numCache>
                <c:formatCode>#,##0</c:formatCode>
                <c:ptCount val="40"/>
                <c:pt idx="0">
                  <c:v>191567.53531276336</c:v>
                </c:pt>
                <c:pt idx="1">
                  <c:v>297864.32094587578</c:v>
                </c:pt>
                <c:pt idx="2">
                  <c:v>407796.57602126413</c:v>
                </c:pt>
                <c:pt idx="3">
                  <c:v>382104.11660458281</c:v>
                </c:pt>
                <c:pt idx="4">
                  <c:v>281507.37611096178</c:v>
                </c:pt>
                <c:pt idx="5">
                  <c:v>356631.04539570527</c:v>
                </c:pt>
                <c:pt idx="6">
                  <c:v>474033.89119313407</c:v>
                </c:pt>
                <c:pt idx="7">
                  <c:v>451429.96139788156</c:v>
                </c:pt>
                <c:pt idx="8">
                  <c:v>318047.5502671334</c:v>
                </c:pt>
                <c:pt idx="9">
                  <c:v>450790.5631206744</c:v>
                </c:pt>
                <c:pt idx="10">
                  <c:v>594571.32553291484</c:v>
                </c:pt>
                <c:pt idx="11">
                  <c:v>748400.36381853104</c:v>
                </c:pt>
                <c:pt idx="12">
                  <c:v>483822.83333091799</c:v>
                </c:pt>
                <c:pt idx="13">
                  <c:v>602793.46734286321</c:v>
                </c:pt>
                <c:pt idx="14">
                  <c:v>782799.5606674609</c:v>
                </c:pt>
                <c:pt idx="15">
                  <c:v>771703.21825633547</c:v>
                </c:pt>
                <c:pt idx="16">
                  <c:v>808474.95238599239</c:v>
                </c:pt>
                <c:pt idx="17">
                  <c:v>560319.29803208204</c:v>
                </c:pt>
                <c:pt idx="18">
                  <c:v>1073351.0003223976</c:v>
                </c:pt>
                <c:pt idx="19">
                  <c:v>999471.57649662788</c:v>
                </c:pt>
                <c:pt idx="20">
                  <c:v>640259.62228773115</c:v>
                </c:pt>
                <c:pt idx="21">
                  <c:v>991123.93940156733</c:v>
                </c:pt>
                <c:pt idx="22">
                  <c:v>1294718.4403264343</c:v>
                </c:pt>
                <c:pt idx="23">
                  <c:v>1276914.6929548748</c:v>
                </c:pt>
                <c:pt idx="24">
                  <c:v>989501.94662357552</c:v>
                </c:pt>
                <c:pt idx="25">
                  <c:v>1412201.0079649056</c:v>
                </c:pt>
                <c:pt idx="26">
                  <c:v>1813040.5833720469</c:v>
                </c:pt>
                <c:pt idx="27">
                  <c:v>1814206.9715104061</c:v>
                </c:pt>
                <c:pt idx="28">
                  <c:v>1545219.5158393206</c:v>
                </c:pt>
                <c:pt idx="29">
                  <c:v>1672906.6484323971</c:v>
                </c:pt>
                <c:pt idx="30">
                  <c:v>1801802.2485303723</c:v>
                </c:pt>
                <c:pt idx="31">
                  <c:v>1928098.5034291313</c:v>
                </c:pt>
                <c:pt idx="32">
                  <c:v>2109756.2508164598</c:v>
                </c:pt>
                <c:pt idx="33">
                  <c:v>2280309.777922926</c:v>
                </c:pt>
                <c:pt idx="34">
                  <c:v>2450293.273187459</c:v>
                </c:pt>
                <c:pt idx="35">
                  <c:v>2612341.9252122794</c:v>
                </c:pt>
                <c:pt idx="36">
                  <c:v>2840787.8861854998</c:v>
                </c:pt>
                <c:pt idx="37">
                  <c:v>3047002.6053233179</c:v>
                </c:pt>
                <c:pt idx="38">
                  <c:v>3259328.0658066622</c:v>
                </c:pt>
                <c:pt idx="39">
                  <c:v>3469236.5912802089</c:v>
                </c:pt>
              </c:numCache>
            </c:numRef>
          </c:val>
          <c:smooth val="0"/>
          <c:extLst>
            <c:ext xmlns:c16="http://schemas.microsoft.com/office/drawing/2014/chart" uri="{C3380CC4-5D6E-409C-BE32-E72D297353CC}">
              <c16:uniqueId val="{00000000-4A0D-4B3B-9BF9-BB238398F600}"/>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6600115936428189"/>
          <c:y val="0.15756659727878838"/>
          <c:w val="0.71269672962658803"/>
          <c:h val="6.465562494343379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Ethanol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Forecast_Main!$H$122:$AU$122</c:f>
              <c:numCache>
                <c:formatCode>#,##0</c:formatCode>
                <c:ptCount val="40"/>
                <c:pt idx="0">
                  <c:v>138645.70000000001</c:v>
                </c:pt>
                <c:pt idx="1">
                  <c:v>118783.40000000001</c:v>
                </c:pt>
                <c:pt idx="2">
                  <c:v>134538.4</c:v>
                </c:pt>
                <c:pt idx="3">
                  <c:v>107971.2</c:v>
                </c:pt>
                <c:pt idx="4">
                  <c:v>110453.3</c:v>
                </c:pt>
                <c:pt idx="5">
                  <c:v>116910.40000000001</c:v>
                </c:pt>
                <c:pt idx="6">
                  <c:v>131067</c:v>
                </c:pt>
                <c:pt idx="7">
                  <c:v>121246.8</c:v>
                </c:pt>
                <c:pt idx="8">
                  <c:v>116865.8</c:v>
                </c:pt>
                <c:pt idx="9">
                  <c:v>113534.5</c:v>
                </c:pt>
                <c:pt idx="10">
                  <c:v>134719.80000000002</c:v>
                </c:pt>
                <c:pt idx="11">
                  <c:v>130007.5</c:v>
                </c:pt>
                <c:pt idx="12">
                  <c:v>108480.1</c:v>
                </c:pt>
                <c:pt idx="13">
                  <c:v>127109.7</c:v>
                </c:pt>
                <c:pt idx="14">
                  <c:v>146323.4</c:v>
                </c:pt>
                <c:pt idx="15">
                  <c:v>138932.29999999999</c:v>
                </c:pt>
                <c:pt idx="16">
                  <c:v>122550.39999999999</c:v>
                </c:pt>
                <c:pt idx="17">
                  <c:v>108268.5</c:v>
                </c:pt>
                <c:pt idx="18">
                  <c:v>133983</c:v>
                </c:pt>
                <c:pt idx="19">
                  <c:v>123386</c:v>
                </c:pt>
                <c:pt idx="20">
                  <c:v>108409.09999999999</c:v>
                </c:pt>
                <c:pt idx="21">
                  <c:v>150457.1</c:v>
                </c:pt>
                <c:pt idx="22">
                  <c:v>152561</c:v>
                </c:pt>
                <c:pt idx="23">
                  <c:v>130175.1</c:v>
                </c:pt>
                <c:pt idx="24">
                  <c:v>115120.9</c:v>
                </c:pt>
                <c:pt idx="25">
                  <c:v>137589</c:v>
                </c:pt>
                <c:pt idx="26">
                  <c:v>136053.90000000002</c:v>
                </c:pt>
                <c:pt idx="27">
                  <c:v>119162.6</c:v>
                </c:pt>
                <c:pt idx="28">
                  <c:v>136130.5</c:v>
                </c:pt>
                <c:pt idx="29">
                  <c:v>120016.99572183483</c:v>
                </c:pt>
                <c:pt idx="30">
                  <c:v>131885.72763333609</c:v>
                </c:pt>
                <c:pt idx="31">
                  <c:v>132841.09920548735</c:v>
                </c:pt>
                <c:pt idx="32">
                  <c:v>115993.81418499735</c:v>
                </c:pt>
                <c:pt idx="33">
                  <c:v>119534.78204489422</c:v>
                </c:pt>
                <c:pt idx="34">
                  <c:v>130960.7797314194</c:v>
                </c:pt>
                <c:pt idx="35">
                  <c:v>131566.75279885644</c:v>
                </c:pt>
                <c:pt idx="36">
                  <c:v>115381.07420507471</c:v>
                </c:pt>
                <c:pt idx="37">
                  <c:v>118801.48701734343</c:v>
                </c:pt>
                <c:pt idx="38">
                  <c:v>130160.44592300008</c:v>
                </c:pt>
                <c:pt idx="39">
                  <c:v>130768.00910261589</c:v>
                </c:pt>
              </c:numCache>
            </c:numRef>
          </c:val>
          <c:smooth val="0"/>
          <c:extLst>
            <c:ext xmlns:c16="http://schemas.microsoft.com/office/drawing/2014/chart" uri="{C3380CC4-5D6E-409C-BE32-E72D297353CC}">
              <c16:uniqueId val="{00000000-48DF-46DB-8C9D-892C30F3B25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min val="1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Biogas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Forecast_Main!$H$77:$AJ$77</c:f>
              <c:strCache>
                <c:ptCount val="29"/>
                <c:pt idx="0">
                  <c:v>2016 Q1</c:v>
                </c:pt>
                <c:pt idx="1">
                  <c:v>2016 Q2</c:v>
                </c:pt>
                <c:pt idx="2">
                  <c:v>2016 Q3</c:v>
                </c:pt>
                <c:pt idx="3">
                  <c:v>2016 Q4</c:v>
                </c:pt>
                <c:pt idx="4">
                  <c:v>2017 Q1</c:v>
                </c:pt>
                <c:pt idx="5">
                  <c:v>2017 Q2</c:v>
                </c:pt>
                <c:pt idx="6">
                  <c:v>2017 Q3</c:v>
                </c:pt>
                <c:pt idx="7">
                  <c:v>2017 Q4</c:v>
                </c:pt>
                <c:pt idx="8">
                  <c:v>2018 Q1</c:v>
                </c:pt>
                <c:pt idx="9">
                  <c:v>2018 Q2</c:v>
                </c:pt>
                <c:pt idx="10">
                  <c:v>2018 Q3</c:v>
                </c:pt>
                <c:pt idx="11">
                  <c:v>2018 Q4</c:v>
                </c:pt>
                <c:pt idx="12">
                  <c:v>2019 Q1</c:v>
                </c:pt>
                <c:pt idx="13">
                  <c:v>2019 Q2</c:v>
                </c:pt>
                <c:pt idx="14">
                  <c:v>2019 Q3</c:v>
                </c:pt>
                <c:pt idx="15">
                  <c:v>2019 Q4</c:v>
                </c:pt>
                <c:pt idx="16">
                  <c:v>2020 Q1</c:v>
                </c:pt>
                <c:pt idx="17">
                  <c:v>2020 Q2</c:v>
                </c:pt>
                <c:pt idx="18">
                  <c:v>2020 Q3</c:v>
                </c:pt>
                <c:pt idx="19">
                  <c:v>2020 Q4</c:v>
                </c:pt>
                <c:pt idx="20">
                  <c:v>2021 Q1</c:v>
                </c:pt>
                <c:pt idx="21">
                  <c:v>2021 Q2</c:v>
                </c:pt>
                <c:pt idx="22">
                  <c:v>2021 Q3</c:v>
                </c:pt>
                <c:pt idx="23">
                  <c:v>2021 Q4</c:v>
                </c:pt>
                <c:pt idx="24">
                  <c:v>2022 Q1</c:v>
                </c:pt>
                <c:pt idx="25">
                  <c:v>2022 Q2</c:v>
                </c:pt>
                <c:pt idx="26">
                  <c:v>2022 Q3</c:v>
                </c:pt>
                <c:pt idx="27">
                  <c:v>2022 Q4</c:v>
                </c:pt>
                <c:pt idx="28">
                  <c:v>2023 Q1</c:v>
                </c:pt>
              </c:strCache>
            </c:strRef>
          </c:cat>
          <c:val>
            <c:numRef>
              <c:f>Forecast_Main!$H$106:$AJ$106</c:f>
              <c:numCache>
                <c:formatCode>0.0%</c:formatCode>
                <c:ptCount val="29"/>
                <c:pt idx="0">
                  <c:v>0.64920136678593121</c:v>
                </c:pt>
                <c:pt idx="1">
                  <c:v>0.49337983320697498</c:v>
                </c:pt>
                <c:pt idx="2">
                  <c:v>0.55477910716041057</c:v>
                </c:pt>
                <c:pt idx="3">
                  <c:v>0.6684518841506697</c:v>
                </c:pt>
                <c:pt idx="4">
                  <c:v>0.64124547907984353</c:v>
                </c:pt>
                <c:pt idx="5">
                  <c:v>0.70583061646247058</c:v>
                </c:pt>
                <c:pt idx="6">
                  <c:v>0.6520086498084805</c:v>
                </c:pt>
                <c:pt idx="7">
                  <c:v>0.68001384667921394</c:v>
                </c:pt>
                <c:pt idx="8">
                  <c:v>0.41432747824920585</c:v>
                </c:pt>
                <c:pt idx="9">
                  <c:v>0.55601816853865038</c:v>
                </c:pt>
                <c:pt idx="10">
                  <c:v>0.5958017712455248</c:v>
                </c:pt>
                <c:pt idx="11">
                  <c:v>0.62809290825222619</c:v>
                </c:pt>
                <c:pt idx="12">
                  <c:v>0.63391299751572494</c:v>
                </c:pt>
                <c:pt idx="13">
                  <c:v>0.66258278975070939</c:v>
                </c:pt>
                <c:pt idx="14">
                  <c:v>0.64416042564265674</c:v>
                </c:pt>
                <c:pt idx="15">
                  <c:v>0.7447443731715564</c:v>
                </c:pt>
                <c:pt idx="16">
                  <c:v>0.78592122421216415</c:v>
                </c:pt>
                <c:pt idx="17">
                  <c:v>0.88568405034064768</c:v>
                </c:pt>
                <c:pt idx="18">
                  <c:v>0.94136077563369336</c:v>
                </c:pt>
                <c:pt idx="19">
                  <c:v>0.93672841688467789</c:v>
                </c:pt>
                <c:pt idx="20">
                  <c:v>0.839577338109326</c:v>
                </c:pt>
                <c:pt idx="21">
                  <c:v>0.85748898539976237</c:v>
                </c:pt>
                <c:pt idx="22">
                  <c:v>0.96060038857997598</c:v>
                </c:pt>
                <c:pt idx="23">
                  <c:v>0.99050678414636006</c:v>
                </c:pt>
                <c:pt idx="24">
                  <c:v>0.99766148695604095</c:v>
                </c:pt>
                <c:pt idx="25">
                  <c:v>0.9212998047529749</c:v>
                </c:pt>
                <c:pt idx="26">
                  <c:v>0.92782592678765319</c:v>
                </c:pt>
                <c:pt idx="27">
                  <c:v>0.91721323207902694</c:v>
                </c:pt>
                <c:pt idx="28" formatCode="0.00%">
                  <c:v>0.99202068219845008</c:v>
                </c:pt>
              </c:numCache>
            </c:numRef>
          </c:val>
          <c:extLst>
            <c:ext xmlns:c16="http://schemas.microsoft.com/office/drawing/2014/chart" uri="{C3380CC4-5D6E-409C-BE32-E72D297353CC}">
              <c16:uniqueId val="{00000000-7D61-48B1-8CDF-2A0743F59DA7}"/>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Biodiesel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Forecast_Main!$H$123:$AU$123</c:f>
              <c:numCache>
                <c:formatCode>#,##0</c:formatCode>
                <c:ptCount val="40"/>
                <c:pt idx="0">
                  <c:v>58364.7</c:v>
                </c:pt>
                <c:pt idx="1">
                  <c:v>63917.599999999999</c:v>
                </c:pt>
                <c:pt idx="2">
                  <c:v>75239.95</c:v>
                </c:pt>
                <c:pt idx="3">
                  <c:v>68933.55</c:v>
                </c:pt>
                <c:pt idx="4">
                  <c:v>56946.8</c:v>
                </c:pt>
                <c:pt idx="5">
                  <c:v>82476.800000000003</c:v>
                </c:pt>
                <c:pt idx="6">
                  <c:v>90074.85</c:v>
                </c:pt>
                <c:pt idx="7">
                  <c:v>87098.014302230004</c:v>
                </c:pt>
                <c:pt idx="8">
                  <c:v>72723.646281665031</c:v>
                </c:pt>
                <c:pt idx="9">
                  <c:v>87693.219200915511</c:v>
                </c:pt>
                <c:pt idx="10">
                  <c:v>100409.03239736639</c:v>
                </c:pt>
                <c:pt idx="11">
                  <c:v>90605.683479329469</c:v>
                </c:pt>
                <c:pt idx="12">
                  <c:v>81721.490345357786</c:v>
                </c:pt>
                <c:pt idx="13">
                  <c:v>120443.8281439712</c:v>
                </c:pt>
                <c:pt idx="14">
                  <c:v>123711.940061976</c:v>
                </c:pt>
                <c:pt idx="15">
                  <c:v>115171.98353013491</c:v>
                </c:pt>
                <c:pt idx="16">
                  <c:v>116443.25794129001</c:v>
                </c:pt>
                <c:pt idx="17">
                  <c:v>108456.79147050578</c:v>
                </c:pt>
                <c:pt idx="18">
                  <c:v>124825.6197112614</c:v>
                </c:pt>
                <c:pt idx="19">
                  <c:v>122814.1895650217</c:v>
                </c:pt>
                <c:pt idx="20">
                  <c:v>100822.14085973871</c:v>
                </c:pt>
                <c:pt idx="21">
                  <c:v>141200.31834169119</c:v>
                </c:pt>
                <c:pt idx="22">
                  <c:v>143152.20893222929</c:v>
                </c:pt>
                <c:pt idx="23">
                  <c:v>132020.10468202175</c:v>
                </c:pt>
                <c:pt idx="24">
                  <c:v>116019.655569293</c:v>
                </c:pt>
                <c:pt idx="25">
                  <c:v>161361.90225320941</c:v>
                </c:pt>
                <c:pt idx="26">
                  <c:v>112501.35456850445</c:v>
                </c:pt>
                <c:pt idx="27">
                  <c:v>153696.1237906217</c:v>
                </c:pt>
                <c:pt idx="28">
                  <c:v>106062.27636967786</c:v>
                </c:pt>
                <c:pt idx="29">
                  <c:v>125242.95962796781</c:v>
                </c:pt>
                <c:pt idx="30">
                  <c:v>133844.9274530251</c:v>
                </c:pt>
                <c:pt idx="31">
                  <c:v>142397.60613019034</c:v>
                </c:pt>
                <c:pt idx="32">
                  <c:v>120523.51793248788</c:v>
                </c:pt>
                <c:pt idx="33">
                  <c:v>126433.77500690773</c:v>
                </c:pt>
                <c:pt idx="34">
                  <c:v>135029.8961151503</c:v>
                </c:pt>
                <c:pt idx="35">
                  <c:v>143592.59220714745</c:v>
                </c:pt>
                <c:pt idx="36">
                  <c:v>122918.33159187871</c:v>
                </c:pt>
                <c:pt idx="37">
                  <c:v>127764.27083996082</c:v>
                </c:pt>
                <c:pt idx="38">
                  <c:v>136570.29498752678</c:v>
                </c:pt>
                <c:pt idx="39">
                  <c:v>145180.76091041844</c:v>
                </c:pt>
              </c:numCache>
            </c:numRef>
          </c:val>
          <c:smooth val="0"/>
          <c:extLst>
            <c:ext xmlns:c16="http://schemas.microsoft.com/office/drawing/2014/chart" uri="{C3380CC4-5D6E-409C-BE32-E72D297353CC}">
              <c16:uniqueId val="{00000000-F6A9-44FE-9D3F-936C6E802DF8}"/>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 Diesel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Forecast_Main!$H$124:$AU$124</c:f>
              <c:numCache>
                <c:formatCode>#,##0</c:formatCode>
                <c:ptCount val="40"/>
                <c:pt idx="0">
                  <c:v>0</c:v>
                </c:pt>
                <c:pt idx="1">
                  <c:v>0</c:v>
                </c:pt>
                <c:pt idx="2">
                  <c:v>0</c:v>
                </c:pt>
                <c:pt idx="3">
                  <c:v>0</c:v>
                </c:pt>
                <c:pt idx="4">
                  <c:v>0</c:v>
                </c:pt>
                <c:pt idx="5">
                  <c:v>0</c:v>
                </c:pt>
                <c:pt idx="6">
                  <c:v>0</c:v>
                </c:pt>
                <c:pt idx="7">
                  <c:v>2863.335697769985</c:v>
                </c:pt>
                <c:pt idx="8">
                  <c:v>1949.0037183349648</c:v>
                </c:pt>
                <c:pt idx="9">
                  <c:v>1637.830799084486</c:v>
                </c:pt>
                <c:pt idx="10">
                  <c:v>1800.9176026336174</c:v>
                </c:pt>
                <c:pt idx="11">
                  <c:v>4037.2165206705317</c:v>
                </c:pt>
                <c:pt idx="12">
                  <c:v>907.0096546422235</c:v>
                </c:pt>
                <c:pt idx="13">
                  <c:v>3104.2718560287944</c:v>
                </c:pt>
                <c:pt idx="14">
                  <c:v>98816.909938023993</c:v>
                </c:pt>
                <c:pt idx="15">
                  <c:v>38391.316469865094</c:v>
                </c:pt>
                <c:pt idx="16">
                  <c:v>64217.792058709987</c:v>
                </c:pt>
                <c:pt idx="17">
                  <c:v>53572.558529494221</c:v>
                </c:pt>
                <c:pt idx="18">
                  <c:v>854.88028873859662</c:v>
                </c:pt>
                <c:pt idx="19">
                  <c:v>29038.010434978289</c:v>
                </c:pt>
                <c:pt idx="20">
                  <c:v>28230.159140261294</c:v>
                </c:pt>
                <c:pt idx="21">
                  <c:v>11951.231658308796</c:v>
                </c:pt>
                <c:pt idx="22">
                  <c:v>20057.541067770704</c:v>
                </c:pt>
                <c:pt idx="23">
                  <c:v>14247.04531797826</c:v>
                </c:pt>
                <c:pt idx="24">
                  <c:v>90054.694430706993</c:v>
                </c:pt>
                <c:pt idx="25">
                  <c:v>35544.097746790598</c:v>
                </c:pt>
                <c:pt idx="26">
                  <c:v>83450.145431495548</c:v>
                </c:pt>
                <c:pt idx="27">
                  <c:v>124375.4262093783</c:v>
                </c:pt>
                <c:pt idx="28">
                  <c:v>142388.82363032215</c:v>
                </c:pt>
                <c:pt idx="29">
                  <c:v>109467.34626687692</c:v>
                </c:pt>
                <c:pt idx="30">
                  <c:v>116985.80952644214</c:v>
                </c:pt>
                <c:pt idx="31">
                  <c:v>124461.19210318467</c:v>
                </c:pt>
                <c:pt idx="32">
                  <c:v>124029.6917452801</c:v>
                </c:pt>
                <c:pt idx="33">
                  <c:v>130111.88529265297</c:v>
                </c:pt>
                <c:pt idx="34">
                  <c:v>138958.07788269708</c:v>
                </c:pt>
                <c:pt idx="35">
                  <c:v>147769.87308264992</c:v>
                </c:pt>
                <c:pt idx="36">
                  <c:v>126494.17340875111</c:v>
                </c:pt>
                <c:pt idx="37">
                  <c:v>131481.08684661353</c:v>
                </c:pt>
                <c:pt idx="38">
                  <c:v>140543.28880736203</c:v>
                </c:pt>
                <c:pt idx="39">
                  <c:v>149404.24351993288</c:v>
                </c:pt>
              </c:numCache>
            </c:numRef>
          </c:val>
          <c:smooth val="0"/>
          <c:extLst>
            <c:ext xmlns:c16="http://schemas.microsoft.com/office/drawing/2014/chart" uri="{C3380CC4-5D6E-409C-BE32-E72D297353CC}">
              <c16:uniqueId val="{00000000-C742-46D1-B14C-69EADA1742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On-road Electricity Credits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Forecast_Main!$H$125:$AU$125</c:f>
              <c:numCache>
                <c:formatCode>#,##0</c:formatCode>
                <c:ptCount val="40"/>
                <c:pt idx="0">
                  <c:v>8573</c:v>
                </c:pt>
                <c:pt idx="1">
                  <c:v>8574</c:v>
                </c:pt>
                <c:pt idx="2">
                  <c:v>8573</c:v>
                </c:pt>
                <c:pt idx="3">
                  <c:v>8574</c:v>
                </c:pt>
                <c:pt idx="4">
                  <c:v>10301</c:v>
                </c:pt>
                <c:pt idx="5">
                  <c:v>10301</c:v>
                </c:pt>
                <c:pt idx="6">
                  <c:v>10301</c:v>
                </c:pt>
                <c:pt idx="7">
                  <c:v>10301</c:v>
                </c:pt>
                <c:pt idx="8">
                  <c:v>14222</c:v>
                </c:pt>
                <c:pt idx="9">
                  <c:v>14222</c:v>
                </c:pt>
                <c:pt idx="10">
                  <c:v>14223</c:v>
                </c:pt>
                <c:pt idx="11">
                  <c:v>14223</c:v>
                </c:pt>
                <c:pt idx="12">
                  <c:v>18317</c:v>
                </c:pt>
                <c:pt idx="13">
                  <c:v>18317</c:v>
                </c:pt>
                <c:pt idx="14">
                  <c:v>18318</c:v>
                </c:pt>
                <c:pt idx="15">
                  <c:v>18318</c:v>
                </c:pt>
                <c:pt idx="16">
                  <c:v>24872</c:v>
                </c:pt>
                <c:pt idx="17">
                  <c:v>24872</c:v>
                </c:pt>
                <c:pt idx="18">
                  <c:v>24872</c:v>
                </c:pt>
                <c:pt idx="19">
                  <c:v>24872</c:v>
                </c:pt>
                <c:pt idx="20">
                  <c:v>32995.5</c:v>
                </c:pt>
                <c:pt idx="21">
                  <c:v>32995.5</c:v>
                </c:pt>
                <c:pt idx="22">
                  <c:v>39353</c:v>
                </c:pt>
                <c:pt idx="23">
                  <c:v>39352</c:v>
                </c:pt>
                <c:pt idx="24">
                  <c:v>46402</c:v>
                </c:pt>
                <c:pt idx="25">
                  <c:v>46402</c:v>
                </c:pt>
                <c:pt idx="26">
                  <c:v>47330</c:v>
                </c:pt>
                <c:pt idx="27">
                  <c:v>47330</c:v>
                </c:pt>
                <c:pt idx="28">
                  <c:v>57101.556418545602</c:v>
                </c:pt>
                <c:pt idx="29">
                  <c:v>61820.066591985604</c:v>
                </c:pt>
                <c:pt idx="30">
                  <c:v>66583.234093852807</c:v>
                </c:pt>
                <c:pt idx="31">
                  <c:v>71250.346210046395</c:v>
                </c:pt>
                <c:pt idx="32">
                  <c:v>79255.801056758413</c:v>
                </c:pt>
                <c:pt idx="33">
                  <c:v>85662.871261502398</c:v>
                </c:pt>
                <c:pt idx="34">
                  <c:v>92048.527461551392</c:v>
                </c:pt>
                <c:pt idx="35">
                  <c:v>98136.100716246001</c:v>
                </c:pt>
                <c:pt idx="36">
                  <c:v>106717.97723781419</c:v>
                </c:pt>
                <c:pt idx="37">
                  <c:v>114464.7075762774</c:v>
                </c:pt>
                <c:pt idx="38">
                  <c:v>122440.99604507101</c:v>
                </c:pt>
                <c:pt idx="39">
                  <c:v>130326.48913395779</c:v>
                </c:pt>
              </c:numCache>
            </c:numRef>
          </c:val>
          <c:smooth val="0"/>
          <c:extLst>
            <c:ext xmlns:c16="http://schemas.microsoft.com/office/drawing/2014/chart" uri="{C3380CC4-5D6E-409C-BE32-E72D297353CC}">
              <c16:uniqueId val="{00000000-66BB-4783-8CDF-2C653C014582}"/>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Metric Tons</a:t>
                </a:r>
              </a:p>
            </c:rich>
          </c:tx>
          <c:layout>
            <c:manualLayout>
              <c:xMode val="edge"/>
              <c:yMode val="edge"/>
              <c:x val="1.6359918200408999E-2"/>
              <c:y val="0.3821268893112498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Off-Road</a:t>
            </a:r>
            <a:r>
              <a:rPr lang="en-US" baseline="0"/>
              <a:t> Electricity</a:t>
            </a:r>
          </a:p>
          <a:p>
            <a:pPr>
              <a:defRPr/>
            </a:pPr>
            <a:r>
              <a:rPr lang="en-US" sz="1200" baseline="0"/>
              <a:t>(CFP Reported, quarterly)</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Forecast_Main!$H$101:$AU$101</c:f>
              <c:numCache>
                <c:formatCode>#,##0</c:formatCode>
                <c:ptCount val="40"/>
                <c:pt idx="0">
                  <c:v>0</c:v>
                </c:pt>
                <c:pt idx="1">
                  <c:v>0</c:v>
                </c:pt>
                <c:pt idx="2">
                  <c:v>0</c:v>
                </c:pt>
                <c:pt idx="3">
                  <c:v>0</c:v>
                </c:pt>
                <c:pt idx="4">
                  <c:v>0</c:v>
                </c:pt>
                <c:pt idx="5">
                  <c:v>0</c:v>
                </c:pt>
                <c:pt idx="6">
                  <c:v>0</c:v>
                </c:pt>
                <c:pt idx="7">
                  <c:v>0</c:v>
                </c:pt>
                <c:pt idx="8">
                  <c:v>431079</c:v>
                </c:pt>
                <c:pt idx="9">
                  <c:v>422832</c:v>
                </c:pt>
                <c:pt idx="10">
                  <c:v>440204</c:v>
                </c:pt>
                <c:pt idx="11">
                  <c:v>433671</c:v>
                </c:pt>
                <c:pt idx="12">
                  <c:v>477625</c:v>
                </c:pt>
                <c:pt idx="13">
                  <c:v>490452</c:v>
                </c:pt>
                <c:pt idx="14">
                  <c:v>605468</c:v>
                </c:pt>
                <c:pt idx="15">
                  <c:v>647037</c:v>
                </c:pt>
                <c:pt idx="16">
                  <c:v>690933</c:v>
                </c:pt>
                <c:pt idx="17">
                  <c:v>710134</c:v>
                </c:pt>
                <c:pt idx="18">
                  <c:v>871512</c:v>
                </c:pt>
                <c:pt idx="19">
                  <c:v>961477</c:v>
                </c:pt>
                <c:pt idx="20">
                  <c:v>969710</c:v>
                </c:pt>
                <c:pt idx="21">
                  <c:v>1280664</c:v>
                </c:pt>
                <c:pt idx="22">
                  <c:v>1312785</c:v>
                </c:pt>
                <c:pt idx="23">
                  <c:v>1412985</c:v>
                </c:pt>
                <c:pt idx="24">
                  <c:v>1557283</c:v>
                </c:pt>
                <c:pt idx="25">
                  <c:v>1557120</c:v>
                </c:pt>
                <c:pt idx="26">
                  <c:v>1524201</c:v>
                </c:pt>
                <c:pt idx="27">
                  <c:v>1701933</c:v>
                </c:pt>
                <c:pt idx="28">
                  <c:v>944598</c:v>
                </c:pt>
                <c:pt idx="29">
                  <c:v>1275073.8247165096</c:v>
                </c:pt>
                <c:pt idx="30">
                  <c:v>1248117.5495188094</c:v>
                </c:pt>
                <c:pt idx="31">
                  <c:v>2297609.5500000003</c:v>
                </c:pt>
                <c:pt idx="32">
                  <c:v>2409217.3125</c:v>
                </c:pt>
                <c:pt idx="33">
                  <c:v>2546655.75</c:v>
                </c:pt>
                <c:pt idx="34">
                  <c:v>2609214.75</c:v>
                </c:pt>
                <c:pt idx="35">
                  <c:v>2690580.3750000005</c:v>
                </c:pt>
                <c:pt idx="36">
                  <c:v>3022284.421875</c:v>
                </c:pt>
                <c:pt idx="37">
                  <c:v>3152119.921875</c:v>
                </c:pt>
                <c:pt idx="38">
                  <c:v>3269354.53125</c:v>
                </c:pt>
                <c:pt idx="39">
                  <c:v>3467533.14453125</c:v>
                </c:pt>
              </c:numCache>
            </c:numRef>
          </c:val>
          <c:smooth val="0"/>
          <c:extLst>
            <c:ext xmlns:c16="http://schemas.microsoft.com/office/drawing/2014/chart" uri="{C3380CC4-5D6E-409C-BE32-E72D297353CC}">
              <c16:uniqueId val="{00000000-3A86-48B8-B4FC-CF156E57BACC}"/>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dispUnits>
          <c:builtInUnit val="millions"/>
          <c:dispUnitsLbl>
            <c:layout>
              <c:manualLayout>
                <c:xMode val="edge"/>
                <c:yMode val="edge"/>
                <c:x val="1.9086571233810499E-2"/>
                <c:y val="0.3336781609195402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Millions of Gallons</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Non-Res KWh per Vehicle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trendline>
            <c:spPr>
              <a:ln w="34925" cap="rnd">
                <a:solidFill>
                  <a:schemeClr val="accent4">
                    <a:lumMod val="60000"/>
                    <a:lumOff val="40000"/>
                  </a:schemeClr>
                </a:solidFill>
                <a:prstDash val="sysDot"/>
              </a:ln>
              <a:effectLst/>
            </c:spPr>
            <c:trendlineType val="linear"/>
            <c:dispRSqr val="0"/>
            <c:dispEq val="0"/>
          </c:trendline>
          <c:cat>
            <c:numRef>
              <c:f>Forecast_Main!$H$78:$AU$78</c:f>
              <c:numCache>
                <c:formatCode>m/d/yyyy</c:formatCode>
                <c:ptCount val="40"/>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pt idx="36">
                  <c:v>45658</c:v>
                </c:pt>
                <c:pt idx="37">
                  <c:v>45748</c:v>
                </c:pt>
                <c:pt idx="38">
                  <c:v>45839</c:v>
                </c:pt>
                <c:pt idx="39">
                  <c:v>45931</c:v>
                </c:pt>
              </c:numCache>
            </c:numRef>
          </c:cat>
          <c:val>
            <c:numRef>
              <c:f>Forecast_Main!$H$99:$AU$99</c:f>
              <c:numCache>
                <c:formatCode>#,##0</c:formatCode>
                <c:ptCount val="40"/>
                <c:pt idx="0">
                  <c:v>22.384745980250795</c:v>
                </c:pt>
                <c:pt idx="1">
                  <c:v>31.832606795340567</c:v>
                </c:pt>
                <c:pt idx="2">
                  <c:v>40.201376563176758</c:v>
                </c:pt>
                <c:pt idx="3">
                  <c:v>34.487803005374573</c:v>
                </c:pt>
                <c:pt idx="4">
                  <c:v>32.253978397001653</c:v>
                </c:pt>
                <c:pt idx="5">
                  <c:v>37.948735244519391</c:v>
                </c:pt>
                <c:pt idx="6">
                  <c:v>47.638974476773868</c:v>
                </c:pt>
                <c:pt idx="7">
                  <c:v>42.778371904220975</c:v>
                </c:pt>
                <c:pt idx="8">
                  <c:v>32.565135360429494</c:v>
                </c:pt>
                <c:pt idx="9">
                  <c:v>43.390396170689478</c:v>
                </c:pt>
                <c:pt idx="10">
                  <c:v>53.859212579138777</c:v>
                </c:pt>
                <c:pt idx="11">
                  <c:v>61.918562247413952</c:v>
                </c:pt>
                <c:pt idx="12">
                  <c:v>57.649278161662686</c:v>
                </c:pt>
                <c:pt idx="13">
                  <c:v>67.545315472797512</c:v>
                </c:pt>
                <c:pt idx="14">
                  <c:v>81.204514013485777</c:v>
                </c:pt>
                <c:pt idx="15">
                  <c:v>75.24365336287282</c:v>
                </c:pt>
                <c:pt idx="16">
                  <c:v>57.319474609576993</c:v>
                </c:pt>
                <c:pt idx="17">
                  <c:v>39.300110159577912</c:v>
                </c:pt>
                <c:pt idx="18">
                  <c:v>72.667160464565072</c:v>
                </c:pt>
                <c:pt idx="19">
                  <c:v>63.910556410615179</c:v>
                </c:pt>
                <c:pt idx="20">
                  <c:v>62.970010434619489</c:v>
                </c:pt>
                <c:pt idx="21">
                  <c:v>91.685174249504442</c:v>
                </c:pt>
                <c:pt idx="22">
                  <c:v>110.59346321371203</c:v>
                </c:pt>
                <c:pt idx="23">
                  <c:v>100.9541644577334</c:v>
                </c:pt>
                <c:pt idx="24">
                  <c:v>98.046736205472527</c:v>
                </c:pt>
                <c:pt idx="25">
                  <c:v>131.70629376767164</c:v>
                </c:pt>
                <c:pt idx="26">
                  <c:v>155.69302784704902</c:v>
                </c:pt>
                <c:pt idx="27">
                  <c:v>143.86429312636375</c:v>
                </c:pt>
                <c:pt idx="28">
                  <c:v>121.21467796649073</c:v>
                </c:pt>
                <c:pt idx="29">
                  <c:v>132.00810014337088</c:v>
                </c:pt>
                <c:pt idx="30">
                  <c:v>135.00646396305072</c:v>
                </c:pt>
                <c:pt idx="31">
                  <c:v>138.43142864729452</c:v>
                </c:pt>
                <c:pt idx="32">
                  <c:v>141.47352746600674</c:v>
                </c:pt>
                <c:pt idx="33">
                  <c:v>143.94214211592421</c:v>
                </c:pt>
                <c:pt idx="34">
                  <c:v>145.65782236568765</c:v>
                </c:pt>
                <c:pt idx="35">
                  <c:v>148.73421569526218</c:v>
                </c:pt>
                <c:pt idx="36">
                  <c:v>151.37919181524302</c:v>
                </c:pt>
                <c:pt idx="37">
                  <c:v>156.55906640898564</c:v>
                </c:pt>
                <c:pt idx="38">
                  <c:v>162.75950663879627</c:v>
                </c:pt>
                <c:pt idx="39">
                  <c:v>167.31296800965731</c:v>
                </c:pt>
              </c:numCache>
            </c:numRef>
          </c:val>
          <c:smooth val="0"/>
          <c:extLst>
            <c:ext xmlns:c16="http://schemas.microsoft.com/office/drawing/2014/chart" uri="{C3380CC4-5D6E-409C-BE32-E72D297353CC}">
              <c16:uniqueId val="{00000000-80DC-4F62-BDCF-03C49D3BA7AA}"/>
            </c:ext>
          </c:extLst>
        </c:ser>
        <c:dLbls>
          <c:showLegendKey val="0"/>
          <c:showVal val="0"/>
          <c:showCatName val="0"/>
          <c:showSerName val="0"/>
          <c:showPercent val="0"/>
          <c:showBubbleSize val="0"/>
        </c:dLbls>
        <c:smooth val="0"/>
        <c:axId val="366170760"/>
        <c:axId val="399670200"/>
      </c:lineChart>
      <c:dateAx>
        <c:axId val="36617076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9670200"/>
        <c:crosses val="autoZero"/>
        <c:auto val="1"/>
        <c:lblOffset val="100"/>
        <c:baseTimeUnit val="months"/>
        <c:majorUnit val="6"/>
        <c:majorTimeUnit val="months"/>
      </c:dateAx>
      <c:valAx>
        <c:axId val="3996702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170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Liquid Petroleum Gas Blend Rate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Forecast_Main!$T$77:$AJ$77</c:f>
              <c:strCache>
                <c:ptCount val="17"/>
                <c:pt idx="0">
                  <c:v>2019 Q1</c:v>
                </c:pt>
                <c:pt idx="1">
                  <c:v>2019 Q2</c:v>
                </c:pt>
                <c:pt idx="2">
                  <c:v>2019 Q3</c:v>
                </c:pt>
                <c:pt idx="3">
                  <c:v>2019 Q4</c:v>
                </c:pt>
                <c:pt idx="4">
                  <c:v>2020 Q1</c:v>
                </c:pt>
                <c:pt idx="5">
                  <c:v>2020 Q2</c:v>
                </c:pt>
                <c:pt idx="6">
                  <c:v>2020 Q3</c:v>
                </c:pt>
                <c:pt idx="7">
                  <c:v>2020 Q4</c:v>
                </c:pt>
                <c:pt idx="8">
                  <c:v>2021 Q1</c:v>
                </c:pt>
                <c:pt idx="9">
                  <c:v>2021 Q2</c:v>
                </c:pt>
                <c:pt idx="10">
                  <c:v>2021 Q3</c:v>
                </c:pt>
                <c:pt idx="11">
                  <c:v>2021 Q4</c:v>
                </c:pt>
                <c:pt idx="12">
                  <c:v>2022 Q1</c:v>
                </c:pt>
                <c:pt idx="13">
                  <c:v>2022 Q2</c:v>
                </c:pt>
                <c:pt idx="14">
                  <c:v>2022 Q3</c:v>
                </c:pt>
                <c:pt idx="15">
                  <c:v>2022 Q4</c:v>
                </c:pt>
                <c:pt idx="16">
                  <c:v>2023 Q1</c:v>
                </c:pt>
              </c:strCache>
            </c:strRef>
          </c:cat>
          <c:val>
            <c:numRef>
              <c:f>Forecast_Main!$T$112:$AJ$112</c:f>
              <c:numCache>
                <c:formatCode>0.0%</c:formatCode>
                <c:ptCount val="17"/>
                <c:pt idx="0">
                  <c:v>0</c:v>
                </c:pt>
                <c:pt idx="1">
                  <c:v>0</c:v>
                </c:pt>
                <c:pt idx="2">
                  <c:v>0.47080953759777555</c:v>
                </c:pt>
                <c:pt idx="3">
                  <c:v>0.31510983930328523</c:v>
                </c:pt>
                <c:pt idx="4">
                  <c:v>0.32176775690974113</c:v>
                </c:pt>
                <c:pt idx="5">
                  <c:v>0.71132666123097332</c:v>
                </c:pt>
                <c:pt idx="6">
                  <c:v>0.64316798353478799</c:v>
                </c:pt>
                <c:pt idx="7">
                  <c:v>0.57430574917331467</c:v>
                </c:pt>
                <c:pt idx="8">
                  <c:v>0</c:v>
                </c:pt>
                <c:pt idx="9">
                  <c:v>0</c:v>
                </c:pt>
                <c:pt idx="10">
                  <c:v>0.22796692816403391</c:v>
                </c:pt>
                <c:pt idx="11">
                  <c:v>0.20980940756736458</c:v>
                </c:pt>
                <c:pt idx="12">
                  <c:v>0.18844166604437143</c:v>
                </c:pt>
                <c:pt idx="13">
                  <c:v>0.14443277596704773</c:v>
                </c:pt>
                <c:pt idx="14">
                  <c:v>0.33383264975829285</c:v>
                </c:pt>
                <c:pt idx="15">
                  <c:v>0.20053997577505941</c:v>
                </c:pt>
                <c:pt idx="16" formatCode="0.00%">
                  <c:v>0.23178367193734487</c:v>
                </c:pt>
              </c:numCache>
            </c:numRef>
          </c:val>
          <c:extLst>
            <c:ext xmlns:c16="http://schemas.microsoft.com/office/drawing/2014/chart" uri="{C3380CC4-5D6E-409C-BE32-E72D297353CC}">
              <c16:uniqueId val="{00000000-22A5-4AED-BBA4-7293E06CCEEF}"/>
            </c:ext>
          </c:extLst>
        </c:ser>
        <c:dLbls>
          <c:showLegendKey val="0"/>
          <c:showVal val="0"/>
          <c:showCatName val="0"/>
          <c:showSerName val="0"/>
          <c:showPercent val="0"/>
          <c:showBubbleSize val="0"/>
        </c:dLbls>
        <c:gapWidth val="219"/>
        <c:overlap val="-27"/>
        <c:axId val="1862246543"/>
        <c:axId val="1862248207"/>
      </c:barChart>
      <c:catAx>
        <c:axId val="186224654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366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8207"/>
        <c:crosses val="autoZero"/>
        <c:auto val="1"/>
        <c:lblAlgn val="ctr"/>
        <c:lblOffset val="100"/>
        <c:noMultiLvlLbl val="0"/>
      </c:catAx>
      <c:valAx>
        <c:axId val="186224820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22465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Deficit and Credit Trends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303657340535882"/>
          <c:y val="0.14674584195762891"/>
          <c:w val="0.8361187051487502"/>
          <c:h val="0.73278526220558493"/>
        </c:manualLayout>
      </c:layout>
      <c:lineChart>
        <c:grouping val="standard"/>
        <c:varyColors val="0"/>
        <c:ser>
          <c:idx val="0"/>
          <c:order val="0"/>
          <c:tx>
            <c:strRef>
              <c:f>'Table 3+4 - Credit'!$G$6</c:f>
              <c:strCache>
                <c:ptCount val="1"/>
                <c:pt idx="0">
                  <c:v>Fossil Deficit Total</c:v>
                </c:pt>
              </c:strCache>
            </c:strRef>
          </c:tx>
          <c:spPr>
            <a:ln w="28575" cap="rnd">
              <a:solidFill>
                <a:schemeClr val="accent1"/>
              </a:solidFill>
              <a:round/>
            </a:ln>
            <a:effectLst/>
          </c:spPr>
          <c:marker>
            <c:symbol val="none"/>
          </c:marker>
          <c:cat>
            <c:numRef>
              <c:f>'Table 3+4 - Credit'!$H$22:$AA$22</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'Table 3+4 - Credit'!$H$21:$AA$21</c:f>
              <c:numCache>
                <c:formatCode>#,##0</c:formatCode>
                <c:ptCount val="9"/>
                <c:pt idx="0">
                  <c:v>594831.5</c:v>
                </c:pt>
                <c:pt idx="1">
                  <c:v>644372.30000000005</c:v>
                </c:pt>
                <c:pt idx="2">
                  <c:v>864883.15</c:v>
                </c:pt>
                <c:pt idx="3">
                  <c:v>1002020.25</c:v>
                </c:pt>
                <c:pt idx="4">
                  <c:v>1153936</c:v>
                </c:pt>
                <c:pt idx="5">
                  <c:v>1507686.0499999998</c:v>
                </c:pt>
                <c:pt idx="6">
                  <c:v>1928733.7999999998</c:v>
                </c:pt>
                <c:pt idx="7">
                  <c:v>2188328.6989518148</c:v>
                </c:pt>
                <c:pt idx="8">
                  <c:v>2537941.0219371277</c:v>
                </c:pt>
              </c:numCache>
            </c:numRef>
          </c:val>
          <c:smooth val="0"/>
          <c:extLst>
            <c:ext xmlns:c16="http://schemas.microsoft.com/office/drawing/2014/chart" uri="{C3380CC4-5D6E-409C-BE32-E72D297353CC}">
              <c16:uniqueId val="{00000000-BEC5-4D3A-9422-47BDB6A80E89}"/>
            </c:ext>
          </c:extLst>
        </c:ser>
        <c:ser>
          <c:idx val="1"/>
          <c:order val="1"/>
          <c:tx>
            <c:strRef>
              <c:f>'Table 3+4 - Credit'!$G$15</c:f>
              <c:strCache>
                <c:ptCount val="1"/>
                <c:pt idx="0">
                  <c:v>Alternative Credit Total</c:v>
                </c:pt>
              </c:strCache>
            </c:strRef>
          </c:tx>
          <c:spPr>
            <a:ln w="28575" cap="rnd">
              <a:solidFill>
                <a:schemeClr val="accent2"/>
              </a:solidFill>
              <a:round/>
            </a:ln>
            <a:effectLst/>
          </c:spPr>
          <c:marker>
            <c:symbol val="none"/>
          </c:marker>
          <c:cat>
            <c:numRef>
              <c:f>'Table 3+4 - Credit'!$H$22:$AA$22</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'Table 3+4 - Credit'!$H$15:$AA$15</c:f>
              <c:numCache>
                <c:formatCode>#,##0</c:formatCode>
                <c:ptCount val="9"/>
                <c:pt idx="0">
                  <c:v>809410.5</c:v>
                </c:pt>
                <c:pt idx="1">
                  <c:v>855272.3</c:v>
                </c:pt>
                <c:pt idx="2">
                  <c:v>943646.15</c:v>
                </c:pt>
                <c:pt idx="3">
                  <c:v>1220755.25</c:v>
                </c:pt>
                <c:pt idx="4">
                  <c:v>1260580</c:v>
                </c:pt>
                <c:pt idx="5">
                  <c:v>1443556.0499999998</c:v>
                </c:pt>
                <c:pt idx="6">
                  <c:v>1812486.8</c:v>
                </c:pt>
                <c:pt idx="7">
                  <c:v>2025227.1798668068</c:v>
                </c:pt>
                <c:pt idx="8">
                  <c:v>2296839.9821192613</c:v>
                </c:pt>
              </c:numCache>
            </c:numRef>
          </c:val>
          <c:smooth val="0"/>
          <c:extLst>
            <c:ext xmlns:c16="http://schemas.microsoft.com/office/drawing/2014/chart" uri="{C3380CC4-5D6E-409C-BE32-E72D297353CC}">
              <c16:uniqueId val="{00000002-BEC5-4D3A-9422-47BDB6A80E89}"/>
            </c:ext>
          </c:extLst>
        </c:ser>
        <c:dLbls>
          <c:showLegendKey val="0"/>
          <c:showVal val="0"/>
          <c:showCatName val="0"/>
          <c:showSerName val="0"/>
          <c:showPercent val="0"/>
          <c:showBubbleSize val="0"/>
        </c:dLbls>
        <c:smooth val="0"/>
        <c:axId val="1057025695"/>
        <c:axId val="1057024447"/>
      </c:lineChart>
      <c:catAx>
        <c:axId val="1057025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3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4447"/>
        <c:crosses val="autoZero"/>
        <c:auto val="1"/>
        <c:lblAlgn val="ctr"/>
        <c:lblOffset val="100"/>
        <c:noMultiLvlLbl val="0"/>
      </c:catAx>
      <c:valAx>
        <c:axId val="10570244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7025695"/>
        <c:crosses val="autoZero"/>
        <c:crossBetween val="between"/>
        <c:dispUnits>
          <c:builtInUnit val="millions"/>
          <c:dispUnitsLbl>
            <c:layout>
              <c:manualLayout>
                <c:xMode val="edge"/>
                <c:yMode val="edge"/>
                <c:x val="2.2222222222222223E-2"/>
                <c:y val="0.35185185185185186"/>
              </c:manualLayout>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12651060753723997"/>
          <c:y val="0.17606211237400016"/>
          <c:w val="0.52265353804631265"/>
          <c:h val="0.2819001322149682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Credit Bank</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'Table 3+4 - Credit'!$H$22:$AA$22</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'Table 3+4 - Credit'!$H$17:$AA$17</c:f>
              <c:numCache>
                <c:formatCode>#,##0</c:formatCode>
                <c:ptCount val="9"/>
                <c:pt idx="0">
                  <c:v>214579</c:v>
                </c:pt>
                <c:pt idx="1">
                  <c:v>210900.00000000003</c:v>
                </c:pt>
                <c:pt idx="2">
                  <c:v>78763</c:v>
                </c:pt>
                <c:pt idx="3">
                  <c:v>218735</c:v>
                </c:pt>
                <c:pt idx="4">
                  <c:v>106643.99999999994</c:v>
                </c:pt>
                <c:pt idx="5">
                  <c:v>-64130.000000000116</c:v>
                </c:pt>
                <c:pt idx="6">
                  <c:v>-116246.99999999988</c:v>
                </c:pt>
                <c:pt idx="7">
                  <c:v>-163101.51908500795</c:v>
                </c:pt>
                <c:pt idx="8">
                  <c:v>-241101.03981786629</c:v>
                </c:pt>
              </c:numCache>
            </c:numRef>
          </c:val>
          <c:extLst>
            <c:ext xmlns:c16="http://schemas.microsoft.com/office/drawing/2014/chart" uri="{C3380CC4-5D6E-409C-BE32-E72D297353CC}">
              <c16:uniqueId val="{00000000-E6BD-4019-802B-C4416FFAC5D2}"/>
            </c:ext>
          </c:extLst>
        </c:ser>
        <c:dLbls>
          <c:showLegendKey val="0"/>
          <c:showVal val="0"/>
          <c:showCatName val="0"/>
          <c:showSerName val="0"/>
          <c:showPercent val="0"/>
          <c:showBubbleSize val="0"/>
        </c:dLbls>
        <c:gapWidth val="219"/>
        <c:overlap val="-27"/>
        <c:axId val="538795599"/>
        <c:axId val="538796431"/>
      </c:barChart>
      <c:catAx>
        <c:axId val="53879559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33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6431"/>
        <c:crosses val="autoZero"/>
        <c:auto val="1"/>
        <c:lblAlgn val="ctr"/>
        <c:lblOffset val="100"/>
        <c:noMultiLvlLbl val="0"/>
      </c:catAx>
      <c:valAx>
        <c:axId val="538796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87955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'Table 3+4 - Credit'!$G$21</c:f>
              <c:strCache>
                <c:ptCount val="1"/>
                <c:pt idx="0">
                  <c:v>Deficit (inverse)</c:v>
                </c:pt>
              </c:strCache>
            </c:strRef>
          </c:tx>
          <c:spPr>
            <a:ln w="28575" cap="rnd">
              <a:solidFill>
                <a:schemeClr val="accent1"/>
              </a:solidFill>
              <a:round/>
            </a:ln>
            <a:effectLst/>
          </c:spPr>
          <c:marker>
            <c:symbol val="none"/>
          </c:marker>
          <c:cat>
            <c:numRef>
              <c:f>'Table 3+4 - Credit'!$H$22:$AA$22</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'Table 3+4 - Credit'!$H$21:$AA$21</c:f>
              <c:numCache>
                <c:formatCode>#,##0</c:formatCode>
                <c:ptCount val="9"/>
                <c:pt idx="0">
                  <c:v>594831.5</c:v>
                </c:pt>
                <c:pt idx="1">
                  <c:v>644372.30000000005</c:v>
                </c:pt>
                <c:pt idx="2">
                  <c:v>864883.15</c:v>
                </c:pt>
                <c:pt idx="3">
                  <c:v>1002020.25</c:v>
                </c:pt>
                <c:pt idx="4">
                  <c:v>1153936</c:v>
                </c:pt>
                <c:pt idx="5">
                  <c:v>1507686.0499999998</c:v>
                </c:pt>
                <c:pt idx="6">
                  <c:v>1928733.7999999998</c:v>
                </c:pt>
                <c:pt idx="7">
                  <c:v>2188328.6989518148</c:v>
                </c:pt>
                <c:pt idx="8">
                  <c:v>2537941.0219371277</c:v>
                </c:pt>
              </c:numCache>
            </c:numRef>
          </c:val>
          <c:smooth val="0"/>
          <c:extLst>
            <c:ext xmlns:c16="http://schemas.microsoft.com/office/drawing/2014/chart" uri="{C3380CC4-5D6E-409C-BE32-E72D297353CC}">
              <c16:uniqueId val="{00000000-D5AB-4B8C-909D-CF309FD22946}"/>
            </c:ext>
          </c:extLst>
        </c:ser>
        <c:ser>
          <c:idx val="1"/>
          <c:order val="1"/>
          <c:tx>
            <c:strRef>
              <c:f>'Table 3+4 - Credit'!$G$15</c:f>
              <c:strCache>
                <c:ptCount val="1"/>
                <c:pt idx="0">
                  <c:v>Alternative Credit Total</c:v>
                </c:pt>
              </c:strCache>
            </c:strRef>
          </c:tx>
          <c:spPr>
            <a:ln w="28575" cap="rnd">
              <a:solidFill>
                <a:schemeClr val="accent2"/>
              </a:solidFill>
              <a:round/>
            </a:ln>
            <a:effectLst/>
          </c:spPr>
          <c:marker>
            <c:symbol val="none"/>
          </c:marker>
          <c:val>
            <c:numRef>
              <c:f>'Table 3+4 - Credit'!$H$15:$AA$15</c:f>
              <c:numCache>
                <c:formatCode>#,##0</c:formatCode>
                <c:ptCount val="9"/>
                <c:pt idx="0">
                  <c:v>809410.5</c:v>
                </c:pt>
                <c:pt idx="1">
                  <c:v>855272.3</c:v>
                </c:pt>
                <c:pt idx="2">
                  <c:v>943646.15</c:v>
                </c:pt>
                <c:pt idx="3">
                  <c:v>1220755.25</c:v>
                </c:pt>
                <c:pt idx="4">
                  <c:v>1260580</c:v>
                </c:pt>
                <c:pt idx="5">
                  <c:v>1443556.0499999998</c:v>
                </c:pt>
                <c:pt idx="6">
                  <c:v>1812486.8</c:v>
                </c:pt>
                <c:pt idx="7">
                  <c:v>2025227.1798668068</c:v>
                </c:pt>
                <c:pt idx="8">
                  <c:v>2296839.9821192613</c:v>
                </c:pt>
              </c:numCache>
            </c:numRef>
          </c:val>
          <c:smooth val="0"/>
          <c:extLst>
            <c:ext xmlns:c16="http://schemas.microsoft.com/office/drawing/2014/chart" uri="{C3380CC4-5D6E-409C-BE32-E72D297353CC}">
              <c16:uniqueId val="{00000002-D5AB-4B8C-909D-CF309FD22946}"/>
            </c:ext>
          </c:extLst>
        </c:ser>
        <c:dLbls>
          <c:showLegendKey val="0"/>
          <c:showVal val="0"/>
          <c:showCatName val="0"/>
          <c:showSerName val="0"/>
          <c:showPercent val="0"/>
          <c:showBubbleSize val="0"/>
        </c:dLbls>
        <c:smooth val="0"/>
        <c:axId val="87928703"/>
        <c:axId val="87942431"/>
      </c:lineChart>
      <c:catAx>
        <c:axId val="87928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942431"/>
        <c:crosses val="autoZero"/>
        <c:auto val="1"/>
        <c:lblAlgn val="ctr"/>
        <c:lblOffset val="100"/>
        <c:noMultiLvlLbl val="0"/>
      </c:catAx>
      <c:valAx>
        <c:axId val="87942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928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Renewable</a:t>
            </a:r>
            <a:r>
              <a:rPr lang="en-US" baseline="0"/>
              <a:t> D</a:t>
            </a:r>
            <a:r>
              <a:rPr lang="en-US"/>
              <a:t>iesel</a:t>
            </a:r>
            <a:r>
              <a:rPr lang="en-US" baseline="0"/>
              <a:t> </a:t>
            </a:r>
            <a:r>
              <a:rPr lang="en-US"/>
              <a:t>Carbon Intensity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6047465025023853E-2"/>
          <c:y val="0.12584277676787517"/>
          <c:w val="0.89688066453889848"/>
          <c:h val="0.69012530477691603"/>
        </c:manualLayout>
      </c:layout>
      <c:lineChart>
        <c:grouping val="standard"/>
        <c:varyColors val="0"/>
        <c:ser>
          <c:idx val="0"/>
          <c:order val="0"/>
          <c:tx>
            <c:strRef>
              <c:f>'CI Trend'!$C$24</c:f>
              <c:strCache>
                <c:ptCount val="1"/>
                <c:pt idx="0">
                  <c:v>Oregon</c:v>
                </c:pt>
              </c:strCache>
            </c:strRef>
          </c:tx>
          <c:spPr>
            <a:ln w="28575" cap="rnd">
              <a:solidFill>
                <a:schemeClr val="accent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Trend'!$D$24:$AM$24</c:f>
              <c:numCache>
                <c:formatCode>General</c:formatCode>
                <c:ptCount val="36"/>
                <c:pt idx="7" formatCode="#,##0.00">
                  <c:v>33.64</c:v>
                </c:pt>
                <c:pt idx="8" formatCode="#,##0.00">
                  <c:v>48.76</c:v>
                </c:pt>
                <c:pt idx="9" formatCode="#,##0.00">
                  <c:v>36.380000000000003</c:v>
                </c:pt>
                <c:pt idx="10" formatCode="#,##0.00">
                  <c:v>37.42</c:v>
                </c:pt>
                <c:pt idx="11" formatCode="#,##0.00">
                  <c:v>34.96</c:v>
                </c:pt>
                <c:pt idx="12" formatCode="#,##0.00">
                  <c:v>53.91</c:v>
                </c:pt>
                <c:pt idx="13" formatCode="#,##0.00">
                  <c:v>44.74</c:v>
                </c:pt>
                <c:pt idx="14" formatCode="#,##0.00">
                  <c:v>29.88</c:v>
                </c:pt>
                <c:pt idx="15" formatCode="#,##0.00">
                  <c:v>28.25</c:v>
                </c:pt>
                <c:pt idx="16" formatCode="#,##0.00">
                  <c:v>27.32</c:v>
                </c:pt>
                <c:pt idx="17" formatCode="#,##0.00">
                  <c:v>30.18</c:v>
                </c:pt>
                <c:pt idx="18" formatCode="#,##0.00">
                  <c:v>64.02</c:v>
                </c:pt>
                <c:pt idx="19" formatCode="#,##0.00">
                  <c:v>39.46</c:v>
                </c:pt>
                <c:pt idx="20" formatCode="#,##0.00">
                  <c:v>63.84</c:v>
                </c:pt>
                <c:pt idx="21" formatCode="#,##0.00">
                  <c:v>298.41000000000003</c:v>
                </c:pt>
                <c:pt idx="22" formatCode="#,##0.00">
                  <c:v>48.95</c:v>
                </c:pt>
                <c:pt idx="23" formatCode="#,##0.00">
                  <c:v>-1561.21</c:v>
                </c:pt>
                <c:pt idx="24" formatCode="#,##0.00">
                  <c:v>44.83</c:v>
                </c:pt>
                <c:pt idx="25" formatCode="#,##0.00">
                  <c:v>39.86</c:v>
                </c:pt>
                <c:pt idx="26" formatCode="#,##0.00">
                  <c:v>19.690000000000001</c:v>
                </c:pt>
                <c:pt idx="27" formatCode="#,##0.00">
                  <c:v>43.54</c:v>
                </c:pt>
              </c:numCache>
            </c:numRef>
          </c:val>
          <c:smooth val="0"/>
          <c:extLst>
            <c:ext xmlns:c16="http://schemas.microsoft.com/office/drawing/2014/chart" uri="{C3380CC4-5D6E-409C-BE32-E72D297353CC}">
              <c16:uniqueId val="{00000000-7EAE-44C4-8D0D-E0CBC06BB266}"/>
            </c:ext>
          </c:extLst>
        </c:ser>
        <c:ser>
          <c:idx val="2"/>
          <c:order val="1"/>
          <c:tx>
            <c:strRef>
              <c:f>'CI Trend'!$C$27</c:f>
              <c:strCache>
                <c:ptCount val="1"/>
                <c:pt idx="0">
                  <c:v>California</c:v>
                </c:pt>
              </c:strCache>
            </c:strRef>
          </c:tx>
          <c:spPr>
            <a:ln w="28575" cap="rnd">
              <a:solidFill>
                <a:srgbClr val="FFC000"/>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Trend'!$D$27:$AM$27</c:f>
              <c:numCache>
                <c:formatCode>General</c:formatCode>
                <c:ptCount val="36"/>
                <c:pt idx="0">
                  <c:v>52.89</c:v>
                </c:pt>
                <c:pt idx="1">
                  <c:v>31.78</c:v>
                </c:pt>
                <c:pt idx="2">
                  <c:v>30.2</c:v>
                </c:pt>
                <c:pt idx="3">
                  <c:v>30.71</c:v>
                </c:pt>
                <c:pt idx="4">
                  <c:v>30.11</c:v>
                </c:pt>
                <c:pt idx="5">
                  <c:v>30.23</c:v>
                </c:pt>
                <c:pt idx="6">
                  <c:v>30.39</c:v>
                </c:pt>
                <c:pt idx="7">
                  <c:v>30.9</c:v>
                </c:pt>
                <c:pt idx="8">
                  <c:v>30.9</c:v>
                </c:pt>
                <c:pt idx="9">
                  <c:v>31.53</c:v>
                </c:pt>
                <c:pt idx="10">
                  <c:v>32.200000000000003</c:v>
                </c:pt>
                <c:pt idx="11">
                  <c:v>34.049999999999997</c:v>
                </c:pt>
                <c:pt idx="12">
                  <c:v>36.39</c:v>
                </c:pt>
                <c:pt idx="13">
                  <c:v>34.25</c:v>
                </c:pt>
                <c:pt idx="14">
                  <c:v>33.58</c:v>
                </c:pt>
                <c:pt idx="15">
                  <c:v>34.119999999999997</c:v>
                </c:pt>
                <c:pt idx="16">
                  <c:v>32.11</c:v>
                </c:pt>
                <c:pt idx="17" formatCode="#,##0.00">
                  <c:v>35.049999999999997</c:v>
                </c:pt>
                <c:pt idx="18" formatCode="#,##0.00">
                  <c:v>32.1</c:v>
                </c:pt>
                <c:pt idx="19" formatCode="#,##0.00">
                  <c:v>32.880000000000003</c:v>
                </c:pt>
                <c:pt idx="20" formatCode="#,##0.00">
                  <c:v>36.33</c:v>
                </c:pt>
                <c:pt idx="21" formatCode="#,##0.00">
                  <c:v>38.659999999999997</c:v>
                </c:pt>
              </c:numCache>
            </c:numRef>
          </c:val>
          <c:smooth val="0"/>
          <c:extLst>
            <c:ext xmlns:c16="http://schemas.microsoft.com/office/drawing/2014/chart" uri="{C3380CC4-5D6E-409C-BE32-E72D297353CC}">
              <c16:uniqueId val="{00000002-7EAE-44C4-8D0D-E0CBC06BB266}"/>
            </c:ext>
          </c:extLst>
        </c:ser>
        <c:ser>
          <c:idx val="3"/>
          <c:order val="2"/>
          <c:tx>
            <c:strRef>
              <c:f>'CI Trend'!$C$26</c:f>
              <c:strCache>
                <c:ptCount val="1"/>
                <c:pt idx="0">
                  <c:v>Prelim assumption</c:v>
                </c:pt>
              </c:strCache>
            </c:strRef>
          </c:tx>
          <c:spPr>
            <a:ln w="50800" cap="rnd">
              <a:solidFill>
                <a:schemeClr val="tx1"/>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Trend'!$D$26:$AM$26</c:f>
              <c:numCache>
                <c:formatCode>General</c:formatCode>
                <c:ptCount val="36"/>
                <c:pt idx="28" formatCode="#,##0.00">
                  <c:v>40.5</c:v>
                </c:pt>
                <c:pt idx="29" formatCode="#,##0.00">
                  <c:v>40.5</c:v>
                </c:pt>
                <c:pt idx="30" formatCode="#,##0.00">
                  <c:v>40.5</c:v>
                </c:pt>
                <c:pt idx="31" formatCode="#,##0.00">
                  <c:v>40.5</c:v>
                </c:pt>
                <c:pt idx="32" formatCode="#,##0.00">
                  <c:v>41.45</c:v>
                </c:pt>
                <c:pt idx="33" formatCode="#,##0.00">
                  <c:v>41.45</c:v>
                </c:pt>
                <c:pt idx="34" formatCode="#,##0.00">
                  <c:v>41.45</c:v>
                </c:pt>
                <c:pt idx="35" formatCode="#,##0.00">
                  <c:v>41.45</c:v>
                </c:pt>
              </c:numCache>
            </c:numRef>
          </c:val>
          <c:smooth val="0"/>
          <c:extLst>
            <c:ext xmlns:c16="http://schemas.microsoft.com/office/drawing/2014/chart" uri="{C3380CC4-5D6E-409C-BE32-E72D297353CC}">
              <c16:uniqueId val="{00000000-B5BC-4867-9FB0-E1AD22D4091C}"/>
            </c:ext>
          </c:extLst>
        </c:ser>
        <c:ser>
          <c:idx val="1"/>
          <c:order val="3"/>
          <c:tx>
            <c:strRef>
              <c:f>'CI Trend'!$C$25</c:f>
              <c:strCache>
                <c:ptCount val="1"/>
                <c:pt idx="0">
                  <c:v>Lower bound</c:v>
                </c:pt>
              </c:strCache>
            </c:strRef>
          </c:tx>
          <c:spPr>
            <a:ln w="53975" cap="rnd">
              <a:solidFill>
                <a:srgbClr val="FF66CC"/>
              </a:solidFill>
              <a:round/>
            </a:ln>
            <a:effectLst/>
          </c:spPr>
          <c:marker>
            <c:symbol val="none"/>
          </c:marker>
          <c:cat>
            <c:numRef>
              <c:f>'CI Trend'!$D$11:$AM$11</c:f>
              <c:numCache>
                <c:formatCode>m/d/yyyy</c:formatCode>
                <c:ptCount val="36"/>
                <c:pt idx="0">
                  <c:v>42370</c:v>
                </c:pt>
                <c:pt idx="1">
                  <c:v>42461</c:v>
                </c:pt>
                <c:pt idx="2">
                  <c:v>42552</c:v>
                </c:pt>
                <c:pt idx="3">
                  <c:v>42644</c:v>
                </c:pt>
                <c:pt idx="4">
                  <c:v>42736</c:v>
                </c:pt>
                <c:pt idx="5">
                  <c:v>42826</c:v>
                </c:pt>
                <c:pt idx="6">
                  <c:v>42917</c:v>
                </c:pt>
                <c:pt idx="7">
                  <c:v>43009</c:v>
                </c:pt>
                <c:pt idx="8">
                  <c:v>43101</c:v>
                </c:pt>
                <c:pt idx="9">
                  <c:v>43191</c:v>
                </c:pt>
                <c:pt idx="10">
                  <c:v>43282</c:v>
                </c:pt>
                <c:pt idx="11">
                  <c:v>43374</c:v>
                </c:pt>
                <c:pt idx="12">
                  <c:v>43466</c:v>
                </c:pt>
                <c:pt idx="13">
                  <c:v>43556</c:v>
                </c:pt>
                <c:pt idx="14">
                  <c:v>43647</c:v>
                </c:pt>
                <c:pt idx="15">
                  <c:v>43739</c:v>
                </c:pt>
                <c:pt idx="16">
                  <c:v>43831</c:v>
                </c:pt>
                <c:pt idx="17">
                  <c:v>43922</c:v>
                </c:pt>
                <c:pt idx="18">
                  <c:v>44013</c:v>
                </c:pt>
                <c:pt idx="19">
                  <c:v>44105</c:v>
                </c:pt>
                <c:pt idx="20">
                  <c:v>44197</c:v>
                </c:pt>
                <c:pt idx="21">
                  <c:v>44287</c:v>
                </c:pt>
                <c:pt idx="22">
                  <c:v>44378</c:v>
                </c:pt>
                <c:pt idx="23">
                  <c:v>44470</c:v>
                </c:pt>
                <c:pt idx="24">
                  <c:v>44562</c:v>
                </c:pt>
                <c:pt idx="25">
                  <c:v>44652</c:v>
                </c:pt>
                <c:pt idx="26">
                  <c:v>44743</c:v>
                </c:pt>
                <c:pt idx="27">
                  <c:v>44835</c:v>
                </c:pt>
                <c:pt idx="28">
                  <c:v>44927</c:v>
                </c:pt>
                <c:pt idx="29">
                  <c:v>45017</c:v>
                </c:pt>
                <c:pt idx="30">
                  <c:v>45108</c:v>
                </c:pt>
                <c:pt idx="31">
                  <c:v>45200</c:v>
                </c:pt>
                <c:pt idx="32">
                  <c:v>45292</c:v>
                </c:pt>
                <c:pt idx="33">
                  <c:v>45383</c:v>
                </c:pt>
                <c:pt idx="34">
                  <c:v>45474</c:v>
                </c:pt>
                <c:pt idx="35">
                  <c:v>45566</c:v>
                </c:pt>
              </c:numCache>
            </c:numRef>
          </c:cat>
          <c:val>
            <c:numRef>
              <c:f>'CI Trend'!$D$25:$AI$25</c:f>
              <c:numCache>
                <c:formatCode>General</c:formatCode>
                <c:ptCount val="32"/>
              </c:numCache>
            </c:numRef>
          </c:val>
          <c:smooth val="0"/>
          <c:extLst>
            <c:ext xmlns:c16="http://schemas.microsoft.com/office/drawing/2014/chart" uri="{C3380CC4-5D6E-409C-BE32-E72D297353CC}">
              <c16:uniqueId val="{00000001-E133-45DC-8267-BC08E55F0DB7}"/>
            </c:ext>
          </c:extLst>
        </c:ser>
        <c:dLbls>
          <c:showLegendKey val="0"/>
          <c:showVal val="0"/>
          <c:showCatName val="0"/>
          <c:showSerName val="0"/>
          <c:showPercent val="0"/>
          <c:showBubbleSize val="0"/>
        </c:dLbls>
        <c:smooth val="0"/>
        <c:axId val="249445048"/>
        <c:axId val="249441520"/>
      </c:lineChart>
      <c:dateAx>
        <c:axId val="249445048"/>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38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1520"/>
        <c:crosses val="autoZero"/>
        <c:auto val="1"/>
        <c:lblOffset val="100"/>
        <c:baseTimeUnit val="months"/>
        <c:majorUnit val="8"/>
        <c:majorTimeUnit val="months"/>
      </c:dateAx>
      <c:valAx>
        <c:axId val="249441520"/>
        <c:scaling>
          <c:orientation val="minMax"/>
          <c:max val="70"/>
          <c:min val="5"/>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445048"/>
        <c:crosses val="autoZero"/>
        <c:crossBetween val="between"/>
      </c:valAx>
      <c:spPr>
        <a:noFill/>
        <a:ln>
          <a:noFill/>
        </a:ln>
        <a:effectLst/>
      </c:spPr>
    </c:plotArea>
    <c:legend>
      <c:legendPos val="b"/>
      <c:layout>
        <c:manualLayout>
          <c:xMode val="edge"/>
          <c:yMode val="edge"/>
          <c:x val="0.128209933060693"/>
          <c:y val="0.6438967516520242"/>
          <c:w val="0.48236912246434305"/>
          <c:h val="0.15072385244448944"/>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8" Type="http://schemas.openxmlformats.org/officeDocument/2006/relationships/chart" Target="../charts/chart25.xml"/><Relationship Id="rId13" Type="http://schemas.openxmlformats.org/officeDocument/2006/relationships/chart" Target="../charts/chart30.xml"/><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chart" Target="../charts/chart29.xml"/><Relationship Id="rId2" Type="http://schemas.openxmlformats.org/officeDocument/2006/relationships/chart" Target="../charts/chart19.xml"/><Relationship Id="rId16" Type="http://schemas.openxmlformats.org/officeDocument/2006/relationships/chart" Target="../charts/chart33.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5" Type="http://schemas.openxmlformats.org/officeDocument/2006/relationships/chart" Target="../charts/chart3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 Id="rId14"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36</xdr:col>
      <xdr:colOff>722780</xdr:colOff>
      <xdr:row>48</xdr:row>
      <xdr:rowOff>40343</xdr:rowOff>
    </xdr:from>
    <xdr:to>
      <xdr:col>40</xdr:col>
      <xdr:colOff>638736</xdr:colOff>
      <xdr:row>65</xdr:row>
      <xdr:rowOff>145678</xdr:rowOff>
    </xdr:to>
    <xdr:graphicFrame macro="">
      <xdr:nvGraphicFramePr>
        <xdr:cNvPr id="2" name="Chart 1">
          <a:extLst>
            <a:ext uri="{FF2B5EF4-FFF2-40B4-BE49-F238E27FC236}">
              <a16:creationId xmlns:a16="http://schemas.microsoft.com/office/drawing/2014/main" id="{BCDF0DFF-068B-49B0-880B-509DC9FD1D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1030940</xdr:colOff>
      <xdr:row>48</xdr:row>
      <xdr:rowOff>44824</xdr:rowOff>
    </xdr:from>
    <xdr:to>
      <xdr:col>44</xdr:col>
      <xdr:colOff>750794</xdr:colOff>
      <xdr:row>65</xdr:row>
      <xdr:rowOff>156884</xdr:rowOff>
    </xdr:to>
    <xdr:graphicFrame macro="">
      <xdr:nvGraphicFramePr>
        <xdr:cNvPr id="3" name="Chart 2">
          <a:extLst>
            <a:ext uri="{FF2B5EF4-FFF2-40B4-BE49-F238E27FC236}">
              <a16:creationId xmlns:a16="http://schemas.microsoft.com/office/drawing/2014/main" id="{187AB85F-308C-4D4D-BF7B-3513FDB86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941295</xdr:colOff>
      <xdr:row>48</xdr:row>
      <xdr:rowOff>22413</xdr:rowOff>
    </xdr:from>
    <xdr:to>
      <xdr:col>50</xdr:col>
      <xdr:colOff>224118</xdr:colOff>
      <xdr:row>65</xdr:row>
      <xdr:rowOff>134471</xdr:rowOff>
    </xdr:to>
    <xdr:graphicFrame macro="">
      <xdr:nvGraphicFramePr>
        <xdr:cNvPr id="4" name="Chart 3">
          <a:extLst>
            <a:ext uri="{FF2B5EF4-FFF2-40B4-BE49-F238E27FC236}">
              <a16:creationId xmlns:a16="http://schemas.microsoft.com/office/drawing/2014/main" id="{8CA788E8-51CF-48BA-96C7-8F7EB9BAA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48</xdr:col>
      <xdr:colOff>0</xdr:colOff>
      <xdr:row>91</xdr:row>
      <xdr:rowOff>0</xdr:rowOff>
    </xdr:from>
    <xdr:to>
      <xdr:col>54</xdr:col>
      <xdr:colOff>471395</xdr:colOff>
      <xdr:row>108</xdr:row>
      <xdr:rowOff>42582</xdr:rowOff>
    </xdr:to>
    <xdr:graphicFrame macro="">
      <xdr:nvGraphicFramePr>
        <xdr:cNvPr id="6" name="Chart 5">
          <a:extLst>
            <a:ext uri="{FF2B5EF4-FFF2-40B4-BE49-F238E27FC236}">
              <a16:creationId xmlns:a16="http://schemas.microsoft.com/office/drawing/2014/main" id="{CF7FADCD-F5F6-46BB-BC84-722F7AA99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358589</xdr:colOff>
      <xdr:row>48</xdr:row>
      <xdr:rowOff>56029</xdr:rowOff>
    </xdr:from>
    <xdr:to>
      <xdr:col>56</xdr:col>
      <xdr:colOff>470647</xdr:colOff>
      <xdr:row>65</xdr:row>
      <xdr:rowOff>161364</xdr:rowOff>
    </xdr:to>
    <xdr:graphicFrame macro="">
      <xdr:nvGraphicFramePr>
        <xdr:cNvPr id="8" name="Chart 7">
          <a:extLst>
            <a:ext uri="{FF2B5EF4-FFF2-40B4-BE49-F238E27FC236}">
              <a16:creationId xmlns:a16="http://schemas.microsoft.com/office/drawing/2014/main" id="{B14A61A4-2526-413C-A6A5-3DBC90CF7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0.725</cdr:x>
      <cdr:y>0.21456</cdr:y>
    </cdr:from>
    <cdr:to>
      <cdr:x>0.73282</cdr:x>
      <cdr:y>0.81131</cdr:y>
    </cdr:to>
    <cdr:cxnSp macro="">
      <cdr:nvCxnSpPr>
        <cdr:cNvPr id="2" name="Straight Connector 1">
          <a:extLst xmlns:a="http://schemas.openxmlformats.org/drawingml/2006/main">
            <a:ext uri="{FF2B5EF4-FFF2-40B4-BE49-F238E27FC236}">
              <a16:creationId xmlns:a16="http://schemas.microsoft.com/office/drawing/2014/main" id="{6241BBA6-38BD-8194-E626-0427727EBC94}"/>
            </a:ext>
          </a:extLst>
        </cdr:cNvPr>
        <cdr:cNvCxnSpPr/>
      </cdr:nvCxnSpPr>
      <cdr:spPr>
        <a:xfrm xmlns:a="http://schemas.openxmlformats.org/drawingml/2006/main" flipH="1" flipV="1">
          <a:off x="2946401" y="711200"/>
          <a:ext cx="31780" cy="1978049"/>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1.xml><?xml version="1.0" encoding="utf-8"?>
<c:userShapes xmlns:c="http://schemas.openxmlformats.org/drawingml/2006/chart">
  <cdr:relSizeAnchor xmlns:cdr="http://schemas.openxmlformats.org/drawingml/2006/chartDrawing">
    <cdr:from>
      <cdr:x>0.72998</cdr:x>
      <cdr:y>0.21743</cdr:y>
    </cdr:from>
    <cdr:to>
      <cdr:x>0.72998</cdr:x>
      <cdr:y>0.81897</cdr:y>
    </cdr:to>
    <cdr:cxnSp macro="">
      <cdr:nvCxnSpPr>
        <cdr:cNvPr id="3" name="Straight Connector 2">
          <a:extLst xmlns:a="http://schemas.openxmlformats.org/drawingml/2006/main">
            <a:ext uri="{FF2B5EF4-FFF2-40B4-BE49-F238E27FC236}">
              <a16:creationId xmlns:a16="http://schemas.microsoft.com/office/drawing/2014/main" id="{DA15D585-4BB9-E6B1-5D9C-E7DE28BA8A57}"/>
            </a:ext>
          </a:extLst>
        </cdr:cNvPr>
        <cdr:cNvCxnSpPr/>
      </cdr:nvCxnSpPr>
      <cdr:spPr>
        <a:xfrm xmlns:a="http://schemas.openxmlformats.org/drawingml/2006/main" flipV="1">
          <a:off x="2952732" y="720725"/>
          <a:ext cx="17" cy="1993915"/>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2.xml><?xml version="1.0" encoding="utf-8"?>
<c:userShapes xmlns:c="http://schemas.openxmlformats.org/drawingml/2006/chart">
  <cdr:relSizeAnchor xmlns:cdr="http://schemas.openxmlformats.org/drawingml/2006/chartDrawing">
    <cdr:from>
      <cdr:x>0.72865</cdr:x>
      <cdr:y>0.21935</cdr:y>
    </cdr:from>
    <cdr:to>
      <cdr:x>0.73171</cdr:x>
      <cdr:y>0.81609</cdr:y>
    </cdr:to>
    <cdr:cxnSp macro="">
      <cdr:nvCxnSpPr>
        <cdr:cNvPr id="2" name="Straight Connector 1">
          <a:extLst xmlns:a="http://schemas.openxmlformats.org/drawingml/2006/main">
            <a:ext uri="{FF2B5EF4-FFF2-40B4-BE49-F238E27FC236}">
              <a16:creationId xmlns:a16="http://schemas.microsoft.com/office/drawing/2014/main" id="{879BFB04-FC64-A49B-5A8E-EE80BD2AB876}"/>
            </a:ext>
          </a:extLst>
        </cdr:cNvPr>
        <cdr:cNvCxnSpPr/>
      </cdr:nvCxnSpPr>
      <cdr:spPr>
        <a:xfrm xmlns:a="http://schemas.openxmlformats.org/drawingml/2006/main" flipV="1">
          <a:off x="3035264" y="727075"/>
          <a:ext cx="12735" cy="1978019"/>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3.xml><?xml version="1.0" encoding="utf-8"?>
<c:userShapes xmlns:c="http://schemas.openxmlformats.org/drawingml/2006/chart">
  <cdr:relSizeAnchor xmlns:cdr="http://schemas.openxmlformats.org/drawingml/2006/chartDrawing">
    <cdr:from>
      <cdr:x>0.7236</cdr:x>
      <cdr:y>0.22222</cdr:y>
    </cdr:from>
    <cdr:to>
      <cdr:x>0.72826</cdr:x>
      <cdr:y>0.81514</cdr:y>
    </cdr:to>
    <cdr:cxnSp macro="">
      <cdr:nvCxnSpPr>
        <cdr:cNvPr id="2" name="Straight Connector 1">
          <a:extLst xmlns:a="http://schemas.openxmlformats.org/drawingml/2006/main">
            <a:ext uri="{FF2B5EF4-FFF2-40B4-BE49-F238E27FC236}">
              <a16:creationId xmlns:a16="http://schemas.microsoft.com/office/drawing/2014/main" id="{41EB2694-79A6-80C4-378E-F47F2D2EBCEF}"/>
            </a:ext>
          </a:extLst>
        </cdr:cNvPr>
        <cdr:cNvCxnSpPr/>
      </cdr:nvCxnSpPr>
      <cdr:spPr>
        <a:xfrm xmlns:a="http://schemas.openxmlformats.org/drawingml/2006/main" flipH="1" flipV="1">
          <a:off x="2959099" y="736600"/>
          <a:ext cx="19047" cy="1965345"/>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4.xml><?xml version="1.0" encoding="utf-8"?>
<c:userShapes xmlns:c="http://schemas.openxmlformats.org/drawingml/2006/chart">
  <cdr:relSizeAnchor xmlns:cdr="http://schemas.openxmlformats.org/drawingml/2006/chartDrawing">
    <cdr:from>
      <cdr:x>0.72923</cdr:x>
      <cdr:y>0.21456</cdr:y>
    </cdr:from>
    <cdr:to>
      <cdr:x>0.73077</cdr:x>
      <cdr:y>0.81897</cdr:y>
    </cdr:to>
    <cdr:cxnSp macro="">
      <cdr:nvCxnSpPr>
        <cdr:cNvPr id="2" name="Straight Connector 1">
          <a:extLst xmlns:a="http://schemas.openxmlformats.org/drawingml/2006/main">
            <a:ext uri="{FF2B5EF4-FFF2-40B4-BE49-F238E27FC236}">
              <a16:creationId xmlns:a16="http://schemas.microsoft.com/office/drawing/2014/main" id="{41EB2694-79A6-80C4-378E-F47F2D2EBCEF}"/>
            </a:ext>
          </a:extLst>
        </cdr:cNvPr>
        <cdr:cNvCxnSpPr/>
      </cdr:nvCxnSpPr>
      <cdr:spPr>
        <a:xfrm xmlns:a="http://schemas.openxmlformats.org/drawingml/2006/main" flipH="1" flipV="1">
          <a:off x="3009899" y="711200"/>
          <a:ext cx="6354" cy="200344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5.xml><?xml version="1.0" encoding="utf-8"?>
<c:userShapes xmlns:c="http://schemas.openxmlformats.org/drawingml/2006/chart">
  <cdr:relSizeAnchor xmlns:cdr="http://schemas.openxmlformats.org/drawingml/2006/chartDrawing">
    <cdr:from>
      <cdr:x>0.72755</cdr:x>
      <cdr:y>0.22222</cdr:y>
    </cdr:from>
    <cdr:to>
      <cdr:x>0.7322</cdr:x>
      <cdr:y>0.8228</cdr:y>
    </cdr:to>
    <cdr:cxnSp macro="">
      <cdr:nvCxnSpPr>
        <cdr:cNvPr id="2" name="Straight Connector 1">
          <a:extLst xmlns:a="http://schemas.openxmlformats.org/drawingml/2006/main">
            <a:ext uri="{FF2B5EF4-FFF2-40B4-BE49-F238E27FC236}">
              <a16:creationId xmlns:a16="http://schemas.microsoft.com/office/drawing/2014/main" id="{8E299198-0FC5-FED3-F386-A4248C516B67}"/>
            </a:ext>
          </a:extLst>
        </cdr:cNvPr>
        <cdr:cNvCxnSpPr/>
      </cdr:nvCxnSpPr>
      <cdr:spPr>
        <a:xfrm xmlns:a="http://schemas.openxmlformats.org/drawingml/2006/main" flipH="1" flipV="1">
          <a:off x="2984499" y="736600"/>
          <a:ext cx="19059" cy="1990735"/>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6.xml><?xml version="1.0" encoding="utf-8"?>
<c:userShapes xmlns:c="http://schemas.openxmlformats.org/drawingml/2006/chart">
  <cdr:relSizeAnchor xmlns:cdr="http://schemas.openxmlformats.org/drawingml/2006/chartDrawing">
    <cdr:from>
      <cdr:x>0.77019</cdr:x>
      <cdr:y>0.22605</cdr:y>
    </cdr:from>
    <cdr:to>
      <cdr:x>0.77484</cdr:x>
      <cdr:y>0.81514</cdr:y>
    </cdr:to>
    <cdr:cxnSp macro="">
      <cdr:nvCxnSpPr>
        <cdr:cNvPr id="2" name="Straight Connector 1">
          <a:extLst xmlns:a="http://schemas.openxmlformats.org/drawingml/2006/main">
            <a:ext uri="{FF2B5EF4-FFF2-40B4-BE49-F238E27FC236}">
              <a16:creationId xmlns:a16="http://schemas.microsoft.com/office/drawing/2014/main" id="{C77FA16F-3340-E39D-734A-16AABB287965}"/>
            </a:ext>
          </a:extLst>
        </cdr:cNvPr>
        <cdr:cNvCxnSpPr/>
      </cdr:nvCxnSpPr>
      <cdr:spPr>
        <a:xfrm xmlns:a="http://schemas.openxmlformats.org/drawingml/2006/main" flipH="1" flipV="1">
          <a:off x="3149599" y="749300"/>
          <a:ext cx="19032" cy="1952645"/>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7.xml><?xml version="1.0" encoding="utf-8"?>
<c:userShapes xmlns:c="http://schemas.openxmlformats.org/drawingml/2006/chart">
  <cdr:relSizeAnchor xmlns:cdr="http://schemas.openxmlformats.org/drawingml/2006/chartDrawing">
    <cdr:from>
      <cdr:x>0.7322</cdr:x>
      <cdr:y>0.22605</cdr:y>
    </cdr:from>
    <cdr:to>
      <cdr:x>0.73375</cdr:x>
      <cdr:y>0.81897</cdr:y>
    </cdr:to>
    <cdr:cxnSp macro="">
      <cdr:nvCxnSpPr>
        <cdr:cNvPr id="2" name="Straight Connector 1">
          <a:extLst xmlns:a="http://schemas.openxmlformats.org/drawingml/2006/main">
            <a:ext uri="{FF2B5EF4-FFF2-40B4-BE49-F238E27FC236}">
              <a16:creationId xmlns:a16="http://schemas.microsoft.com/office/drawing/2014/main" id="{4AD9AF84-058C-7AE9-D992-43A3A063D04E}"/>
            </a:ext>
          </a:extLst>
        </cdr:cNvPr>
        <cdr:cNvCxnSpPr/>
      </cdr:nvCxnSpPr>
      <cdr:spPr>
        <a:xfrm xmlns:a="http://schemas.openxmlformats.org/drawingml/2006/main" flipV="1">
          <a:off x="3003558" y="749300"/>
          <a:ext cx="6341" cy="196534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8.xml><?xml version="1.0" encoding="utf-8"?>
<c:userShapes xmlns:c="http://schemas.openxmlformats.org/drawingml/2006/chart">
  <cdr:relSizeAnchor xmlns:cdr="http://schemas.openxmlformats.org/drawingml/2006/chartDrawing">
    <cdr:from>
      <cdr:x>0.71517</cdr:x>
      <cdr:y>0.15709</cdr:y>
    </cdr:from>
    <cdr:to>
      <cdr:x>0.71982</cdr:x>
      <cdr:y>0.81897</cdr:y>
    </cdr:to>
    <cdr:cxnSp macro="">
      <cdr:nvCxnSpPr>
        <cdr:cNvPr id="2" name="Straight Connector 1">
          <a:extLst xmlns:a="http://schemas.openxmlformats.org/drawingml/2006/main">
            <a:ext uri="{FF2B5EF4-FFF2-40B4-BE49-F238E27FC236}">
              <a16:creationId xmlns:a16="http://schemas.microsoft.com/office/drawing/2014/main" id="{39B1706F-D465-038C-EC17-A7D0745CE077}"/>
            </a:ext>
          </a:extLst>
        </cdr:cNvPr>
        <cdr:cNvCxnSpPr/>
      </cdr:nvCxnSpPr>
      <cdr:spPr>
        <a:xfrm xmlns:a="http://schemas.openxmlformats.org/drawingml/2006/main" flipH="1" flipV="1">
          <a:off x="2933698" y="520706"/>
          <a:ext cx="19075" cy="2193934"/>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19.xml><?xml version="1.0" encoding="utf-8"?>
<c:userShapes xmlns:c="http://schemas.openxmlformats.org/drawingml/2006/chart">
  <cdr:relSizeAnchor xmlns:cdr="http://schemas.openxmlformats.org/drawingml/2006/chartDrawing">
    <cdr:from>
      <cdr:x>0.74121</cdr:x>
      <cdr:y>0.1456</cdr:y>
    </cdr:from>
    <cdr:to>
      <cdr:x>0.746</cdr:x>
      <cdr:y>0.80748</cdr:y>
    </cdr:to>
    <cdr:cxnSp macro="">
      <cdr:nvCxnSpPr>
        <cdr:cNvPr id="2" name="Straight Connector 1">
          <a:extLst xmlns:a="http://schemas.openxmlformats.org/drawingml/2006/main">
            <a:ext uri="{FF2B5EF4-FFF2-40B4-BE49-F238E27FC236}">
              <a16:creationId xmlns:a16="http://schemas.microsoft.com/office/drawing/2014/main" id="{6DF689FD-3828-E7A1-CDD4-614C605D1538}"/>
            </a:ext>
          </a:extLst>
        </cdr:cNvPr>
        <cdr:cNvCxnSpPr/>
      </cdr:nvCxnSpPr>
      <cdr:spPr>
        <a:xfrm xmlns:a="http://schemas.openxmlformats.org/drawingml/2006/main" flipH="1" flipV="1">
          <a:off x="2946402" y="482606"/>
          <a:ext cx="19041" cy="2193934"/>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xml><?xml version="1.0" encoding="utf-8"?>
<c:userShapes xmlns:c="http://schemas.openxmlformats.org/drawingml/2006/chart">
  <cdr:relSizeAnchor xmlns:cdr="http://schemas.openxmlformats.org/drawingml/2006/chartDrawing">
    <cdr:from>
      <cdr:x>0.71299</cdr:x>
      <cdr:y>0.15213</cdr:y>
    </cdr:from>
    <cdr:to>
      <cdr:x>0.71572</cdr:x>
      <cdr:y>0.82488</cdr:y>
    </cdr:to>
    <cdr:cxnSp macro="">
      <cdr:nvCxnSpPr>
        <cdr:cNvPr id="3" name="Straight Connector 2">
          <a:extLst xmlns:a="http://schemas.openxmlformats.org/drawingml/2006/main">
            <a:ext uri="{FF2B5EF4-FFF2-40B4-BE49-F238E27FC236}">
              <a16:creationId xmlns:a16="http://schemas.microsoft.com/office/drawing/2014/main" id="{FA9F06E6-ED2D-0851-4199-AC10DB93C11D}"/>
            </a:ext>
          </a:extLst>
        </cdr:cNvPr>
        <cdr:cNvCxnSpPr/>
      </cdr:nvCxnSpPr>
      <cdr:spPr>
        <a:xfrm xmlns:a="http://schemas.openxmlformats.org/drawingml/2006/main" flipH="1">
          <a:off x="2924744" y="504270"/>
          <a:ext cx="11199" cy="2229964"/>
        </a:xfrm>
        <a:prstGeom xmlns:a="http://schemas.openxmlformats.org/drawingml/2006/main" prst="line">
          <a:avLst/>
        </a:prstGeom>
        <a:ln xmlns:a="http://schemas.openxmlformats.org/drawingml/2006/main" w="22225">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0.xml><?xml version="1.0" encoding="utf-8"?>
<c:userShapes xmlns:c="http://schemas.openxmlformats.org/drawingml/2006/chart">
  <cdr:relSizeAnchor xmlns:cdr="http://schemas.openxmlformats.org/drawingml/2006/chartDrawing">
    <cdr:from>
      <cdr:x>0.74143</cdr:x>
      <cdr:y>0.16475</cdr:y>
    </cdr:from>
    <cdr:to>
      <cdr:x>0.74611</cdr:x>
      <cdr:y>0.82663</cdr:y>
    </cdr:to>
    <cdr:cxnSp macro="">
      <cdr:nvCxnSpPr>
        <cdr:cNvPr id="2" name="Straight Connector 1">
          <a:extLst xmlns:a="http://schemas.openxmlformats.org/drawingml/2006/main">
            <a:ext uri="{FF2B5EF4-FFF2-40B4-BE49-F238E27FC236}">
              <a16:creationId xmlns:a16="http://schemas.microsoft.com/office/drawing/2014/main" id="{9791637A-29BB-6D0E-5A15-31762FC1048D}"/>
            </a:ext>
          </a:extLst>
        </cdr:cNvPr>
        <cdr:cNvCxnSpPr/>
      </cdr:nvCxnSpPr>
      <cdr:spPr>
        <a:xfrm xmlns:a="http://schemas.openxmlformats.org/drawingml/2006/main" flipH="1" flipV="1">
          <a:off x="3022592" y="546111"/>
          <a:ext cx="19079" cy="2193934"/>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1.xml><?xml version="1.0" encoding="utf-8"?>
<c:userShapes xmlns:c="http://schemas.openxmlformats.org/drawingml/2006/chart">
  <cdr:relSizeAnchor xmlns:cdr="http://schemas.openxmlformats.org/drawingml/2006/chartDrawing">
    <cdr:from>
      <cdr:x>0.74375</cdr:x>
      <cdr:y>0.16092</cdr:y>
    </cdr:from>
    <cdr:to>
      <cdr:x>0.74844</cdr:x>
      <cdr:y>0.8228</cdr:y>
    </cdr:to>
    <cdr:cxnSp macro="">
      <cdr:nvCxnSpPr>
        <cdr:cNvPr id="2" name="Straight Connector 1">
          <a:extLst xmlns:a="http://schemas.openxmlformats.org/drawingml/2006/main">
            <a:ext uri="{FF2B5EF4-FFF2-40B4-BE49-F238E27FC236}">
              <a16:creationId xmlns:a16="http://schemas.microsoft.com/office/drawing/2014/main" id="{9791637A-29BB-6D0E-5A15-31762FC1048D}"/>
            </a:ext>
          </a:extLst>
        </cdr:cNvPr>
        <cdr:cNvCxnSpPr/>
      </cdr:nvCxnSpPr>
      <cdr:spPr>
        <a:xfrm xmlns:a="http://schemas.openxmlformats.org/drawingml/2006/main" flipH="1" flipV="1">
          <a:off x="3022620" y="533406"/>
          <a:ext cx="19020" cy="2193934"/>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2.xml><?xml version="1.0" encoding="utf-8"?>
<c:userShapes xmlns:c="http://schemas.openxmlformats.org/drawingml/2006/chart">
  <cdr:relSizeAnchor xmlns:cdr="http://schemas.openxmlformats.org/drawingml/2006/chartDrawing">
    <cdr:from>
      <cdr:x>0.73968</cdr:x>
      <cdr:y>0.14943</cdr:y>
    </cdr:from>
    <cdr:to>
      <cdr:x>0.74444</cdr:x>
      <cdr:y>0.81131</cdr:y>
    </cdr:to>
    <cdr:cxnSp macro="">
      <cdr:nvCxnSpPr>
        <cdr:cNvPr id="2" name="Straight Connector 1">
          <a:extLst xmlns:a="http://schemas.openxmlformats.org/drawingml/2006/main">
            <a:ext uri="{FF2B5EF4-FFF2-40B4-BE49-F238E27FC236}">
              <a16:creationId xmlns:a16="http://schemas.microsoft.com/office/drawing/2014/main" id="{9791637A-29BB-6D0E-5A15-31762FC1048D}"/>
            </a:ext>
          </a:extLst>
        </cdr:cNvPr>
        <cdr:cNvCxnSpPr/>
      </cdr:nvCxnSpPr>
      <cdr:spPr>
        <a:xfrm xmlns:a="http://schemas.openxmlformats.org/drawingml/2006/main" flipH="1" flipV="1">
          <a:off x="2959105" y="495306"/>
          <a:ext cx="19042" cy="2193934"/>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c:userShapes xmlns:c="http://schemas.openxmlformats.org/drawingml/2006/chart">
  <cdr:relSizeAnchor xmlns:cdr="http://schemas.openxmlformats.org/drawingml/2006/chartDrawing">
    <cdr:from>
      <cdr:x>0.72555</cdr:x>
      <cdr:y>0.23372</cdr:y>
    </cdr:from>
    <cdr:to>
      <cdr:x>0.73029</cdr:x>
      <cdr:y>0.81131</cdr:y>
    </cdr:to>
    <cdr:cxnSp macro="">
      <cdr:nvCxnSpPr>
        <cdr:cNvPr id="2" name="Straight Connector 1">
          <a:extLst xmlns:a="http://schemas.openxmlformats.org/drawingml/2006/main">
            <a:ext uri="{FF2B5EF4-FFF2-40B4-BE49-F238E27FC236}">
              <a16:creationId xmlns:a16="http://schemas.microsoft.com/office/drawing/2014/main" id="{7A877978-E171-7452-89DC-A739876C637E}"/>
            </a:ext>
          </a:extLst>
        </cdr:cNvPr>
        <cdr:cNvCxnSpPr/>
      </cdr:nvCxnSpPr>
      <cdr:spPr>
        <a:xfrm xmlns:a="http://schemas.openxmlformats.org/drawingml/2006/main" flipH="1" flipV="1">
          <a:off x="2920999" y="774700"/>
          <a:ext cx="19076" cy="1914549"/>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27</xdr:col>
      <xdr:colOff>566737</xdr:colOff>
      <xdr:row>3</xdr:row>
      <xdr:rowOff>133351</xdr:rowOff>
    </xdr:from>
    <xdr:to>
      <xdr:col>35</xdr:col>
      <xdr:colOff>219075</xdr:colOff>
      <xdr:row>20</xdr:row>
      <xdr:rowOff>47625</xdr:rowOff>
    </xdr:to>
    <xdr:graphicFrame macro="">
      <xdr:nvGraphicFramePr>
        <xdr:cNvPr id="2" name="Chart 1">
          <a:extLst>
            <a:ext uri="{FF2B5EF4-FFF2-40B4-BE49-F238E27FC236}">
              <a16:creationId xmlns:a16="http://schemas.microsoft.com/office/drawing/2014/main" id="{9904571A-E353-4B98-A992-DB6479F5FB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604837</xdr:colOff>
      <xdr:row>21</xdr:row>
      <xdr:rowOff>0</xdr:rowOff>
    </xdr:from>
    <xdr:to>
      <xdr:col>35</xdr:col>
      <xdr:colOff>266700</xdr:colOff>
      <xdr:row>37</xdr:row>
      <xdr:rowOff>142875</xdr:rowOff>
    </xdr:to>
    <xdr:graphicFrame macro="">
      <xdr:nvGraphicFramePr>
        <xdr:cNvPr id="4" name="Chart 3">
          <a:extLst>
            <a:ext uri="{FF2B5EF4-FFF2-40B4-BE49-F238E27FC236}">
              <a16:creationId xmlns:a16="http://schemas.microsoft.com/office/drawing/2014/main" id="{49BE7CAD-F217-4EBB-9244-351B13AF8C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309562</xdr:colOff>
      <xdr:row>28</xdr:row>
      <xdr:rowOff>33337</xdr:rowOff>
    </xdr:from>
    <xdr:to>
      <xdr:col>40</xdr:col>
      <xdr:colOff>157162</xdr:colOff>
      <xdr:row>41</xdr:row>
      <xdr:rowOff>90487</xdr:rowOff>
    </xdr:to>
    <xdr:graphicFrame macro="">
      <xdr:nvGraphicFramePr>
        <xdr:cNvPr id="6" name="Chart 5">
          <a:extLst>
            <a:ext uri="{FF2B5EF4-FFF2-40B4-BE49-F238E27FC236}">
              <a16:creationId xmlns:a16="http://schemas.microsoft.com/office/drawing/2014/main" id="{BA77D845-BE87-369B-954A-D3C5C51916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34</xdr:col>
      <xdr:colOff>774701</xdr:colOff>
      <xdr:row>30</xdr:row>
      <xdr:rowOff>25401</xdr:rowOff>
    </xdr:from>
    <xdr:to>
      <xdr:col>41</xdr:col>
      <xdr:colOff>508001</xdr:colOff>
      <xdr:row>50</xdr:row>
      <xdr:rowOff>165101</xdr:rowOff>
    </xdr:to>
    <xdr:graphicFrame macro="">
      <xdr:nvGraphicFramePr>
        <xdr:cNvPr id="18" name="Chart 1">
          <a:extLst>
            <a:ext uri="{FF2B5EF4-FFF2-40B4-BE49-F238E27FC236}">
              <a16:creationId xmlns:a16="http://schemas.microsoft.com/office/drawing/2014/main" id="{00000000-0008-0000-03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736600</xdr:colOff>
      <xdr:row>30</xdr:row>
      <xdr:rowOff>12700</xdr:rowOff>
    </xdr:from>
    <xdr:to>
      <xdr:col>28</xdr:col>
      <xdr:colOff>38100</xdr:colOff>
      <xdr:row>51</xdr:row>
      <xdr:rowOff>38100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298449</xdr:colOff>
      <xdr:row>30</xdr:row>
      <xdr:rowOff>50800</xdr:rowOff>
    </xdr:from>
    <xdr:to>
      <xdr:col>34</xdr:col>
      <xdr:colOff>495300</xdr:colOff>
      <xdr:row>51</xdr:row>
      <xdr:rowOff>76199</xdr:rowOff>
    </xdr:to>
    <xdr:graphicFrame macro="">
      <xdr:nvGraphicFramePr>
        <xdr:cNvPr id="3" name="Chart 1">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117476</xdr:colOff>
      <xdr:row>33</xdr:row>
      <xdr:rowOff>12700</xdr:rowOff>
    </xdr:from>
    <xdr:to>
      <xdr:col>33</xdr:col>
      <xdr:colOff>127000</xdr:colOff>
      <xdr:row>47</xdr:row>
      <xdr:rowOff>41276</xdr:rowOff>
    </xdr:to>
    <xdr:cxnSp macro="">
      <xdr:nvCxnSpPr>
        <xdr:cNvPr id="5" name="Straight Connector 4">
          <a:extLst>
            <a:ext uri="{FF2B5EF4-FFF2-40B4-BE49-F238E27FC236}">
              <a16:creationId xmlns:a16="http://schemas.microsoft.com/office/drawing/2014/main" id="{00000000-0008-0000-0300-000005000000}"/>
            </a:ext>
          </a:extLst>
        </xdr:cNvPr>
        <xdr:cNvCxnSpPr/>
      </xdr:nvCxnSpPr>
      <xdr:spPr>
        <a:xfrm flipV="1">
          <a:off x="33835976" y="7200900"/>
          <a:ext cx="9524" cy="2695576"/>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508000</xdr:colOff>
      <xdr:row>32</xdr:row>
      <xdr:rowOff>177800</xdr:rowOff>
    </xdr:from>
    <xdr:to>
      <xdr:col>26</xdr:col>
      <xdr:colOff>508000</xdr:colOff>
      <xdr:row>47</xdr:row>
      <xdr:rowOff>101600</xdr:rowOff>
    </xdr:to>
    <xdr:cxnSp macro="">
      <xdr:nvCxnSpPr>
        <xdr:cNvPr id="6" name="Straight Connector 5">
          <a:extLst>
            <a:ext uri="{FF2B5EF4-FFF2-40B4-BE49-F238E27FC236}">
              <a16:creationId xmlns:a16="http://schemas.microsoft.com/office/drawing/2014/main" id="{00000000-0008-0000-0300-000006000000}"/>
            </a:ext>
          </a:extLst>
        </xdr:cNvPr>
        <xdr:cNvCxnSpPr/>
      </xdr:nvCxnSpPr>
      <xdr:spPr>
        <a:xfrm flipV="1">
          <a:off x="28181300" y="7175500"/>
          <a:ext cx="0" cy="2781300"/>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139702</xdr:colOff>
      <xdr:row>33</xdr:row>
      <xdr:rowOff>152400</xdr:rowOff>
    </xdr:from>
    <xdr:to>
      <xdr:col>39</xdr:col>
      <xdr:colOff>165100</xdr:colOff>
      <xdr:row>47</xdr:row>
      <xdr:rowOff>133352</xdr:rowOff>
    </xdr:to>
    <xdr:cxnSp macro="">
      <xdr:nvCxnSpPr>
        <xdr:cNvPr id="7" name="Straight Connector 6">
          <a:extLst>
            <a:ext uri="{FF2B5EF4-FFF2-40B4-BE49-F238E27FC236}">
              <a16:creationId xmlns:a16="http://schemas.microsoft.com/office/drawing/2014/main" id="{00000000-0008-0000-0300-000007000000}"/>
            </a:ext>
          </a:extLst>
        </xdr:cNvPr>
        <xdr:cNvCxnSpPr/>
      </xdr:nvCxnSpPr>
      <xdr:spPr>
        <a:xfrm flipV="1">
          <a:off x="39039802" y="7340600"/>
          <a:ext cx="25398" cy="2647952"/>
        </a:xfrm>
        <a:prstGeom prst="line">
          <a:avLst/>
        </a:prstGeom>
        <a:ln w="254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171449</xdr:colOff>
      <xdr:row>11</xdr:row>
      <xdr:rowOff>38100</xdr:rowOff>
    </xdr:from>
    <xdr:to>
      <xdr:col>44</xdr:col>
      <xdr:colOff>869949</xdr:colOff>
      <xdr:row>27</xdr:row>
      <xdr:rowOff>101600</xdr:rowOff>
    </xdr:to>
    <xdr:graphicFrame macro="">
      <xdr:nvGraphicFramePr>
        <xdr:cNvPr id="4" name="Chart 3">
          <a:extLst>
            <a:ext uri="{FF2B5EF4-FFF2-40B4-BE49-F238E27FC236}">
              <a16:creationId xmlns:a16="http://schemas.microsoft.com/office/drawing/2014/main" id="{40F3A018-CA3F-DC2A-3E88-52048E32B8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45</xdr:col>
      <xdr:colOff>88900</xdr:colOff>
      <xdr:row>11</xdr:row>
      <xdr:rowOff>50800</xdr:rowOff>
    </xdr:from>
    <xdr:to>
      <xdr:col>48</xdr:col>
      <xdr:colOff>1117600</xdr:colOff>
      <xdr:row>27</xdr:row>
      <xdr:rowOff>114300</xdr:rowOff>
    </xdr:to>
    <xdr:graphicFrame macro="">
      <xdr:nvGraphicFramePr>
        <xdr:cNvPr id="8" name="Chart 7">
          <a:extLst>
            <a:ext uri="{FF2B5EF4-FFF2-40B4-BE49-F238E27FC236}">
              <a16:creationId xmlns:a16="http://schemas.microsoft.com/office/drawing/2014/main" id="{2470B98A-52A0-44F4-A998-1DF16DD60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49</xdr:col>
      <xdr:colOff>101600</xdr:colOff>
      <xdr:row>11</xdr:row>
      <xdr:rowOff>38100</xdr:rowOff>
    </xdr:from>
    <xdr:to>
      <xdr:col>54</xdr:col>
      <xdr:colOff>533400</xdr:colOff>
      <xdr:row>27</xdr:row>
      <xdr:rowOff>101600</xdr:rowOff>
    </xdr:to>
    <xdr:graphicFrame macro="">
      <xdr:nvGraphicFramePr>
        <xdr:cNvPr id="9" name="Chart 8">
          <a:extLst>
            <a:ext uri="{FF2B5EF4-FFF2-40B4-BE49-F238E27FC236}">
              <a16:creationId xmlns:a16="http://schemas.microsoft.com/office/drawing/2014/main" id="{84062FE8-1FF6-4B73-A5B0-4DA070C604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736600</xdr:colOff>
      <xdr:row>64</xdr:row>
      <xdr:rowOff>25400</xdr:rowOff>
    </xdr:from>
    <xdr:to>
      <xdr:col>14</xdr:col>
      <xdr:colOff>660399</xdr:colOff>
      <xdr:row>84</xdr:row>
      <xdr:rowOff>177800</xdr:rowOff>
    </xdr:to>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781048</xdr:colOff>
      <xdr:row>86</xdr:row>
      <xdr:rowOff>6348</xdr:rowOff>
    </xdr:from>
    <xdr:to>
      <xdr:col>14</xdr:col>
      <xdr:colOff>711199</xdr:colOff>
      <xdr:row>112</xdr:row>
      <xdr:rowOff>88899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0.69388</cdr:x>
      <cdr:y>0.12298</cdr:y>
    </cdr:from>
    <cdr:to>
      <cdr:x>0.69841</cdr:x>
      <cdr:y>0.86408</cdr:y>
    </cdr:to>
    <cdr:cxnSp macro="">
      <cdr:nvCxnSpPr>
        <cdr:cNvPr id="3" name="Straight Connector 2">
          <a:extLst xmlns:a="http://schemas.openxmlformats.org/drawingml/2006/main">
            <a:ext uri="{FF2B5EF4-FFF2-40B4-BE49-F238E27FC236}">
              <a16:creationId xmlns:a16="http://schemas.microsoft.com/office/drawing/2014/main" id="{8A41DD4D-BB2B-5439-4CFB-31AD79CC6325}"/>
            </a:ext>
          </a:extLst>
        </cdr:cNvPr>
        <cdr:cNvCxnSpPr/>
      </cdr:nvCxnSpPr>
      <cdr:spPr>
        <a:xfrm xmlns:a="http://schemas.openxmlformats.org/drawingml/2006/main">
          <a:off x="3886199" y="482600"/>
          <a:ext cx="25400" cy="290830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0.59255</cdr:x>
      <cdr:y>0.12989</cdr:y>
    </cdr:from>
    <cdr:to>
      <cdr:x>0.59255</cdr:x>
      <cdr:y>0.84615</cdr:y>
    </cdr:to>
    <cdr:cxnSp macro="">
      <cdr:nvCxnSpPr>
        <cdr:cNvPr id="3" name="Straight Connector 2">
          <a:extLst xmlns:a="http://schemas.openxmlformats.org/drawingml/2006/main">
            <a:ext uri="{FF2B5EF4-FFF2-40B4-BE49-F238E27FC236}">
              <a16:creationId xmlns:a16="http://schemas.microsoft.com/office/drawing/2014/main" id="{6A33A741-4EF2-4153-8A5D-FC97647AA38A}"/>
            </a:ext>
          </a:extLst>
        </cdr:cNvPr>
        <cdr:cNvCxnSpPr/>
      </cdr:nvCxnSpPr>
      <cdr:spPr>
        <a:xfrm xmlns:a="http://schemas.openxmlformats.org/drawingml/2006/main">
          <a:off x="3435352" y="654052"/>
          <a:ext cx="0" cy="3606800"/>
        </a:xfrm>
        <a:prstGeom xmlns:a="http://schemas.openxmlformats.org/drawingml/2006/main" prst="line">
          <a:avLst/>
        </a:prstGeom>
        <a:ln xmlns:a="http://schemas.openxmlformats.org/drawingml/2006/main" w="19050">
          <a:solidFill>
            <a:srgbClr val="FF0000"/>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16</xdr:col>
      <xdr:colOff>142875</xdr:colOff>
      <xdr:row>29</xdr:row>
      <xdr:rowOff>47624</xdr:rowOff>
    </xdr:from>
    <xdr:to>
      <xdr:col>23</xdr:col>
      <xdr:colOff>461962</xdr:colOff>
      <xdr:row>45</xdr:row>
      <xdr:rowOff>190499</xdr:rowOff>
    </xdr:to>
    <xdr:graphicFrame macro="">
      <xdr:nvGraphicFramePr>
        <xdr:cNvPr id="2" name="Chart 1">
          <a:extLst>
            <a:ext uri="{FF2B5EF4-FFF2-40B4-BE49-F238E27FC236}">
              <a16:creationId xmlns:a16="http://schemas.microsoft.com/office/drawing/2014/main" id="{8F2FADC9-83C1-479A-A643-E46331D055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114299</xdr:colOff>
      <xdr:row>18</xdr:row>
      <xdr:rowOff>50800</xdr:rowOff>
    </xdr:from>
    <xdr:to>
      <xdr:col>6</xdr:col>
      <xdr:colOff>520700</xdr:colOff>
      <xdr:row>35</xdr:row>
      <xdr:rowOff>127000</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146051</xdr:colOff>
      <xdr:row>0</xdr:row>
      <xdr:rowOff>41275</xdr:rowOff>
    </xdr:from>
    <xdr:to>
      <xdr:col>6</xdr:col>
      <xdr:colOff>533400</xdr:colOff>
      <xdr:row>17</xdr:row>
      <xdr:rowOff>117475</xdr:rowOff>
    </xdr:to>
    <xdr:graphicFrame macro="">
      <xdr:nvGraphicFramePr>
        <xdr:cNvPr id="3" name="Chart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50801</xdr:colOff>
      <xdr:row>0</xdr:row>
      <xdr:rowOff>60325</xdr:rowOff>
    </xdr:from>
    <xdr:to>
      <xdr:col>13</xdr:col>
      <xdr:colOff>558801</xdr:colOff>
      <xdr:row>17</xdr:row>
      <xdr:rowOff>136525</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88901</xdr:colOff>
      <xdr:row>18</xdr:row>
      <xdr:rowOff>38100</xdr:rowOff>
    </xdr:from>
    <xdr:to>
      <xdr:col>13</xdr:col>
      <xdr:colOff>520701</xdr:colOff>
      <xdr:row>35</xdr:row>
      <xdr:rowOff>114300</xdr:rowOff>
    </xdr:to>
    <xdr:graphicFrame macro="">
      <xdr:nvGraphicFramePr>
        <xdr:cNvPr id="6" name="Chart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76201</xdr:colOff>
      <xdr:row>18</xdr:row>
      <xdr:rowOff>38100</xdr:rowOff>
    </xdr:from>
    <xdr:to>
      <xdr:col>20</xdr:col>
      <xdr:colOff>546101</xdr:colOff>
      <xdr:row>35</xdr:row>
      <xdr:rowOff>114300</xdr:rowOff>
    </xdr:to>
    <xdr:graphicFrame macro="">
      <xdr:nvGraphicFramePr>
        <xdr:cNvPr id="8" name="Chart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76201</xdr:colOff>
      <xdr:row>36</xdr:row>
      <xdr:rowOff>50800</xdr:rowOff>
    </xdr:from>
    <xdr:to>
      <xdr:col>20</xdr:col>
      <xdr:colOff>533401</xdr:colOff>
      <xdr:row>53</xdr:row>
      <xdr:rowOff>127000</xdr:rowOff>
    </xdr:to>
    <xdr:graphicFrame macro="">
      <xdr:nvGraphicFramePr>
        <xdr:cNvPr id="11" name="Chart 10">
          <a:extLst>
            <a:ext uri="{FF2B5EF4-FFF2-40B4-BE49-F238E27FC236}">
              <a16:creationId xmlns:a16="http://schemas.microsoft.com/office/drawing/2014/main" id="{00000000-0008-0000-0B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114301</xdr:colOff>
      <xdr:row>36</xdr:row>
      <xdr:rowOff>63500</xdr:rowOff>
    </xdr:from>
    <xdr:to>
      <xdr:col>27</xdr:col>
      <xdr:colOff>558801</xdr:colOff>
      <xdr:row>53</xdr:row>
      <xdr:rowOff>139700</xdr:rowOff>
    </xdr:to>
    <xdr:graphicFrame macro="">
      <xdr:nvGraphicFramePr>
        <xdr:cNvPr id="12" name="Chart 11">
          <a:extLst>
            <a:ext uri="{FF2B5EF4-FFF2-40B4-BE49-F238E27FC236}">
              <a16:creationId xmlns:a16="http://schemas.microsoft.com/office/drawing/2014/main" id="{00000000-0008-0000-0B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114301</xdr:colOff>
      <xdr:row>54</xdr:row>
      <xdr:rowOff>50800</xdr:rowOff>
    </xdr:from>
    <xdr:to>
      <xdr:col>13</xdr:col>
      <xdr:colOff>546101</xdr:colOff>
      <xdr:row>71</xdr:row>
      <xdr:rowOff>127000</xdr:rowOff>
    </xdr:to>
    <xdr:graphicFrame macro="">
      <xdr:nvGraphicFramePr>
        <xdr:cNvPr id="19" name="Chart 18">
          <a:extLst>
            <a:ext uri="{FF2B5EF4-FFF2-40B4-BE49-F238E27FC236}">
              <a16:creationId xmlns:a16="http://schemas.microsoft.com/office/drawing/2014/main" id="{00000000-0008-0000-0B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114301</xdr:colOff>
      <xdr:row>54</xdr:row>
      <xdr:rowOff>127000</xdr:rowOff>
    </xdr:from>
    <xdr:to>
      <xdr:col>20</xdr:col>
      <xdr:colOff>558801</xdr:colOff>
      <xdr:row>72</xdr:row>
      <xdr:rowOff>12700</xdr:rowOff>
    </xdr:to>
    <xdr:graphicFrame macro="">
      <xdr:nvGraphicFramePr>
        <xdr:cNvPr id="22" name="Chart 21">
          <a:extLst>
            <a:ext uri="{FF2B5EF4-FFF2-40B4-BE49-F238E27FC236}">
              <a16:creationId xmlns:a16="http://schemas.microsoft.com/office/drawing/2014/main" id="{00000000-0008-0000-0B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88901</xdr:colOff>
      <xdr:row>36</xdr:row>
      <xdr:rowOff>63500</xdr:rowOff>
    </xdr:from>
    <xdr:to>
      <xdr:col>13</xdr:col>
      <xdr:colOff>533401</xdr:colOff>
      <xdr:row>53</xdr:row>
      <xdr:rowOff>139700</xdr:rowOff>
    </xdr:to>
    <xdr:graphicFrame macro="">
      <xdr:nvGraphicFramePr>
        <xdr:cNvPr id="23" name="Chart 22">
          <a:extLst>
            <a:ext uri="{FF2B5EF4-FFF2-40B4-BE49-F238E27FC236}">
              <a16:creationId xmlns:a16="http://schemas.microsoft.com/office/drawing/2014/main" id="{00000000-0008-0000-0B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38101</xdr:colOff>
      <xdr:row>36</xdr:row>
      <xdr:rowOff>88900</xdr:rowOff>
    </xdr:from>
    <xdr:to>
      <xdr:col>6</xdr:col>
      <xdr:colOff>520701</xdr:colOff>
      <xdr:row>53</xdr:row>
      <xdr:rowOff>165100</xdr:rowOff>
    </xdr:to>
    <xdr:graphicFrame macro="">
      <xdr:nvGraphicFramePr>
        <xdr:cNvPr id="24" name="Chart 23">
          <a:extLst>
            <a:ext uri="{FF2B5EF4-FFF2-40B4-BE49-F238E27FC236}">
              <a16:creationId xmlns:a16="http://schemas.microsoft.com/office/drawing/2014/main" id="{00000000-0008-0000-0B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228601</xdr:colOff>
      <xdr:row>72</xdr:row>
      <xdr:rowOff>76200</xdr:rowOff>
    </xdr:from>
    <xdr:to>
      <xdr:col>6</xdr:col>
      <xdr:colOff>546101</xdr:colOff>
      <xdr:row>89</xdr:row>
      <xdr:rowOff>152400</xdr:rowOff>
    </xdr:to>
    <xdr:graphicFrame macro="">
      <xdr:nvGraphicFramePr>
        <xdr:cNvPr id="14" name="Chart 13">
          <a:extLst>
            <a:ext uri="{FF2B5EF4-FFF2-40B4-BE49-F238E27FC236}">
              <a16:creationId xmlns:a16="http://schemas.microsoft.com/office/drawing/2014/main" id="{5C1B4A04-A73B-4587-9506-7D4D4B2ED9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76201</xdr:colOff>
      <xdr:row>73</xdr:row>
      <xdr:rowOff>50800</xdr:rowOff>
    </xdr:from>
    <xdr:to>
      <xdr:col>13</xdr:col>
      <xdr:colOff>495301</xdr:colOff>
      <xdr:row>90</xdr:row>
      <xdr:rowOff>127000</xdr:rowOff>
    </xdr:to>
    <xdr:graphicFrame macro="">
      <xdr:nvGraphicFramePr>
        <xdr:cNvPr id="15" name="Chart 14">
          <a:extLst>
            <a:ext uri="{FF2B5EF4-FFF2-40B4-BE49-F238E27FC236}">
              <a16:creationId xmlns:a16="http://schemas.microsoft.com/office/drawing/2014/main" id="{95A45919-0E78-4C55-9F15-CCEFA4FF5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127001</xdr:colOff>
      <xdr:row>73</xdr:row>
      <xdr:rowOff>76200</xdr:rowOff>
    </xdr:from>
    <xdr:to>
      <xdr:col>20</xdr:col>
      <xdr:colOff>533401</xdr:colOff>
      <xdr:row>90</xdr:row>
      <xdr:rowOff>152400</xdr:rowOff>
    </xdr:to>
    <xdr:graphicFrame macro="">
      <xdr:nvGraphicFramePr>
        <xdr:cNvPr id="16" name="Chart 15">
          <a:extLst>
            <a:ext uri="{FF2B5EF4-FFF2-40B4-BE49-F238E27FC236}">
              <a16:creationId xmlns:a16="http://schemas.microsoft.com/office/drawing/2014/main" id="{CFC71D02-791C-4E4F-A20F-F981E2BCE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152401</xdr:colOff>
      <xdr:row>91</xdr:row>
      <xdr:rowOff>63500</xdr:rowOff>
    </xdr:from>
    <xdr:to>
      <xdr:col>6</xdr:col>
      <xdr:colOff>495301</xdr:colOff>
      <xdr:row>108</xdr:row>
      <xdr:rowOff>139700</xdr:rowOff>
    </xdr:to>
    <xdr:graphicFrame macro="">
      <xdr:nvGraphicFramePr>
        <xdr:cNvPr id="17" name="Chart 16">
          <a:extLst>
            <a:ext uri="{FF2B5EF4-FFF2-40B4-BE49-F238E27FC236}">
              <a16:creationId xmlns:a16="http://schemas.microsoft.com/office/drawing/2014/main" id="{9E6EB5B2-3AB5-4DD5-B620-18312DB61B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127001</xdr:colOff>
      <xdr:row>54</xdr:row>
      <xdr:rowOff>76200</xdr:rowOff>
    </xdr:from>
    <xdr:to>
      <xdr:col>6</xdr:col>
      <xdr:colOff>495301</xdr:colOff>
      <xdr:row>71</xdr:row>
      <xdr:rowOff>152400</xdr:rowOff>
    </xdr:to>
    <xdr:graphicFrame macro="">
      <xdr:nvGraphicFramePr>
        <xdr:cNvPr id="18" name="Chart 17">
          <a:extLst>
            <a:ext uri="{FF2B5EF4-FFF2-40B4-BE49-F238E27FC236}">
              <a16:creationId xmlns:a16="http://schemas.microsoft.com/office/drawing/2014/main" id="{D1EC7446-13C0-4EEC-8F89-EA602DFE7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Clean%20Fuels\2024%20Forecast\Supporting%20Documents\ODOT%20inputs%20for%202024%20Clean%20Fuels%20Forecast.xlsx" TargetMode="External"/><Relationship Id="rId1" Type="http://schemas.openxmlformats.org/officeDocument/2006/relationships/externalLinkPath" Target="https://www.oregon.gov/das/oea/Documents/Supporting%20Documents/ODOT%20inputs%20for%202024%20Clean%20Fuels%20Foreca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arterly Work"/>
      <sheetName val="Chart1"/>
      <sheetName val="History-most recent forecast"/>
      <sheetName val="VMT forecast to HCAS April 2021"/>
      <sheetName val="HUS Annual Weight Mile Data"/>
    </sheetNames>
    <sheetDataSet>
      <sheetData sheetId="0">
        <row r="3">
          <cell r="C3">
            <v>377.71303699999999</v>
          </cell>
          <cell r="M3">
            <v>75.136949124349883</v>
          </cell>
        </row>
        <row r="4">
          <cell r="C4">
            <v>414.06206400000002</v>
          </cell>
          <cell r="M4">
            <v>83.349702733118491</v>
          </cell>
        </row>
        <row r="5">
          <cell r="C5">
            <v>438.279222</v>
          </cell>
          <cell r="M5">
            <v>93.605404221027598</v>
          </cell>
        </row>
        <row r="6">
          <cell r="C6">
            <v>387.54258099999998</v>
          </cell>
          <cell r="M6">
            <v>89.824906863657915</v>
          </cell>
        </row>
        <row r="27">
          <cell r="C27">
            <v>347.74058243128667</v>
          </cell>
          <cell r="M27">
            <v>87.204914379710814</v>
          </cell>
        </row>
        <row r="28">
          <cell r="C28">
            <v>390.29030821052623</v>
          </cell>
          <cell r="M28">
            <v>98.869489945322627</v>
          </cell>
        </row>
        <row r="29">
          <cell r="C29">
            <v>404.43705794736849</v>
          </cell>
          <cell r="M29">
            <v>98.77578029758007</v>
          </cell>
        </row>
        <row r="30">
          <cell r="C30">
            <v>363.23328876315799</v>
          </cell>
          <cell r="M30">
            <v>96.075160961996289</v>
          </cell>
        </row>
        <row r="32">
          <cell r="J32">
            <v>-3.2179171896583814E-2</v>
          </cell>
          <cell r="Q32">
            <v>-1.2340903594175612E-2</v>
          </cell>
        </row>
        <row r="33">
          <cell r="J33">
            <v>-4.0114448444648065E-3</v>
          </cell>
          <cell r="Q33">
            <v>-6.9225767369487379E-3</v>
          </cell>
        </row>
        <row r="34">
          <cell r="J34">
            <v>6.6812402547857808E-3</v>
          </cell>
          <cell r="Q34">
            <v>1.4161385426515238E-2</v>
          </cell>
        </row>
        <row r="35">
          <cell r="J35">
            <v>8.4130250043039645E-3</v>
          </cell>
          <cell r="Q35">
            <v>-1.6317984094956772E-3</v>
          </cell>
        </row>
        <row r="36">
          <cell r="J36">
            <v>2.660128900847436E-3</v>
          </cell>
          <cell r="Q36">
            <v>-2.3441596637402418E-3</v>
          </cell>
        </row>
        <row r="37">
          <cell r="J37">
            <v>-3.5532911814484258E-4</v>
          </cell>
          <cell r="Q37">
            <v>-2.9912197622223857E-3</v>
          </cell>
        </row>
        <row r="38">
          <cell r="J38">
            <v>-2.9523869432636074E-3</v>
          </cell>
          <cell r="Q38">
            <v>-3.4472007141724825E-3</v>
          </cell>
        </row>
        <row r="39">
          <cell r="J39">
            <v>-5.282522902000486E-3</v>
          </cell>
          <cell r="Q39">
            <v>1.9870094239468727E-2</v>
          </cell>
        </row>
        <row r="40">
          <cell r="J40">
            <v>-6.1345745146831332E-3</v>
          </cell>
          <cell r="Q40">
            <v>1.0523262735613326E-2</v>
          </cell>
        </row>
        <row r="41">
          <cell r="J41">
            <v>-6.1112480397617075E-3</v>
          </cell>
          <cell r="Q41">
            <v>1.1407835721526816E-2</v>
          </cell>
        </row>
        <row r="42">
          <cell r="J42">
            <v>-6.071014745356651E-3</v>
          </cell>
          <cell r="Q42">
            <v>1.1060241192525133E-2</v>
          </cell>
        </row>
        <row r="50">
          <cell r="C50">
            <v>1.8666000423515072E-3</v>
          </cell>
          <cell r="P50">
            <v>2.3188056217289255E-3</v>
          </cell>
        </row>
        <row r="51">
          <cell r="C51">
            <v>-1.1531428822663781E-2</v>
          </cell>
          <cell r="P51">
            <v>-8.3545457187869099E-3</v>
          </cell>
        </row>
        <row r="52">
          <cell r="C52">
            <v>-0.12787605793120127</v>
          </cell>
          <cell r="P52">
            <v>9.5337275067201688E-2</v>
          </cell>
        </row>
        <row r="53">
          <cell r="C53">
            <v>8.4952476556695133E-2</v>
          </cell>
          <cell r="P53">
            <v>8.6083228648751176E-2</v>
          </cell>
        </row>
        <row r="54">
          <cell r="C54">
            <v>-2.2279331424463367E-2</v>
          </cell>
          <cell r="P54">
            <v>-2.4837967227580804E-2</v>
          </cell>
        </row>
        <row r="55">
          <cell r="C55">
            <v>-1.6698048489139916E-2</v>
          </cell>
          <cell r="P55">
            <v>-2.2197530602122706E-3</v>
          </cell>
        </row>
        <row r="56">
          <cell r="C56">
            <v>1.7527380383466351E-3</v>
          </cell>
          <cell r="P56">
            <v>-2.6333209702741334E-3</v>
          </cell>
        </row>
      </sheetData>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122.311852314815" backgroundQuery="1" createdVersion="8" refreshedVersion="8" minRefreshableVersion="3" recordCount="403" xr:uid="{A7D25BEF-25C7-41FB-90CB-89C96B04193D}">
  <cacheSource type="external" connectionId="7"/>
  <cacheFields count="8">
    <cacheField name="period" numFmtId="0">
      <sharedItems containsSemiMixedTypes="0" containsNonDate="0" containsDate="1" containsString="0" minDate="2018-01-01T00:00:00" maxDate="2023-01-02T00:00:00" count="6">
        <d v="2018-01-01T00:00:00"/>
        <d v="2019-01-01T00:00:00"/>
        <d v="2020-01-01T00:00:00"/>
        <d v="2021-01-01T00:00:00"/>
        <d v="2022-01-01T00:00:00"/>
        <d v="2023-01-01T00:00:00"/>
      </sharedItems>
    </cacheField>
    <cacheField name="cfp_id" numFmtId="0">
      <sharedItems containsMixedTypes="1" containsNumber="1" containsInteger="1" minValue="1000" maxValue="7765" count="186">
        <s v="3360"/>
        <s v="3367"/>
        <s v="3368"/>
        <s v="3383"/>
        <s v="3697"/>
        <s v="3702"/>
        <s v="3758"/>
        <s v="3805"/>
        <s v="3919"/>
        <s v="3994"/>
        <s v="4015"/>
        <s v="4054"/>
        <s v="4061"/>
        <s v="4063"/>
        <s v="4094"/>
        <s v="4137"/>
        <s v="4285"/>
        <s v="4305"/>
        <s v="4552"/>
        <s v="4664"/>
        <s v="4727"/>
        <s v="4728"/>
        <s v="4735"/>
        <s v="4736"/>
        <s v="4740"/>
        <s v="4754"/>
        <s v="4755"/>
        <s v="4764"/>
        <s v="4766"/>
        <s v="4769"/>
        <s v="4783"/>
        <s v="4789"/>
        <s v="4791"/>
        <s v="4792"/>
        <s v="4793"/>
        <s v="4803"/>
        <s v="4804"/>
        <s v="4810"/>
        <s v="4827"/>
        <s v="4831"/>
        <s v="4846"/>
        <s v="4887"/>
        <s v="4888"/>
        <s v="5026"/>
        <s v="5046"/>
        <s v="5049"/>
        <s v="5073"/>
        <s v="5078"/>
        <s v="5095"/>
        <s v="5214"/>
        <s v="5715"/>
        <s v="5934"/>
        <s v="5953"/>
        <s v="5981"/>
        <s v="6094"/>
        <s v="6129"/>
        <s v="6130"/>
        <s v="6137"/>
        <s v="6169"/>
        <s v="6268"/>
        <s v="6320"/>
        <s v="6322"/>
        <s v="6326"/>
        <s v="6412"/>
        <s v="7765"/>
        <s v="3514"/>
        <s v="4060"/>
        <s v="4320"/>
        <s v="4805"/>
        <s v="5769"/>
        <s v="6274"/>
        <s v="6497"/>
        <s v="3683"/>
        <s v="5504"/>
        <s v="6459"/>
        <s v="C9999"/>
        <s v="H9999"/>
        <s v="1000"/>
        <s v="1001"/>
        <s v="1166"/>
        <s v="3652"/>
        <s v="4528"/>
        <s v="6523"/>
        <s v="1773"/>
        <s v="3723"/>
        <s v="3862"/>
        <s v="4786"/>
        <s v="5998"/>
        <s v="6222"/>
        <s v="E9999"/>
        <s v="1440"/>
        <s v="1876"/>
        <s v="4814"/>
        <s v="6072"/>
        <s v="9871"/>
        <s v="C100"/>
        <s v="C1000"/>
        <s v="C1001"/>
        <s v="C1004"/>
        <n v="1166" u="1"/>
        <n v="4305" u="1"/>
        <n v="4831" u="1"/>
        <n v="4764" u="1"/>
        <n v="5934" u="1"/>
        <n v="4528" u="1"/>
        <n v="4783" u="1"/>
        <n v="5953" u="1"/>
        <n v="6326" u="1"/>
        <n v="6412" u="1"/>
        <n v="3652" u="1"/>
        <n v="5073" u="1"/>
        <n v="3805" u="1"/>
        <n v="4735" u="1"/>
        <n v="4786" u="1"/>
        <n v="4888" u="1"/>
        <n v="4060" u="1"/>
        <n v="4754" u="1"/>
        <n v="4805" u="1"/>
        <n v="4789" u="1"/>
        <n v="5095" u="1"/>
        <n v="4792" u="1"/>
        <n v="4063" u="1"/>
        <n v="6268" u="1"/>
        <n v="4827" u="1"/>
        <n v="3368" u="1"/>
        <n v="4285" u="1"/>
        <n v="6523" u="1"/>
        <n v="3360" u="1"/>
        <n v="5981" u="1"/>
        <n v="4320" u="1"/>
        <n v="4846" u="1"/>
        <n v="6169" u="1"/>
        <n v="4728" u="1"/>
        <n v="6322" u="1"/>
        <n v="6459" u="1"/>
        <n v="6137" u="1"/>
        <n v="3862" u="1"/>
        <n v="4015" u="1"/>
        <n v="6274" u="1"/>
        <n v="1000" u="1"/>
        <n v="4664" u="1"/>
        <n v="4766" u="1"/>
        <n v="1773" u="1"/>
        <n v="6497" u="1"/>
        <n v="4887" u="1"/>
        <n v="4769" u="1"/>
        <n v="4804" u="1"/>
        <n v="4061" u="1"/>
        <n v="4552" u="1"/>
        <n v="5078" u="1"/>
        <n v="3994" u="1"/>
        <n v="6130" u="1"/>
        <n v="4740" u="1"/>
        <n v="4791" u="1"/>
        <n v="3723" u="1"/>
        <n v="5046" u="1"/>
        <n v="4810" u="1"/>
        <n v="3919" u="1"/>
        <n v="3758" u="1"/>
        <n v="5049" u="1"/>
        <n v="4727" u="1"/>
        <n v="3683" u="1"/>
        <n v="3514" u="1"/>
        <n v="6222" u="1"/>
        <n v="7765" u="1"/>
        <n v="4137" u="1"/>
        <n v="5715" u="1"/>
        <n v="3702" u="1"/>
        <n v="5769" u="1"/>
        <n v="4803" u="1"/>
        <n v="4736" u="1"/>
        <n v="4094" u="1"/>
        <n v="6094" u="1"/>
        <n v="5026" u="1"/>
        <n v="4755" u="1"/>
        <n v="3383" u="1"/>
        <n v="6129" u="1"/>
        <n v="3697" u="1"/>
        <n v="5214" u="1"/>
        <n v="1001" u="1"/>
        <n v="3367" u="1"/>
        <n v="4054" u="1"/>
        <n v="5504" u="1"/>
        <n v="4793" u="1"/>
        <n v="6320" u="1"/>
        <n v="5998" u="1"/>
      </sharedItems>
    </cacheField>
    <cacheField name="company_name" numFmtId="0">
      <sharedItems/>
    </cacheField>
    <cacheField name="city" numFmtId="0">
      <sharedItems containsBlank="1" count="124">
        <s v="Ord"/>
        <s v="Seattle"/>
        <s v="Central City"/>
        <s v="Janesville"/>
        <s v="Boardman"/>
        <s v="Burley"/>
        <s v="Stockton"/>
        <s v="Quata"/>
        <s v="Hamilton"/>
        <s v="Costa Pinto"/>
        <s v="Delta"/>
        <s v="Sinclair"/>
        <s v="Heron Lake"/>
        <s v="Garden City"/>
        <s v="Redfield"/>
        <s v="Atwater"/>
        <s v="Aberdeen"/>
        <s v="Huron"/>
        <s v="Singapore"/>
        <s v="Deerfield"/>
        <s v="Albert Lea"/>
        <s v="Sgt. Bluff"/>
        <s v="St. Joseph"/>
        <s v="Batesville"/>
        <s v="Chancellor"/>
        <s v="Marcus"/>
        <s v="Yuma"/>
        <s v="Big Stone City"/>
        <s v="Oakley"/>
        <s v="Trenton"/>
        <s v="Lakota"/>
        <s v="Mina"/>
        <s v="Watertown"/>
        <s v="Sterling"/>
        <s v="Granite Falls"/>
        <s v="Coon Rapids"/>
        <s v="Mitchell"/>
        <s v="Hudson"/>
        <s v="Emmetsburg"/>
        <s v="Groton"/>
        <s v="Richardton"/>
        <s v="Benson"/>
        <s v="Wentworth"/>
        <s v="Winthrop"/>
        <s v="Adams"/>
        <s v="Guymon"/>
        <s v="Mexico"/>
        <s v="Columbus"/>
        <s v="Velva"/>
        <s v="Jackson"/>
        <s v="Corning"/>
        <s v="St. Ansgar"/>
        <s v="Shenandoah"/>
        <s v="Plainview"/>
        <s v="Madrid"/>
        <s v="Sutherland"/>
        <s v="Liberal"/>
        <s v="Bridgeport"/>
        <s v="Shiheung-City"/>
        <s v="Foam Lake"/>
        <s v="Ulju-gun"/>
        <s v="Salem"/>
        <s v="Mason City"/>
        <s v="Lloydminster"/>
        <s v="Hankinson"/>
        <s v="Geismar"/>
        <s v="Louisville"/>
        <s v="Waynesburg"/>
        <s v="Beatrice"/>
        <s v="Hoquiam"/>
        <s v="St Joseph"/>
        <s v="El Paso"/>
        <s v="Newton"/>
        <s v="Quatá"/>
        <s v="Piracicaba"/>
        <s v="Sioux City"/>
        <s v="Blaine"/>
        <s v="Groton_x000a_"/>
        <s v="Ravenna"/>
        <s v="Kansas City"/>
        <s v="PYEONGTAEK-SI"/>
        <s v="Ulsan"/>
        <s v="Onida"/>
        <s v="Athens"/>
        <s v="Iowa Falls"/>
        <s v="Euless"/>
        <s v="Springfield"/>
        <s v="SAINT-THOMAS"/>
        <s v="Avondale"/>
        <s v="Sacramento"/>
        <s v="Sacremento"/>
        <s v="Dickinson"/>
        <s v="Seneca"/>
        <s v="Rodeo"/>
        <s v="CAMPBELLSPORT"/>
        <s v="OUTLOOK"/>
        <s v="Kersey"/>
        <s v="Lethbridge"/>
        <s v="DANVILLE"/>
        <s v="Sandusky"/>
        <m/>
        <s v="Jewell"/>
        <s v="HILBERT"/>
        <s v="CLEBURNE"/>
        <s v="CROSSETT"/>
        <s v="NEW ALBANY"/>
        <s v="SENECA FALLS"/>
        <s v="IMPERIAL"/>
        <s v="Aumsville"/>
        <s v="Lynden"/>
        <s v="Point Reyes"/>
        <s v="Filer"/>
        <s v="Milford"/>
        <s v="GREAT FALLS"/>
        <s v="Minden"/>
        <s v="Bakersfield"/>
        <s v="KEWAUNEE"/>
        <s v="Brillion"/>
        <s v="STURGEON BAY"/>
        <s v="Port Arthur"/>
        <s v="Norco"/>
        <s v="Coachella"/>
        <s v="Enumclaw"/>
        <s v="Mount Vernon"/>
      </sharedItems>
    </cacheField>
    <cacheField name="state" numFmtId="0">
      <sharedItems containsBlank="1" count="43">
        <s v="NE"/>
        <s v="WA"/>
        <s v="MN"/>
        <s v="OR"/>
        <s v="ID"/>
        <s v="CA"/>
        <s v="Brazil"/>
        <s v="Canada"/>
        <s v="WY"/>
        <s v="KS"/>
        <s v="SD"/>
        <s v="Singapore"/>
        <s v="MO"/>
        <s v="IA"/>
        <s v="AR"/>
        <s v="CO"/>
        <s v="ND"/>
        <s v="OK"/>
        <s v="Korea"/>
        <s v="LA"/>
        <s v="KY"/>
        <s v="OH"/>
        <s v="TX"/>
        <s v="TN"/>
        <s v="IL"/>
        <s v="WI"/>
        <s v="PA"/>
        <s v="MI"/>
        <s v="MS"/>
        <s v="NY"/>
        <s v="UT"/>
        <s v="MT"/>
        <m u="1"/>
        <s v="QC" u="1"/>
        <s v="Quebec" u="1"/>
        <s v="Kyonggi-do" u="1"/>
        <s v="Saskatchewan" u="1"/>
        <s v="Alberta" u="1"/>
        <s v="Ulju-gun" u="1"/>
        <s v="SP" u="1"/>
        <s v="British Columbia" u="1"/>
        <s v="Ontario" u="1"/>
        <s v="GYEONGGI-DO" u="1"/>
      </sharedItems>
    </cacheField>
    <cacheField name="fuel_name" numFmtId="0">
      <sharedItems count="19">
        <s v="Ethanol"/>
        <s v="Biodiesel"/>
        <s v="Renewable Diesel"/>
        <s v="Natural Gas"/>
        <s v="Compressed Natural Gas"/>
        <s v="Liquefied Petroleum Gas_x000a_"/>
        <s v="Hydrogen"/>
        <s v="Renewable Propane"/>
        <s v="Electricity"/>
        <s v="Renewable Naphtha"/>
        <s v="Liquefied Natural Gas"/>
        <s v="Diesel_Renew" u="1"/>
        <s v="Electricity_x000a_" u="1"/>
        <s v="Ethanol_x000a_" u="1"/>
        <s v="Biodiesel_x000a_" u="1"/>
        <s v="Compressed Natural Gas_x000a_" u="1"/>
        <s v="Renewable Diesel_x000a_" u="1"/>
        <s v="Hydrogen_x000a_" u="1"/>
        <s v="Renewable Propane_x000a_" u="1"/>
      </sharedItems>
    </cacheField>
    <cacheField name="CI" numFmtId="0">
      <sharedItems containsSemiMixedTypes="0" containsString="0" containsNumber="1" minValue="-698.21" maxValue="156.13" count="251">
        <n v="62.64"/>
        <n v="28.59"/>
        <n v="58.51"/>
        <n v="62.4"/>
        <n v="52.644999999999996"/>
        <n v="54"/>
        <n v="55.3"/>
        <n v="49.27"/>
        <n v="30.083333333333332"/>
        <n v="41.24"/>
        <n v="20.38"/>
        <n v="56.55"/>
        <n v="65.13"/>
        <n v="65.180000000000007"/>
        <n v="61.8"/>
        <n v="62.555000000000007"/>
        <n v="56.760000000000005"/>
        <n v="64.7"/>
        <n v="32.478750000000005"/>
        <n v="49.16"/>
        <n v="27.900000000000002"/>
        <n v="50"/>
        <n v="50.46"/>
        <n v="32.524999999999999"/>
        <n v="53.284999999999997"/>
        <n v="63.405000000000001"/>
        <n v="55.48"/>
        <n v="67.819999999999993"/>
        <n v="60.663333333333334"/>
        <n v="57.55"/>
        <n v="69.22"/>
        <n v="67.989999999999995"/>
        <n v="67.010000000000005"/>
        <n v="57.6"/>
        <n v="62.1"/>
        <n v="66.599999999999994"/>
        <n v="58.388333333333343"/>
        <n v="67.52"/>
        <n v="65.78"/>
        <n v="67.3"/>
        <n v="67.180000000000007"/>
        <n v="60.349999999999994"/>
        <n v="63.414999999999992"/>
        <n v="68.040000000000006"/>
        <n v="58.475000000000001"/>
        <n v="35.880000000000003"/>
        <n v="50.85"/>
        <n v="69.27"/>
        <n v="52.25"/>
        <n v="54.861666666666672"/>
        <n v="66.16"/>
        <n v="64.489999999999995"/>
        <n v="62.67"/>
        <n v="57.68"/>
        <n v="59.58"/>
        <n v="57.63"/>
        <n v="69.435000000000002"/>
        <n v="55.23"/>
        <n v="26.84"/>
        <n v="59.24"/>
        <n v="20"/>
        <n v="15.43"/>
        <n v="40.772500000000001"/>
        <n v="51.33"/>
        <n v="60.11"/>
        <n v="34.866666666666667"/>
        <n v="63.96"/>
        <n v="43.97"/>
        <n v="42.959999999999994"/>
        <n v="43.025999999999996"/>
        <n v="37.28"/>
        <n v="25.7"/>
        <n v="34.1"/>
        <n v="51.48"/>
        <n v="58.38"/>
        <n v="54.629999999999995"/>
        <n v="59.489999999999995"/>
        <n v="59.99666666666667"/>
        <n v="31.509999999999998"/>
        <n v="30.140000000000004"/>
        <n v="26.92"/>
        <n v="45.263333333333328"/>
        <n v="54.596000000000004"/>
        <n v="53"/>
        <n v="58.994999999999997"/>
        <n v="60.709999999999994"/>
        <n v="56.594999999999999"/>
        <n v="50.25"/>
        <n v="36.167500000000004"/>
        <n v="54.94"/>
        <n v="27.48"/>
        <n v="36.969000000000001"/>
        <n v="33.988"/>
        <n v="61.605000000000004"/>
        <n v="56.77"/>
        <n v="37.366666666666667"/>
        <n v="30.862499999999997"/>
        <n v="51.98"/>
        <n v="35.166666666666664"/>
        <n v="52.995000000000005"/>
        <n v="54.25"/>
        <n v="20.99"/>
        <n v="43.775000000000006"/>
        <n v="56.6"/>
        <n v="54.88"/>
        <n v="30.88666666666667"/>
        <n v="29.704999999999998"/>
        <n v="49.38"/>
        <n v="52.64"/>
        <n v="52.18"/>
        <n v="58.424999999999997"/>
        <n v="58.41"/>
        <n v="52.24"/>
        <n v="61.174999999999997"/>
        <n v="49.457499999999996"/>
        <n v="54.53"/>
        <n v="54.13"/>
        <n v="44.043333333333329"/>
        <n v="43.3"/>
        <n v="45.3"/>
        <n v="52.73"/>
        <n v="50.2"/>
        <n v="24.936666666666664"/>
        <n v="34.43333333333333"/>
        <n v="44.656666666666666"/>
        <n v="32.214285714285715"/>
        <n v="31.964285714285715"/>
        <n v="36.549999999999997"/>
        <n v="47.88"/>
        <n v="154.63999999999999"/>
        <n v="70.55"/>
        <n v="45"/>
        <n v="36.04"/>
        <n v="65"/>
        <n v="59.75"/>
        <n v="-150"/>
        <n v="34.952500000000001"/>
        <n v="58.164999999999999"/>
        <n v="70"/>
        <n v="43.815714285714286"/>
        <n v="55"/>
        <n v="32.571428571428569"/>
        <n v="53.643333333333338"/>
        <n v="36.383333333333333"/>
        <n v="16.13"/>
        <n v="42.885000000000005"/>
        <n v="34.76"/>
        <n v="31.013333333333335"/>
        <n v="54.82"/>
        <n v="55.25333333333333"/>
        <n v="52.81"/>
        <n v="53.57"/>
        <n v="35.185000000000002"/>
        <n v="49.46"/>
        <n v="53.18"/>
        <n v="58.866666666666667"/>
        <n v="59.95"/>
        <n v="49.543333333333329"/>
        <n v="46.4"/>
        <n v="48.166666666666664"/>
        <n v="48.45333333333334"/>
        <n v="49.236666666666657"/>
        <n v="55.8"/>
        <n v="45.97"/>
        <n v="53.97"/>
        <n v="46.41"/>
        <n v="43.293333333333329"/>
        <n v="47.083333333333336"/>
        <n v="39.520000000000003"/>
        <n v="47.199999999999996"/>
        <n v="45.48"/>
        <n v="30.58"/>
        <n v="28.97"/>
        <n v="30.77"/>
        <n v="46.51"/>
        <n v="45.35"/>
        <n v="33.950000000000003"/>
        <n v="57.84"/>
        <n v="54.93"/>
        <n v="68.300000000000011"/>
        <n v="-218.32666666666668"/>
        <n v="-40.406666666666659"/>
        <n v="-637.45000000000005"/>
        <n v="-698.21"/>
        <n v="-563.76499999999999"/>
        <n v="156.13"/>
        <n v="40.927999999999997"/>
        <n v="34.909999999999997"/>
        <n v="43.425000000000004"/>
        <n v="43.558571428571426"/>
        <n v="33.285714285714285"/>
        <n v="53.545000000000002"/>
        <n v="32.859999999999992"/>
        <n v="41.994999999999997"/>
        <n v="56.18"/>
        <n v="54.2"/>
        <n v="27.51799999999999"/>
        <n v="51.5"/>
        <n v="47.699999999999996"/>
        <n v="35.525000000000006"/>
        <n v="51.75"/>
        <n v="49.896666666666668"/>
        <n v="59.155000000000001"/>
        <n v="46.640000000000008"/>
        <n v="59.954999999999998"/>
        <n v="54.12"/>
        <n v="49.543333333333337"/>
        <n v="47.066666666666656"/>
        <n v="48.166666666666671"/>
        <n v="49.23666666666665"/>
        <n v="36.454999999999998"/>
        <n v="45.97999999999999"/>
        <n v="48.140000000000015"/>
        <n v="23.084000000000003"/>
        <n v="54.64"/>
        <n v="29.509999999999998"/>
        <n v="37.93"/>
        <n v="47.083333333333329"/>
        <n v="39.519999999999996"/>
        <n v="43.43"/>
        <n v="-219.36"/>
        <n v="-194.77"/>
        <n v="46.725000000000001"/>
        <n v="-204.07"/>
        <n v="-344.39"/>
        <n v="-271.64"/>
        <n v="51.08"/>
        <n v="31.67"/>
        <n v="32"/>
        <n v="30"/>
        <n v="34.64"/>
        <n v="24.936666666666657"/>
        <n v="34.433333333333337"/>
        <n v="43.733333333333327"/>
        <n v="31.714285714285715"/>
        <n v="59.464444444444425"/>
        <n v="56.78"/>
        <n v="51"/>
        <n v="29.58"/>
        <n v="31.48"/>
        <n v="68.930000000000007"/>
        <n v="24.173333333333336"/>
        <n v="-293.26"/>
        <n v="-597.30999999999995"/>
        <n v="43.64"/>
        <n v="-642.02"/>
        <n v="-240.83"/>
        <n v="-157.93"/>
        <n v="47.20000000000001" u="1"/>
        <n v="42.884999999999998" u="1"/>
        <n v="30.862500000000001" u="1"/>
      </sharedItems>
    </cacheField>
    <cacheField name="Capacity" numFmtId="0">
      <sharedItems containsString="0" containsBlank="1" containsNumber="1" minValue="0" maxValue="214748364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140.306049305553" backgroundQuery="1" createdVersion="8" refreshedVersion="8" minRefreshableVersion="3" recordCount="2146" xr:uid="{C761B4C3-E5E4-4A69-91BA-98866A10DE43}">
  <cacheSource type="external" connectionId="8"/>
  <cacheFields count="7">
    <cacheField name="data_type" numFmtId="0">
      <sharedItems count="4">
        <s v="CI"/>
        <s v="credit"/>
        <s v="deficit"/>
        <s v="volume"/>
      </sharedItems>
    </cacheField>
    <cacheField name="fuel_name" numFmtId="0">
      <sharedItems count="26">
        <s v="Biodiesel"/>
        <s v="Diesel_Renew"/>
        <s v="Ethanol"/>
        <s v="alt_jet_fuel"/>
        <s v="Bio_CNG"/>
        <s v="Bio_LNG"/>
        <s v="Diesel"/>
        <s v="Diesel_B20"/>
        <s v="Diesel_B5"/>
        <s v="Electricity_Off_Fixed"/>
        <s v="Electricity_Off_Fork"/>
        <s v="Electricity_Off_Other"/>
        <s v="Electricity_On"/>
        <s v="electricity_res_base"/>
        <s v="electricity_res_inc"/>
        <s v="Ethanol&lt;55"/>
        <s v="Ethanol&gt;75"/>
        <s v="Ethanol55-65"/>
        <s v="Ethanol65-75"/>
        <s v="Fossil_CNG"/>
        <s v="Fossil_LNG"/>
        <s v="Gasoline"/>
        <s v="Gasoline_E10"/>
        <s v="hydrogen"/>
        <s v="Liq_Pet_Renew"/>
        <s v="Liq_Petroleum"/>
      </sharedItems>
      <fieldGroup par="6"/>
    </cacheField>
    <cacheField name="period" numFmtId="0">
      <sharedItems containsSemiMixedTypes="0" containsNonDate="0" containsDate="1" containsString="0" minDate="2016-01-01T00:00:00" maxDate="2023-01-02T00:00:00" count="29">
        <d v="2016-01-01T00:00:00"/>
        <d v="2016-04-01T00:00:00"/>
        <d v="2016-07-01T00:00:00"/>
        <d v="2016-10-01T00:00:00"/>
        <d v="2017-01-01T00:00:00"/>
        <d v="2017-04-01T00:00:00"/>
        <d v="2017-07-01T00:00:00"/>
        <d v="2017-10-01T00:00:00"/>
        <d v="2018-01-01T00:00:00"/>
        <d v="2018-04-01T00:00:00"/>
        <d v="2018-07-01T00:00:00"/>
        <d v="2018-10-01T00:00:00"/>
        <d v="2019-01-01T00:00:00"/>
        <d v="2019-04-01T00:00:00"/>
        <d v="2019-07-01T00:00:00"/>
        <d v="2019-10-01T00:00:00"/>
        <d v="2020-01-01T00:00:00"/>
        <d v="2020-04-01T00:00:00"/>
        <d v="2020-07-01T00:00:00"/>
        <d v="2020-10-01T00:00:00"/>
        <d v="2021-01-01T00:00:00"/>
        <d v="2021-04-01T00:00:00"/>
        <d v="2021-07-01T00:00:00"/>
        <d v="2021-10-01T00:00:00"/>
        <d v="2022-01-01T00:00:00"/>
        <d v="2022-04-01T00:00:00"/>
        <d v="2022-07-01T00:00:00"/>
        <d v="2022-10-01T00:00:00"/>
        <d v="2023-01-01T00:00:00"/>
      </sharedItems>
    </cacheField>
    <cacheField name="quantity" numFmtId="0">
      <sharedItems containsString="0" containsBlank="1" containsNumber="1" minValue="-20515516" maxValue="398951677"/>
    </cacheField>
    <cacheField name="fuel_category" numFmtId="0">
      <sharedItems count="10">
        <s v="Biodiesel"/>
        <s v="Diesel_Renew"/>
        <s v="Ethanol"/>
        <s v="Jet_Fuel"/>
        <s v="Natural Gas"/>
        <s v="Diesel"/>
        <s v="Electricity"/>
        <s v="Gasoline"/>
        <s v="Hydrogen"/>
        <s v="Liq_Petroleum_Gas"/>
      </sharedItems>
    </cacheField>
    <cacheField name="fuel_type" numFmtId="0">
      <sharedItems count="5">
        <s v="Biodiesel"/>
        <s v="Diesel_Renew"/>
        <s v="Ethanol"/>
        <s v="Alternative"/>
        <s v="Fossil"/>
      </sharedItems>
    </cacheField>
    <cacheField name="fuel_name2" numFmtId="0" databaseField="0">
      <fieldGroup base="1">
        <discretePr count="26">
          <x v="0"/>
          <x v="1"/>
          <x v="2"/>
          <x v="22"/>
          <x v="3"/>
          <x v="4"/>
          <x v="5"/>
          <x v="6"/>
          <x v="7"/>
          <x v="20"/>
          <x v="20"/>
          <x v="20"/>
          <x v="8"/>
          <x v="21"/>
          <x v="21"/>
          <x v="9"/>
          <x v="10"/>
          <x v="11"/>
          <x v="12"/>
          <x v="13"/>
          <x v="14"/>
          <x v="15"/>
          <x v="16"/>
          <x v="17"/>
          <x v="18"/>
          <x v="19"/>
        </discretePr>
        <groupItems count="23">
          <s v="Biodiesel"/>
          <s v="Diesel_Renew"/>
          <s v="Ethanol"/>
          <s v="Bio_CNG"/>
          <s v="Bio_LNG"/>
          <s v="Diesel"/>
          <s v="Diesel_B20"/>
          <s v="Diesel_B5"/>
          <s v="Electricity_On"/>
          <s v="Ethanol&lt;55"/>
          <s v="Ethanol&gt;75"/>
          <s v="Ethanol55-65"/>
          <s v="Ethanol65-75"/>
          <s v="Fossil_CNG"/>
          <s v="Fossil_LNG"/>
          <s v="Gasoline"/>
          <s v="Gasoline_E10"/>
          <s v="hydrogen"/>
          <s v="Liq_Pet_Renew"/>
          <s v="Liq_Petroleum"/>
          <s v="Group1"/>
          <s v="Group2"/>
          <s v="alt_jet_fuel"/>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ENNEDY Michael  * DAS" refreshedDate="45162.331243865738" backgroundQuery="1" createdVersion="8" refreshedVersion="8" minRefreshableVersion="3" recordCount="309" xr:uid="{BC02DB3E-392A-4FFA-86FE-9011CA8E8366}">
  <cacheSource type="external" connectionId="6"/>
  <cacheFields count="5">
    <cacheField name="forecast_date" numFmtId="0">
      <sharedItems containsSemiMixedTypes="0" containsNonDate="0" containsDate="1" containsString="0" minDate="2018-01-01T00:00:00" maxDate="2024-01-02T00:00:00" count="7">
        <d v="2018-01-01T00:00:00"/>
        <d v="2019-01-01T00:00:00"/>
        <d v="2020-01-01T00:00:00"/>
        <d v="2021-01-01T00:00:00"/>
        <d v="2022-01-01T00:00:00"/>
        <d v="2023-01-01T00:00:00"/>
        <d v="2024-01-01T00:00:00"/>
      </sharedItems>
    </cacheField>
    <cacheField name="period" numFmtId="0">
      <sharedItems containsSemiMixedTypes="0" containsNonDate="0" containsDate="1" containsString="0" minDate="2018-01-01T00:00:00" maxDate="2024-01-02T00:00:00" count="7">
        <d v="2018-01-01T00:00:00"/>
        <d v="2019-01-01T00:00:00"/>
        <d v="2020-01-01T00:00:00"/>
        <d v="2021-01-01T00:00:00"/>
        <d v="2022-01-01T00:00:00"/>
        <d v="2023-01-01T00:00:00"/>
        <d v="2024-01-01T00:00:00"/>
      </sharedItems>
    </cacheField>
    <cacheField name="fuel_name" numFmtId="0">
      <sharedItems count="19">
        <s v="Biodiesel"/>
        <s v="Biogas"/>
        <s v="CBOB"/>
        <s v="diesel"/>
        <s v="Diesel_Renew"/>
        <s v="EEReon"/>
        <s v="EERng"/>
        <s v="Electricity_On"/>
        <s v="Ethanol"/>
        <s v="Fossil_CNG"/>
        <s v="Fossil_LNG"/>
        <s v="gasoline"/>
        <s v="gasoline_E10"/>
        <s v="Hydrogen"/>
        <s v="Jet_Fuel"/>
        <s v="KWh_vehicle"/>
        <s v="Liq_Petroleum"/>
        <s v="Electricity_Off"/>
        <s v="Natural_Gas"/>
      </sharedItems>
    </cacheField>
    <cacheField name="parameter_name" numFmtId="0">
      <sharedItems count="6">
        <s v="CI_Actual"/>
        <s v="EnDen"/>
        <s v="CI_Target"/>
        <s v="Parameter"/>
        <s v="Growth Rate"/>
        <s v="Blend Rate"/>
      </sharedItems>
    </cacheField>
    <cacheField name="value" numFmtId="0">
      <sharedItems containsString="0" containsBlank="1" containsNumber="1" minValue="-0.106" maxValue="31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3">
  <r>
    <x v="0"/>
    <x v="0"/>
    <s v="Green Plains Ord LLC"/>
    <x v="0"/>
    <x v="0"/>
    <x v="0"/>
    <x v="0"/>
    <m/>
  </r>
  <r>
    <x v="0"/>
    <x v="1"/>
    <s v="General Biodiesel Seattle, LLC"/>
    <x v="1"/>
    <x v="1"/>
    <x v="1"/>
    <x v="1"/>
    <n v="5000000"/>
  </r>
  <r>
    <x v="0"/>
    <x v="2"/>
    <s v="Green Plains Central City LLC"/>
    <x v="2"/>
    <x v="0"/>
    <x v="0"/>
    <x v="2"/>
    <m/>
  </r>
  <r>
    <x v="0"/>
    <x v="3"/>
    <s v="Guardian Energy Janesville"/>
    <x v="3"/>
    <x v="2"/>
    <x v="0"/>
    <x v="3"/>
    <m/>
  </r>
  <r>
    <x v="0"/>
    <x v="4"/>
    <s v="Pacific Ethanol Holding Co LLC"/>
    <x v="4"/>
    <x v="3"/>
    <x v="0"/>
    <x v="4"/>
    <n v="43045800"/>
  </r>
  <r>
    <x v="0"/>
    <x v="4"/>
    <s v="Pacific Ethanol Holding Co LLC"/>
    <x v="5"/>
    <x v="4"/>
    <x v="0"/>
    <x v="5"/>
    <n v="75330150"/>
  </r>
  <r>
    <x v="0"/>
    <x v="4"/>
    <s v="Pacific Ethanol Holding Co LLC"/>
    <x v="6"/>
    <x v="5"/>
    <x v="0"/>
    <x v="6"/>
    <m/>
  </r>
  <r>
    <x v="0"/>
    <x v="5"/>
    <s v="Copersucar S.A."/>
    <x v="7"/>
    <x v="6"/>
    <x v="0"/>
    <x v="7"/>
    <n v="51038199"/>
  </r>
  <r>
    <x v="0"/>
    <x v="6"/>
    <s v="BIOX Canada Limited"/>
    <x v="8"/>
    <x v="7"/>
    <x v="1"/>
    <x v="8"/>
    <n v="16642847"/>
  </r>
  <r>
    <x v="0"/>
    <x v="7"/>
    <s v="Raízen Energia S/A – Serra"/>
    <x v="9"/>
    <x v="6"/>
    <x v="0"/>
    <x v="9"/>
    <m/>
  </r>
  <r>
    <x v="0"/>
    <x v="8"/>
    <s v="Consolidated Biofuels Ltd."/>
    <x v="10"/>
    <x v="7"/>
    <x v="1"/>
    <x v="10"/>
    <n v="489175"/>
  </r>
  <r>
    <x v="0"/>
    <x v="9"/>
    <s v="Sinclair Wyoming Refining Company"/>
    <x v="11"/>
    <x v="8"/>
    <x v="2"/>
    <x v="11"/>
    <n v="108983768"/>
  </r>
  <r>
    <x v="0"/>
    <x v="10"/>
    <s v="Heron Lake BioEnergy"/>
    <x v="12"/>
    <x v="2"/>
    <x v="0"/>
    <x v="12"/>
    <m/>
  </r>
  <r>
    <x v="0"/>
    <x v="11"/>
    <s v="Bonanza BioEnergy, LLC"/>
    <x v="13"/>
    <x v="9"/>
    <x v="0"/>
    <x v="13"/>
    <m/>
  </r>
  <r>
    <x v="0"/>
    <x v="12"/>
    <s v="Redfield Energy,"/>
    <x v="14"/>
    <x v="10"/>
    <x v="0"/>
    <x v="14"/>
    <n v="70000000"/>
  </r>
  <r>
    <x v="0"/>
    <x v="13"/>
    <s v="Bushmills Ethanol, Inc."/>
    <x v="15"/>
    <x v="2"/>
    <x v="0"/>
    <x v="15"/>
    <n v="65000000"/>
  </r>
  <r>
    <x v="0"/>
    <x v="14"/>
    <s v="ABE South Dakota, LLC"/>
    <x v="16"/>
    <x v="10"/>
    <x v="0"/>
    <x v="16"/>
    <m/>
  </r>
  <r>
    <x v="0"/>
    <x v="14"/>
    <s v="ABE South Dakota, LLC"/>
    <x v="17"/>
    <x v="10"/>
    <x v="0"/>
    <x v="17"/>
    <n v="40000000"/>
  </r>
  <r>
    <x v="0"/>
    <x v="15"/>
    <s v="Neste Singapore Pte Ltd"/>
    <x v="18"/>
    <x v="11"/>
    <x v="2"/>
    <x v="18"/>
    <n v="290756447"/>
  </r>
  <r>
    <x v="0"/>
    <x v="16"/>
    <s v="ADM Deerfield Energy"/>
    <x v="19"/>
    <x v="12"/>
    <x v="1"/>
    <x v="19"/>
    <n v="33000000"/>
  </r>
  <r>
    <x v="0"/>
    <x v="17"/>
    <s v="REG Albert Lea"/>
    <x v="20"/>
    <x v="2"/>
    <x v="1"/>
    <x v="20"/>
    <n v="30000000"/>
  </r>
  <r>
    <x v="0"/>
    <x v="18"/>
    <s v="Ag Processing, Inc."/>
    <x v="21"/>
    <x v="13"/>
    <x v="1"/>
    <x v="21"/>
    <n v="75508819"/>
  </r>
  <r>
    <x v="0"/>
    <x v="18"/>
    <s v="Ag Processing, Inc."/>
    <x v="22"/>
    <x v="12"/>
    <x v="1"/>
    <x v="22"/>
    <n v="41601085"/>
  </r>
  <r>
    <x v="0"/>
    <x v="19"/>
    <s v="FutureFuel Chemical Company"/>
    <x v="23"/>
    <x v="14"/>
    <x v="1"/>
    <x v="23"/>
    <n v="59000000"/>
  </r>
  <r>
    <x v="0"/>
    <x v="20"/>
    <s v="Poet Biorefining-Chancellor"/>
    <x v="24"/>
    <x v="10"/>
    <x v="0"/>
    <x v="24"/>
    <n v="128722000"/>
  </r>
  <r>
    <x v="0"/>
    <x v="21"/>
    <s v="LSCP, LLLP"/>
    <x v="25"/>
    <x v="13"/>
    <x v="0"/>
    <x v="25"/>
    <n v="185000000"/>
  </r>
  <r>
    <x v="0"/>
    <x v="22"/>
    <s v="Yuma Ethanol, LLC"/>
    <x v="26"/>
    <x v="15"/>
    <x v="0"/>
    <x v="26"/>
    <m/>
  </r>
  <r>
    <x v="0"/>
    <x v="23"/>
    <s v="Poet Biorefining-Big Stone"/>
    <x v="27"/>
    <x v="10"/>
    <x v="0"/>
    <x v="27"/>
    <n v="90000000"/>
  </r>
  <r>
    <x v="0"/>
    <x v="24"/>
    <s v="Western Plains Energy, LLC"/>
    <x v="28"/>
    <x v="9"/>
    <x v="0"/>
    <x v="28"/>
    <n v="54600000"/>
  </r>
  <r>
    <x v="0"/>
    <x v="25"/>
    <s v="Trenton Agri Products LLC"/>
    <x v="29"/>
    <x v="0"/>
    <x v="0"/>
    <x v="29"/>
    <m/>
  </r>
  <r>
    <x v="0"/>
    <x v="26"/>
    <s v="Green Plains Holdings II LLC - Lakota"/>
    <x v="30"/>
    <x v="13"/>
    <x v="0"/>
    <x v="30"/>
    <m/>
  </r>
  <r>
    <x v="0"/>
    <x v="27"/>
    <s v="Glacial Lakes-Watertown"/>
    <x v="31"/>
    <x v="10"/>
    <x v="0"/>
    <x v="31"/>
    <m/>
  </r>
  <r>
    <x v="0"/>
    <x v="27"/>
    <s v="Glacial Lakes-Watertown"/>
    <x v="32"/>
    <x v="10"/>
    <x v="0"/>
    <x v="32"/>
    <m/>
  </r>
  <r>
    <x v="0"/>
    <x v="28"/>
    <s v="Sterling Ethanol, LLC"/>
    <x v="33"/>
    <x v="15"/>
    <x v="0"/>
    <x v="33"/>
    <n v="60000000"/>
  </r>
  <r>
    <x v="0"/>
    <x v="29"/>
    <s v="Granite Falls Energy, LLC"/>
    <x v="34"/>
    <x v="2"/>
    <x v="0"/>
    <x v="34"/>
    <m/>
  </r>
  <r>
    <x v="0"/>
    <x v="30"/>
    <s v="Poet Biorefining-Coon Rapids"/>
    <x v="35"/>
    <x v="13"/>
    <x v="0"/>
    <x v="35"/>
    <n v="60000000"/>
  </r>
  <r>
    <x v="0"/>
    <x v="31"/>
    <s v="Poet Biorefining-Mitchell"/>
    <x v="36"/>
    <x v="10"/>
    <x v="0"/>
    <x v="36"/>
    <n v="81555600"/>
  </r>
  <r>
    <x v="0"/>
    <x v="32"/>
    <s v="Poet Biorefining-Hudson"/>
    <x v="37"/>
    <x v="10"/>
    <x v="0"/>
    <x v="37"/>
    <n v="70000000"/>
  </r>
  <r>
    <x v="0"/>
    <x v="33"/>
    <s v="Poet Biorefining-Emmetsburg"/>
    <x v="38"/>
    <x v="13"/>
    <x v="0"/>
    <x v="38"/>
    <m/>
  </r>
  <r>
    <x v="0"/>
    <x v="34"/>
    <s v="Poet Biorefining-Groton"/>
    <x v="39"/>
    <x v="10"/>
    <x v="0"/>
    <x v="39"/>
    <n v="65000000"/>
  </r>
  <r>
    <x v="0"/>
    <x v="35"/>
    <s v="Red Trail Energy LLC"/>
    <x v="40"/>
    <x v="16"/>
    <x v="0"/>
    <x v="40"/>
    <n v="170000000"/>
  </r>
  <r>
    <x v="0"/>
    <x v="36"/>
    <s v="Chippewa Valley Ethanol Company LLLP"/>
    <x v="41"/>
    <x v="2"/>
    <x v="0"/>
    <x v="41"/>
    <n v="53269178"/>
  </r>
  <r>
    <x v="0"/>
    <x v="37"/>
    <s v="Dakota Ethanol, LLC"/>
    <x v="42"/>
    <x v="10"/>
    <x v="0"/>
    <x v="42"/>
    <n v="60000000"/>
  </r>
  <r>
    <x v="0"/>
    <x v="38"/>
    <s v="Heartland Corn Products"/>
    <x v="43"/>
    <x v="2"/>
    <x v="0"/>
    <x v="43"/>
    <m/>
  </r>
  <r>
    <x v="0"/>
    <x v="39"/>
    <s v="E Energy Adams, LLC"/>
    <x v="44"/>
    <x v="0"/>
    <x v="0"/>
    <x v="44"/>
    <n v="84000000"/>
  </r>
  <r>
    <x v="0"/>
    <x v="40"/>
    <s v="High Plains Bioenergy"/>
    <x v="45"/>
    <x v="17"/>
    <x v="1"/>
    <x v="45"/>
    <n v="34675000"/>
  </r>
  <r>
    <x v="0"/>
    <x v="41"/>
    <s v="ADM Mexico"/>
    <x v="46"/>
    <x v="12"/>
    <x v="1"/>
    <x v="46"/>
    <n v="50000000"/>
  </r>
  <r>
    <x v="0"/>
    <x v="42"/>
    <s v="Archer Daniels Midland Company"/>
    <x v="47"/>
    <x v="0"/>
    <x v="0"/>
    <x v="47"/>
    <m/>
  </r>
  <r>
    <x v="0"/>
    <x v="42"/>
    <s v="Archer Daniels Midland Company"/>
    <x v="48"/>
    <x v="3"/>
    <x v="1"/>
    <x v="48"/>
    <n v="94500000"/>
  </r>
  <r>
    <x v="0"/>
    <x v="43"/>
    <s v="SIOUXLAND ETHANOL, LLC"/>
    <x v="49"/>
    <x v="0"/>
    <x v="0"/>
    <x v="49"/>
    <n v="82125000"/>
  </r>
  <r>
    <x v="0"/>
    <x v="44"/>
    <s v="Poet Biorefining-Corning"/>
    <x v="50"/>
    <x v="13"/>
    <x v="0"/>
    <x v="50"/>
    <n v="80000000"/>
  </r>
  <r>
    <x v="0"/>
    <x v="45"/>
    <s v="Absolute Energy, LLC"/>
    <x v="51"/>
    <x v="13"/>
    <x v="0"/>
    <x v="51"/>
    <n v="130000000"/>
  </r>
  <r>
    <x v="0"/>
    <x v="46"/>
    <s v="Green Plains Shenandoah LLC"/>
    <x v="52"/>
    <x v="13"/>
    <x v="0"/>
    <x v="52"/>
    <m/>
  </r>
  <r>
    <x v="0"/>
    <x v="47"/>
    <s v="Husker Ag LLC"/>
    <x v="53"/>
    <x v="0"/>
    <x v="0"/>
    <x v="53"/>
    <n v="109000000"/>
  </r>
  <r>
    <x v="0"/>
    <x v="48"/>
    <s v="Mid America Agri Products/Wheatland, LLC"/>
    <x v="54"/>
    <x v="0"/>
    <x v="0"/>
    <x v="54"/>
    <n v="46000000"/>
  </r>
  <r>
    <x v="0"/>
    <x v="49"/>
    <s v="Midwest Renewable Energy, LLC"/>
    <x v="55"/>
    <x v="0"/>
    <x v="0"/>
    <x v="55"/>
    <n v="26500000"/>
  </r>
  <r>
    <x v="0"/>
    <x v="50"/>
    <s v="Arkalon Ethanol"/>
    <x v="56"/>
    <x v="9"/>
    <x v="0"/>
    <x v="56"/>
    <m/>
  </r>
  <r>
    <x v="0"/>
    <x v="51"/>
    <s v="Bridgeport Ethanol, LLC"/>
    <x v="57"/>
    <x v="0"/>
    <x v="0"/>
    <x v="57"/>
    <m/>
  </r>
  <r>
    <x v="0"/>
    <x v="52"/>
    <s v="Dansuk Industrial Co., LTD."/>
    <x v="58"/>
    <x v="18"/>
    <x v="1"/>
    <x v="58"/>
    <n v="16706637"/>
  </r>
  <r>
    <x v="0"/>
    <x v="53"/>
    <s v="Milligan Biofuels Inc"/>
    <x v="59"/>
    <x v="7"/>
    <x v="1"/>
    <x v="59"/>
    <n v="5284016"/>
  </r>
  <r>
    <x v="0"/>
    <x v="54"/>
    <s v="JC Chemical Co., Ltd."/>
    <x v="60"/>
    <x v="18"/>
    <x v="1"/>
    <x v="60"/>
    <n v="33285679"/>
  </r>
  <r>
    <x v="0"/>
    <x v="55"/>
    <s v="SeQuential Pacific Biodiesel"/>
    <x v="61"/>
    <x v="3"/>
    <x v="1"/>
    <x v="61"/>
    <n v="10000000"/>
  </r>
  <r>
    <x v="0"/>
    <x v="56"/>
    <s v="REG Mason City"/>
    <x v="62"/>
    <x v="13"/>
    <x v="1"/>
    <x v="62"/>
    <n v="30000000"/>
  </r>
  <r>
    <x v="0"/>
    <x v="57"/>
    <s v="ADM Agri Industries"/>
    <x v="63"/>
    <x v="7"/>
    <x v="1"/>
    <x v="63"/>
    <m/>
  </r>
  <r>
    <x v="0"/>
    <x v="58"/>
    <s v="Guardian Energy Hankinson"/>
    <x v="64"/>
    <x v="16"/>
    <x v="0"/>
    <x v="64"/>
    <m/>
  </r>
  <r>
    <x v="0"/>
    <x v="59"/>
    <s v="REG Geismar, LLC"/>
    <x v="65"/>
    <x v="19"/>
    <x v="2"/>
    <x v="65"/>
    <n v="75000000"/>
  </r>
  <r>
    <x v="0"/>
    <x v="60"/>
    <s v="WM Renewable Energy, LLC"/>
    <x v="66"/>
    <x v="20"/>
    <x v="3"/>
    <x v="66"/>
    <n v="9306082"/>
  </r>
  <r>
    <x v="0"/>
    <x v="60"/>
    <s v="WM Renewable Energy, LLC"/>
    <x v="67"/>
    <x v="21"/>
    <x v="3"/>
    <x v="67"/>
    <n v="7817109"/>
  </r>
  <r>
    <x v="0"/>
    <x v="61"/>
    <s v="Duonix Beatrice"/>
    <x v="68"/>
    <x v="0"/>
    <x v="1"/>
    <x v="68"/>
    <n v="62500000"/>
  </r>
  <r>
    <x v="0"/>
    <x v="62"/>
    <s v="REG Grays Harbor LLC"/>
    <x v="69"/>
    <x v="1"/>
    <x v="1"/>
    <x v="69"/>
    <n v="100000000"/>
  </r>
  <r>
    <x v="0"/>
    <x v="63"/>
    <s v="HPB St Joe Biodiesel, LLC"/>
    <x v="70"/>
    <x v="12"/>
    <x v="1"/>
    <x v="70"/>
    <n v="30000000"/>
  </r>
  <r>
    <x v="0"/>
    <x v="64"/>
    <s v="Global Alternative Fuels LLC"/>
    <x v="71"/>
    <x v="22"/>
    <x v="1"/>
    <x v="71"/>
    <n v="15000000"/>
  </r>
  <r>
    <x v="1"/>
    <x v="0"/>
    <s v="Green Plains Ord LLC"/>
    <x v="0"/>
    <x v="0"/>
    <x v="0"/>
    <x v="0"/>
    <n v="65000000"/>
  </r>
  <r>
    <x v="1"/>
    <x v="1"/>
    <s v="General Biodiesel Seattle"/>
    <x v="1"/>
    <x v="1"/>
    <x v="1"/>
    <x v="1"/>
    <n v="5000000"/>
  </r>
  <r>
    <x v="1"/>
    <x v="2"/>
    <s v="Green Plains Central City"/>
    <x v="2"/>
    <x v="0"/>
    <x v="0"/>
    <x v="2"/>
    <n v="116000000"/>
  </r>
  <r>
    <x v="1"/>
    <x v="3"/>
    <s v="Guardian Energy Janesville"/>
    <x v="3"/>
    <x v="2"/>
    <x v="0"/>
    <x v="3"/>
    <n v="149000000"/>
  </r>
  <r>
    <x v="1"/>
    <x v="65"/>
    <s v="REG Newton, LLC"/>
    <x v="72"/>
    <x v="13"/>
    <x v="1"/>
    <x v="72"/>
    <n v="30000000"/>
  </r>
  <r>
    <x v="1"/>
    <x v="4"/>
    <s v="Pacific Ethanol Columbia LLC"/>
    <x v="4"/>
    <x v="3"/>
    <x v="0"/>
    <x v="73"/>
    <n v="43045800"/>
  </r>
  <r>
    <x v="1"/>
    <x v="4"/>
    <s v="Pacific Ethanol Magic Valley LLC"/>
    <x v="5"/>
    <x v="4"/>
    <x v="0"/>
    <x v="5"/>
    <n v="75330150"/>
  </r>
  <r>
    <x v="1"/>
    <x v="4"/>
    <s v="Pacific Ethanol Stockton"/>
    <x v="6"/>
    <x v="5"/>
    <x v="0"/>
    <x v="6"/>
    <n v="60000000"/>
  </r>
  <r>
    <x v="1"/>
    <x v="5"/>
    <s v="Açucareira Quatá S.A."/>
    <x v="73"/>
    <x v="6"/>
    <x v="0"/>
    <x v="7"/>
    <n v="51038199"/>
  </r>
  <r>
    <x v="1"/>
    <x v="6"/>
    <s v="BIOX Canada Limited"/>
    <x v="8"/>
    <x v="7"/>
    <x v="1"/>
    <x v="8"/>
    <n v="16642847"/>
  </r>
  <r>
    <x v="1"/>
    <x v="7"/>
    <s v="Raízen Energia S/A - Costa Pinto"/>
    <x v="74"/>
    <x v="6"/>
    <x v="0"/>
    <x v="9"/>
    <n v="21662108"/>
  </r>
  <r>
    <x v="1"/>
    <x v="8"/>
    <s v="Consolidated Biofuels Ltd."/>
    <x v="10"/>
    <x v="7"/>
    <x v="1"/>
    <x v="10"/>
    <n v="489175"/>
  </r>
  <r>
    <x v="1"/>
    <x v="9"/>
    <s v="Sinclair Wyoming Refining Company"/>
    <x v="11"/>
    <x v="8"/>
    <x v="2"/>
    <x v="74"/>
    <n v="108983768"/>
  </r>
  <r>
    <x v="1"/>
    <x v="10"/>
    <s v="Heron Lake BioEnergy"/>
    <x v="12"/>
    <x v="2"/>
    <x v="0"/>
    <x v="12"/>
    <n v="59000000"/>
  </r>
  <r>
    <x v="1"/>
    <x v="11"/>
    <s v="Bonanza BioEnergy, LLC"/>
    <x v="13"/>
    <x v="9"/>
    <x v="0"/>
    <x v="13"/>
    <n v="55000000"/>
  </r>
  <r>
    <x v="1"/>
    <x v="66"/>
    <s v="Siouxland Energy Cooperative"/>
    <x v="75"/>
    <x v="13"/>
    <x v="0"/>
    <x v="75"/>
    <n v="70000000"/>
  </r>
  <r>
    <x v="1"/>
    <x v="12"/>
    <s v="Redfield Energy, LLC"/>
    <x v="14"/>
    <x v="10"/>
    <x v="0"/>
    <x v="76"/>
    <n v="70000000"/>
  </r>
  <r>
    <x v="1"/>
    <x v="13"/>
    <s v="BUSHMILLS ETHANOL, INC."/>
    <x v="15"/>
    <x v="2"/>
    <x v="0"/>
    <x v="77"/>
    <n v="65000000"/>
  </r>
  <r>
    <x v="1"/>
    <x v="14"/>
    <s v="ABE South Dakota, LLC"/>
    <x v="16"/>
    <x v="10"/>
    <x v="0"/>
    <x v="16"/>
    <n v="55300000"/>
  </r>
  <r>
    <x v="1"/>
    <x v="14"/>
    <s v="ABE South Dakota, LLC (Huron)"/>
    <x v="17"/>
    <x v="10"/>
    <x v="0"/>
    <x v="17"/>
    <n v="40000000"/>
  </r>
  <r>
    <x v="1"/>
    <x v="15"/>
    <s v="Neste Singapore"/>
    <x v="18"/>
    <x v="11"/>
    <x v="2"/>
    <x v="78"/>
    <n v="290756447"/>
  </r>
  <r>
    <x v="1"/>
    <x v="16"/>
    <s v="ADM Deerfield"/>
    <x v="19"/>
    <x v="12"/>
    <x v="1"/>
    <x v="19"/>
    <n v="33000000"/>
  </r>
  <r>
    <x v="1"/>
    <x v="17"/>
    <s v="REG Albert Lea"/>
    <x v="20"/>
    <x v="2"/>
    <x v="1"/>
    <x v="79"/>
    <n v="30000000"/>
  </r>
  <r>
    <x v="1"/>
    <x v="67"/>
    <s v="Cherry Point Refinery"/>
    <x v="76"/>
    <x v="1"/>
    <x v="2"/>
    <x v="80"/>
    <n v="42438039"/>
  </r>
  <r>
    <x v="1"/>
    <x v="18"/>
    <s v="Ag Processing, Inc - Sgt. Bluff"/>
    <x v="21"/>
    <x v="13"/>
    <x v="1"/>
    <x v="21"/>
    <n v="75508819"/>
  </r>
  <r>
    <x v="1"/>
    <x v="18"/>
    <s v="Ag Processing, Inc. - St. Joseph"/>
    <x v="22"/>
    <x v="12"/>
    <x v="1"/>
    <x v="22"/>
    <n v="41601085"/>
  </r>
  <r>
    <x v="1"/>
    <x v="19"/>
    <s v="FutureFuel Chemical Company"/>
    <x v="23"/>
    <x v="14"/>
    <x v="1"/>
    <x v="23"/>
    <n v="59000000"/>
  </r>
  <r>
    <x v="1"/>
    <x v="20"/>
    <s v="Poet Biorefining-Chancellor"/>
    <x v="24"/>
    <x v="10"/>
    <x v="0"/>
    <x v="81"/>
    <n v="128722000"/>
  </r>
  <r>
    <x v="1"/>
    <x v="21"/>
    <s v="LSCP, LLLP"/>
    <x v="25"/>
    <x v="13"/>
    <x v="0"/>
    <x v="25"/>
    <n v="185000000"/>
  </r>
  <r>
    <x v="1"/>
    <x v="22"/>
    <s v="Yuma Ethanol"/>
    <x v="26"/>
    <x v="15"/>
    <x v="0"/>
    <x v="26"/>
    <n v="40000000"/>
  </r>
  <r>
    <x v="1"/>
    <x v="23"/>
    <s v="POET Biorefining - Big Stone"/>
    <x v="27"/>
    <x v="10"/>
    <x v="0"/>
    <x v="27"/>
    <n v="90000000"/>
  </r>
  <r>
    <x v="1"/>
    <x v="24"/>
    <s v="Western Plains Energy, LLC"/>
    <x v="28"/>
    <x v="9"/>
    <x v="0"/>
    <x v="28"/>
    <n v="54600000"/>
  </r>
  <r>
    <x v="1"/>
    <x v="25"/>
    <s v="Trenton Agri Products LLC"/>
    <x v="29"/>
    <x v="0"/>
    <x v="0"/>
    <x v="29"/>
    <n v="55000000"/>
  </r>
  <r>
    <x v="1"/>
    <x v="27"/>
    <s v="Glacial Lakes-Aberdeen Energy (Mina)"/>
    <x v="31"/>
    <x v="10"/>
    <x v="0"/>
    <x v="31"/>
    <n v="100000000"/>
  </r>
  <r>
    <x v="1"/>
    <x v="27"/>
    <s v="Glacial Lakes-Watertown"/>
    <x v="32"/>
    <x v="10"/>
    <x v="0"/>
    <x v="32"/>
    <n v="100000000"/>
  </r>
  <r>
    <x v="1"/>
    <x v="28"/>
    <s v="Sterling Ethanol, LLC"/>
    <x v="33"/>
    <x v="15"/>
    <x v="0"/>
    <x v="33"/>
    <n v="60000000"/>
  </r>
  <r>
    <x v="1"/>
    <x v="29"/>
    <s v="Granite Falls Energy, LLC"/>
    <x v="34"/>
    <x v="2"/>
    <x v="0"/>
    <x v="34"/>
    <n v="70000000"/>
  </r>
  <r>
    <x v="1"/>
    <x v="30"/>
    <s v="POET Biorefining - Coon Rapids"/>
    <x v="35"/>
    <x v="13"/>
    <x v="0"/>
    <x v="35"/>
    <n v="60000000"/>
  </r>
  <r>
    <x v="1"/>
    <x v="31"/>
    <s v="Poet Biorefining-Mitchell"/>
    <x v="36"/>
    <x v="10"/>
    <x v="0"/>
    <x v="82"/>
    <n v="81555600"/>
  </r>
  <r>
    <x v="1"/>
    <x v="32"/>
    <s v="POET Biorefining - Hudson"/>
    <x v="37"/>
    <x v="10"/>
    <x v="0"/>
    <x v="37"/>
    <n v="70000000"/>
  </r>
  <r>
    <x v="1"/>
    <x v="33"/>
    <s v="POET Biorefining - Emmetsburg"/>
    <x v="38"/>
    <x v="13"/>
    <x v="0"/>
    <x v="38"/>
    <n v="55000000"/>
  </r>
  <r>
    <x v="1"/>
    <x v="34"/>
    <s v="Poet Biorefining Groton"/>
    <x v="77"/>
    <x v="10"/>
    <x v="0"/>
    <x v="83"/>
    <n v="65000000"/>
  </r>
  <r>
    <x v="1"/>
    <x v="35"/>
    <s v="Red Trail Energy LLC"/>
    <x v="40"/>
    <x v="16"/>
    <x v="0"/>
    <x v="84"/>
    <n v="69949425"/>
  </r>
  <r>
    <x v="1"/>
    <x v="36"/>
    <s v="CVEC"/>
    <x v="41"/>
    <x v="2"/>
    <x v="0"/>
    <x v="85"/>
    <n v="53269178"/>
  </r>
  <r>
    <x v="1"/>
    <x v="68"/>
    <s v="KAAPA Ethanol Ravenna LLC"/>
    <x v="78"/>
    <x v="0"/>
    <x v="0"/>
    <x v="86"/>
    <n v="130000000"/>
  </r>
  <r>
    <x v="1"/>
    <x v="37"/>
    <s v="Dakota Ethanol"/>
    <x v="42"/>
    <x v="10"/>
    <x v="0"/>
    <x v="87"/>
    <n v="60000000"/>
  </r>
  <r>
    <x v="1"/>
    <x v="38"/>
    <s v="Heartland Corn Products"/>
    <x v="43"/>
    <x v="2"/>
    <x v="0"/>
    <x v="43"/>
    <n v="100000000"/>
  </r>
  <r>
    <x v="1"/>
    <x v="39"/>
    <s v="E Energy Adams"/>
    <x v="44"/>
    <x v="0"/>
    <x v="0"/>
    <x v="44"/>
    <n v="84000000"/>
  </r>
  <r>
    <x v="1"/>
    <x v="40"/>
    <s v="High Plains Bioenergy"/>
    <x v="45"/>
    <x v="17"/>
    <x v="1"/>
    <x v="88"/>
    <n v="34675000"/>
  </r>
  <r>
    <x v="1"/>
    <x v="41"/>
    <s v="MID AMERICA BIOFUELS"/>
    <x v="46"/>
    <x v="12"/>
    <x v="1"/>
    <x v="46"/>
    <n v="50000000"/>
  </r>
  <r>
    <x v="1"/>
    <x v="42"/>
    <s v="Archer Daniels Midland"/>
    <x v="48"/>
    <x v="3"/>
    <x v="1"/>
    <x v="48"/>
    <n v="94500000"/>
  </r>
  <r>
    <x v="1"/>
    <x v="42"/>
    <s v="Archer Daniels Midland Company - CLM Dry"/>
    <x v="47"/>
    <x v="0"/>
    <x v="0"/>
    <x v="47"/>
    <n v="300000000"/>
  </r>
  <r>
    <x v="1"/>
    <x v="43"/>
    <s v="Siouxland Ethanol"/>
    <x v="49"/>
    <x v="0"/>
    <x v="0"/>
    <x v="49"/>
    <n v="82125000"/>
  </r>
  <r>
    <x v="1"/>
    <x v="44"/>
    <s v="POET Biorefining - Corning"/>
    <x v="50"/>
    <x v="13"/>
    <x v="0"/>
    <x v="50"/>
    <n v="80000000"/>
  </r>
  <r>
    <x v="1"/>
    <x v="45"/>
    <s v="Absolute Energy, LLC"/>
    <x v="51"/>
    <x v="13"/>
    <x v="0"/>
    <x v="51"/>
    <n v="130000000"/>
  </r>
  <r>
    <x v="1"/>
    <x v="46"/>
    <s v="Green Plains Shenandoah LLC"/>
    <x v="52"/>
    <x v="13"/>
    <x v="0"/>
    <x v="52"/>
    <n v="82000000"/>
  </r>
  <r>
    <x v="1"/>
    <x v="47"/>
    <s v="Husker Ag, LLC"/>
    <x v="53"/>
    <x v="0"/>
    <x v="0"/>
    <x v="53"/>
    <n v="109000000"/>
  </r>
  <r>
    <x v="1"/>
    <x v="48"/>
    <s v="Mid America Agri Products/Wheatland, LLC"/>
    <x v="54"/>
    <x v="0"/>
    <x v="0"/>
    <x v="54"/>
    <n v="46000000"/>
  </r>
  <r>
    <x v="1"/>
    <x v="49"/>
    <s v="Midwest Renewable Energy"/>
    <x v="55"/>
    <x v="0"/>
    <x v="0"/>
    <x v="55"/>
    <n v="26500000"/>
  </r>
  <r>
    <x v="1"/>
    <x v="50"/>
    <s v="Arkalon Ethanol"/>
    <x v="56"/>
    <x v="9"/>
    <x v="0"/>
    <x v="56"/>
    <n v="110000000"/>
  </r>
  <r>
    <x v="1"/>
    <x v="69"/>
    <s v="Paseo Cargill Energy"/>
    <x v="79"/>
    <x v="12"/>
    <x v="1"/>
    <x v="89"/>
    <n v="69350000"/>
  </r>
  <r>
    <x v="1"/>
    <x v="51"/>
    <s v="Bridgeport Ethanol"/>
    <x v="57"/>
    <x v="0"/>
    <x v="0"/>
    <x v="57"/>
    <n v="50000000"/>
  </r>
  <r>
    <x v="1"/>
    <x v="52"/>
    <s v="Dansuk Industrial Ltd- Siwha"/>
    <x v="58"/>
    <x v="18"/>
    <x v="1"/>
    <x v="58"/>
    <n v="16706637"/>
  </r>
  <r>
    <x v="1"/>
    <x v="52"/>
    <s v="PyeongTaek2"/>
    <x v="80"/>
    <x v="18"/>
    <x v="1"/>
    <x v="90"/>
    <n v="5000000"/>
  </r>
  <r>
    <x v="1"/>
    <x v="53"/>
    <s v="Milligan Biofuels Inc"/>
    <x v="59"/>
    <x v="7"/>
    <x v="1"/>
    <x v="59"/>
    <n v="5284016"/>
  </r>
  <r>
    <x v="1"/>
    <x v="54"/>
    <s v="JC CHEMICAL CO., LTD."/>
    <x v="81"/>
    <x v="18"/>
    <x v="1"/>
    <x v="60"/>
    <n v="33285679"/>
  </r>
  <r>
    <x v="1"/>
    <x v="55"/>
    <s v="SeQuential"/>
    <x v="61"/>
    <x v="3"/>
    <x v="1"/>
    <x v="61"/>
    <n v="10000000"/>
  </r>
  <r>
    <x v="1"/>
    <x v="56"/>
    <s v="REG Mason City, LLC"/>
    <x v="62"/>
    <x v="13"/>
    <x v="1"/>
    <x v="91"/>
    <n v="30000000"/>
  </r>
  <r>
    <x v="1"/>
    <x v="57"/>
    <s v="ADM Agri Industries"/>
    <x v="63"/>
    <x v="7"/>
    <x v="1"/>
    <x v="63"/>
    <n v="70000000"/>
  </r>
  <r>
    <x v="1"/>
    <x v="58"/>
    <s v="Hankinson Renewable Energy, LLC"/>
    <x v="64"/>
    <x v="16"/>
    <x v="0"/>
    <x v="64"/>
    <n v="145000000"/>
  </r>
  <r>
    <x v="1"/>
    <x v="59"/>
    <s v="REG Geismar, LLC"/>
    <x v="65"/>
    <x v="19"/>
    <x v="2"/>
    <x v="92"/>
    <n v="75000000"/>
  </r>
  <r>
    <x v="1"/>
    <x v="70"/>
    <s v="RING-NECK ENERGY &amp; FEED, LLC"/>
    <x v="82"/>
    <x v="10"/>
    <x v="0"/>
    <x v="93"/>
    <n v="105000000"/>
  </r>
  <r>
    <x v="1"/>
    <x v="60"/>
    <s v="Outer Loop High Btu Gas Plant"/>
    <x v="66"/>
    <x v="20"/>
    <x v="3"/>
    <x v="94"/>
    <n v="9306082"/>
  </r>
  <r>
    <x v="1"/>
    <x v="60"/>
    <s v="WM Renewable Energy of Ohio - American"/>
    <x v="67"/>
    <x v="21"/>
    <x v="3"/>
    <x v="67"/>
    <n v="7817109"/>
  </r>
  <r>
    <x v="1"/>
    <x v="61"/>
    <s v="Beatrice"/>
    <x v="68"/>
    <x v="0"/>
    <x v="1"/>
    <x v="68"/>
    <n v="62500000"/>
  </r>
  <r>
    <x v="1"/>
    <x v="62"/>
    <s v="REG Grays Harbor, LLC"/>
    <x v="69"/>
    <x v="1"/>
    <x v="1"/>
    <x v="95"/>
    <n v="100000000"/>
  </r>
  <r>
    <x v="1"/>
    <x v="63"/>
    <s v="HPB St Joe Biodiesel LLC"/>
    <x v="70"/>
    <x v="12"/>
    <x v="1"/>
    <x v="96"/>
    <n v="30000000"/>
  </r>
  <r>
    <x v="1"/>
    <x v="63"/>
    <s v="HPB St Joe Biodiesel LLC"/>
    <x v="22"/>
    <x v="12"/>
    <x v="1"/>
    <x v="96"/>
    <n v="30000000"/>
  </r>
  <r>
    <x v="1"/>
    <x v="71"/>
    <s v="Meadow Branch"/>
    <x v="83"/>
    <x v="23"/>
    <x v="3"/>
    <x v="97"/>
    <n v="8600000"/>
  </r>
  <r>
    <x v="1"/>
    <x v="64"/>
    <s v="Global Alternative Fuels LLC/Rio Valley Biofuels"/>
    <x v="71"/>
    <x v="22"/>
    <x v="1"/>
    <x v="71"/>
    <n v="15000000"/>
  </r>
  <r>
    <x v="2"/>
    <x v="65"/>
    <s v="REG Newton, LLC"/>
    <x v="72"/>
    <x v="13"/>
    <x v="1"/>
    <x v="98"/>
    <n v="55300000"/>
  </r>
  <r>
    <x v="2"/>
    <x v="72"/>
    <s v="Cargill Biodiesel"/>
    <x v="84"/>
    <x v="13"/>
    <x v="1"/>
    <x v="99"/>
    <n v="69350000"/>
  </r>
  <r>
    <x v="2"/>
    <x v="4"/>
    <s v="Pacific Ethanol Holding Co LLC"/>
    <x v="4"/>
    <x v="3"/>
    <x v="0"/>
    <x v="100"/>
    <n v="185000000"/>
  </r>
  <r>
    <x v="2"/>
    <x v="8"/>
    <s v="Consolidated Biofuels Ltd."/>
    <x v="10"/>
    <x v="7"/>
    <x v="1"/>
    <x v="101"/>
    <n v="51038199"/>
  </r>
  <r>
    <x v="2"/>
    <x v="66"/>
    <s v="Siouxland Energy Cooperative"/>
    <x v="75"/>
    <x v="13"/>
    <x v="0"/>
    <x v="102"/>
    <n v="290756447"/>
  </r>
  <r>
    <x v="2"/>
    <x v="12"/>
    <s v="Redfield Energy,"/>
    <x v="14"/>
    <x v="10"/>
    <x v="0"/>
    <x v="103"/>
    <n v="290756447"/>
  </r>
  <r>
    <x v="2"/>
    <x v="13"/>
    <s v="Bushmills Ethanol, Inc."/>
    <x v="15"/>
    <x v="2"/>
    <x v="0"/>
    <x v="104"/>
    <n v="1178801445"/>
  </r>
  <r>
    <x v="2"/>
    <x v="17"/>
    <s v="REG Albert Lea"/>
    <x v="20"/>
    <x v="2"/>
    <x v="1"/>
    <x v="105"/>
    <n v="124083333.33333333"/>
  </r>
  <r>
    <x v="2"/>
    <x v="19"/>
    <s v="FutureFuel Chemical Company"/>
    <x v="23"/>
    <x v="14"/>
    <x v="1"/>
    <x v="106"/>
    <n v="110000000"/>
  </r>
  <r>
    <x v="2"/>
    <x v="20"/>
    <s v="Poet Biorefining-Chancellor"/>
    <x v="24"/>
    <x v="10"/>
    <x v="0"/>
    <x v="107"/>
    <n v="80000000"/>
  </r>
  <r>
    <x v="2"/>
    <x v="22"/>
    <s v="Yuma Ethanol, LLC"/>
    <x v="26"/>
    <x v="15"/>
    <x v="0"/>
    <x v="108"/>
    <n v="65000000"/>
  </r>
  <r>
    <x v="2"/>
    <x v="25"/>
    <s v="Trenton Agri Products LLC"/>
    <x v="29"/>
    <x v="0"/>
    <x v="0"/>
    <x v="109"/>
    <n v="81555600"/>
  </r>
  <r>
    <x v="2"/>
    <x v="27"/>
    <s v="Glacial Lakes Corn Processors"/>
    <x v="17"/>
    <x v="10"/>
    <x v="0"/>
    <x v="110"/>
    <n v="40000000"/>
  </r>
  <r>
    <x v="2"/>
    <x v="27"/>
    <s v="Glacial Lakes Corn Processors"/>
    <x v="31"/>
    <x v="10"/>
    <x v="0"/>
    <x v="111"/>
    <n v="81555600"/>
  </r>
  <r>
    <x v="2"/>
    <x v="28"/>
    <s v="Sterling Ethanol, LLC"/>
    <x v="33"/>
    <x v="15"/>
    <x v="0"/>
    <x v="112"/>
    <n v="5000000"/>
  </r>
  <r>
    <x v="2"/>
    <x v="32"/>
    <s v="Poet Biorefining-Hudson"/>
    <x v="37"/>
    <x v="10"/>
    <x v="0"/>
    <x v="113"/>
    <n v="30000000"/>
  </r>
  <r>
    <x v="2"/>
    <x v="35"/>
    <s v="Red Trail Energy LLC"/>
    <x v="40"/>
    <x v="16"/>
    <x v="0"/>
    <x v="84"/>
    <n v="75000000"/>
  </r>
  <r>
    <x v="2"/>
    <x v="36"/>
    <s v="Chippewa Valley Ethanol Company LLLP"/>
    <x v="41"/>
    <x v="2"/>
    <x v="0"/>
    <x v="85"/>
    <n v="75000000"/>
  </r>
  <r>
    <x v="2"/>
    <x v="68"/>
    <s v="KAAPA Ethanol Holdings, LLC"/>
    <x v="78"/>
    <x v="0"/>
    <x v="0"/>
    <x v="86"/>
    <n v="75000000"/>
  </r>
  <r>
    <x v="2"/>
    <x v="37"/>
    <s v="Dakota Ethanol, LLC"/>
    <x v="42"/>
    <x v="10"/>
    <x v="0"/>
    <x v="114"/>
    <n v="30000000"/>
  </r>
  <r>
    <x v="2"/>
    <x v="39"/>
    <s v="E Energy Adams, LLC"/>
    <x v="44"/>
    <x v="0"/>
    <x v="0"/>
    <x v="115"/>
    <n v="30000000"/>
  </r>
  <r>
    <x v="2"/>
    <x v="43"/>
    <s v="SIOUXLAND ETHANOL, LLC"/>
    <x v="49"/>
    <x v="0"/>
    <x v="0"/>
    <x v="116"/>
    <n v="30000000"/>
  </r>
  <r>
    <x v="2"/>
    <x v="47"/>
    <s v="Husker Ag LLC"/>
    <x v="53"/>
    <x v="0"/>
    <x v="0"/>
    <x v="117"/>
    <n v="108983768"/>
  </r>
  <r>
    <x v="2"/>
    <x v="48"/>
    <s v="Mid America Agri Products/Wheatland, LLC"/>
    <x v="54"/>
    <x v="0"/>
    <x v="0"/>
    <x v="118"/>
    <n v="82125000"/>
  </r>
  <r>
    <x v="2"/>
    <x v="73"/>
    <s v="U.S. Venture, Inc."/>
    <x v="85"/>
    <x v="22"/>
    <x v="4"/>
    <x v="119"/>
    <n v="1229728258"/>
  </r>
  <r>
    <x v="2"/>
    <x v="73"/>
    <s v="U.S. Venture, Inc."/>
    <x v="86"/>
    <x v="0"/>
    <x v="4"/>
    <x v="120"/>
    <n v="31210800"/>
  </r>
  <r>
    <x v="2"/>
    <x v="51"/>
    <s v="Bridgeport Ethanol, LLC"/>
    <x v="57"/>
    <x v="0"/>
    <x v="0"/>
    <x v="121"/>
    <n v="82125000"/>
  </r>
  <r>
    <x v="2"/>
    <x v="55"/>
    <s v="SeQuential Pacific Biodiesel"/>
    <x v="61"/>
    <x v="3"/>
    <x v="1"/>
    <x v="122"/>
    <n v="53269178"/>
  </r>
  <r>
    <x v="2"/>
    <x v="56"/>
    <s v="REG Mason City"/>
    <x v="62"/>
    <x v="13"/>
    <x v="1"/>
    <x v="123"/>
    <n v="60000000"/>
  </r>
  <r>
    <x v="2"/>
    <x v="57"/>
    <s v="ADM AGRI-INDUSTRIES COMPANY"/>
    <x v="63"/>
    <x v="7"/>
    <x v="1"/>
    <x v="63"/>
    <n v="30000000"/>
  </r>
  <r>
    <x v="2"/>
    <x v="58"/>
    <s v="Hankinson Renewable Energy, LLC"/>
    <x v="64"/>
    <x v="16"/>
    <x v="0"/>
    <x v="124"/>
    <n v="82125000"/>
  </r>
  <r>
    <x v="2"/>
    <x v="59"/>
    <s v="REG Geismar, LLC"/>
    <x v="65"/>
    <x v="19"/>
    <x v="5"/>
    <x v="125"/>
    <n v="90000000"/>
  </r>
  <r>
    <x v="2"/>
    <x v="59"/>
    <s v="REG Geismar, LLC"/>
    <x v="65"/>
    <x v="19"/>
    <x v="2"/>
    <x v="126"/>
    <n v="90000000"/>
  </r>
  <r>
    <x v="2"/>
    <x v="70"/>
    <s v="Ring-neck Energy &amp; Feed"/>
    <x v="82"/>
    <x v="10"/>
    <x v="0"/>
    <x v="93"/>
    <n v="60000000"/>
  </r>
  <r>
    <x v="2"/>
    <x v="62"/>
    <s v="REG Grays Harbor LLC"/>
    <x v="69"/>
    <x v="1"/>
    <x v="1"/>
    <x v="95"/>
    <n v="84000000"/>
  </r>
  <r>
    <x v="2"/>
    <x v="74"/>
    <s v="EBI Energie inc."/>
    <x v="87"/>
    <x v="7"/>
    <x v="4"/>
    <x v="127"/>
    <n v="1730000000"/>
  </r>
  <r>
    <x v="2"/>
    <x v="71"/>
    <s v="Trillium Transportation Fuels, LLC"/>
    <x v="83"/>
    <x v="23"/>
    <x v="4"/>
    <x v="128"/>
    <n v="40000000"/>
  </r>
  <r>
    <x v="2"/>
    <x v="75"/>
    <s v="River Birch Landfill"/>
    <x v="88"/>
    <x v="19"/>
    <x v="4"/>
    <x v="119"/>
    <n v="525600000"/>
  </r>
  <r>
    <x v="2"/>
    <x v="76"/>
    <s v="3Degrees Group, Inc."/>
    <x v="89"/>
    <x v="5"/>
    <x v="6"/>
    <x v="129"/>
    <m/>
  </r>
  <r>
    <x v="3"/>
    <x v="77"/>
    <s v="River Birch Landfill"/>
    <x v="88"/>
    <x v="19"/>
    <x v="4"/>
    <x v="119"/>
    <n v="525600000"/>
  </r>
  <r>
    <x v="3"/>
    <x v="78"/>
    <s v="3Degrees Group, Inc."/>
    <x v="90"/>
    <x v="5"/>
    <x v="6"/>
    <x v="129"/>
    <m/>
  </r>
  <r>
    <x v="3"/>
    <x v="79"/>
    <s v="Dakota Prairie Refining"/>
    <x v="91"/>
    <x v="16"/>
    <x v="2"/>
    <x v="130"/>
    <n v="184000000"/>
  </r>
  <r>
    <x v="3"/>
    <x v="65"/>
    <s v="REG Newton, LLC"/>
    <x v="72"/>
    <x v="13"/>
    <x v="1"/>
    <x v="98"/>
    <n v="30000000"/>
  </r>
  <r>
    <x v="3"/>
    <x v="80"/>
    <s v="REG Seneca"/>
    <x v="92"/>
    <x v="24"/>
    <x v="1"/>
    <x v="131"/>
    <n v="60000000"/>
  </r>
  <r>
    <x v="3"/>
    <x v="72"/>
    <s v="Cargill Biodiesel"/>
    <x v="84"/>
    <x v="13"/>
    <x v="1"/>
    <x v="99"/>
    <n v="69350000"/>
  </r>
  <r>
    <x v="3"/>
    <x v="4"/>
    <s v="Pacific Ethanol Holding Co LLC"/>
    <x v="4"/>
    <x v="3"/>
    <x v="0"/>
    <x v="100"/>
    <n v="43045800"/>
  </r>
  <r>
    <x v="3"/>
    <x v="8"/>
    <s v="Consolidated Biofuels Ltd."/>
    <x v="10"/>
    <x v="7"/>
    <x v="1"/>
    <x v="101"/>
    <n v="489175"/>
  </r>
  <r>
    <x v="3"/>
    <x v="9"/>
    <s v="Sinclair Wyoming Refining Company"/>
    <x v="11"/>
    <x v="8"/>
    <x v="2"/>
    <x v="74"/>
    <n v="108983768"/>
  </r>
  <r>
    <x v="3"/>
    <x v="66"/>
    <s v="Siouxland Energy Cooperative"/>
    <x v="75"/>
    <x v="13"/>
    <x v="0"/>
    <x v="102"/>
    <n v="70000000"/>
  </r>
  <r>
    <x v="3"/>
    <x v="12"/>
    <s v="Redfield Energy,"/>
    <x v="14"/>
    <x v="10"/>
    <x v="0"/>
    <x v="103"/>
    <n v="70000000"/>
  </r>
  <r>
    <x v="3"/>
    <x v="13"/>
    <s v="Bushmills Ethanol, Inc."/>
    <x v="15"/>
    <x v="2"/>
    <x v="0"/>
    <x v="104"/>
    <n v="65000000"/>
  </r>
  <r>
    <x v="3"/>
    <x v="15"/>
    <s v="Neste Singapore Pte Ltd"/>
    <x v="18"/>
    <x v="11"/>
    <x v="2"/>
    <x v="132"/>
    <n v="290756447"/>
  </r>
  <r>
    <x v="3"/>
    <x v="17"/>
    <s v="REG Albert Lea"/>
    <x v="20"/>
    <x v="2"/>
    <x v="1"/>
    <x v="105"/>
    <n v="30000000"/>
  </r>
  <r>
    <x v="3"/>
    <x v="67"/>
    <s v="BP Products North America Inc."/>
    <x v="76"/>
    <x v="1"/>
    <x v="2"/>
    <x v="133"/>
    <n v="42438039"/>
  </r>
  <r>
    <x v="3"/>
    <x v="81"/>
    <s v="Phillips 66"/>
    <x v="93"/>
    <x v="5"/>
    <x v="2"/>
    <x v="133"/>
    <n v="180000000"/>
  </r>
  <r>
    <x v="3"/>
    <x v="19"/>
    <s v="FutureFuel Chemical Company"/>
    <x v="23"/>
    <x v="14"/>
    <x v="1"/>
    <x v="106"/>
    <n v="59000000"/>
  </r>
  <r>
    <x v="3"/>
    <x v="20"/>
    <s v="Poet Biorefining-Chancellor"/>
    <x v="24"/>
    <x v="10"/>
    <x v="0"/>
    <x v="107"/>
    <n v="128722000"/>
  </r>
  <r>
    <x v="3"/>
    <x v="22"/>
    <s v="Yuma Ethanol, LLC"/>
    <x v="26"/>
    <x v="15"/>
    <x v="0"/>
    <x v="108"/>
    <n v="60000000"/>
  </r>
  <r>
    <x v="3"/>
    <x v="25"/>
    <s v="Trenton Agri Products LLC"/>
    <x v="29"/>
    <x v="0"/>
    <x v="0"/>
    <x v="109"/>
    <n v="55000000"/>
  </r>
  <r>
    <x v="3"/>
    <x v="27"/>
    <s v="Glacial Lakes Corn Processors"/>
    <x v="16"/>
    <x v="10"/>
    <x v="0"/>
    <x v="134"/>
    <n v="61000000"/>
  </r>
  <r>
    <x v="3"/>
    <x v="27"/>
    <s v="Glacial Lakes Corn Processors"/>
    <x v="17"/>
    <x v="10"/>
    <x v="0"/>
    <x v="110"/>
    <n v="40000000"/>
  </r>
  <r>
    <x v="3"/>
    <x v="27"/>
    <s v="Glacial Lakes Corn Processors"/>
    <x v="31"/>
    <x v="10"/>
    <x v="0"/>
    <x v="111"/>
    <n v="162000000"/>
  </r>
  <r>
    <x v="3"/>
    <x v="28"/>
    <s v="Sterling Ethanol, LLC"/>
    <x v="33"/>
    <x v="15"/>
    <x v="0"/>
    <x v="112"/>
    <n v="60000000"/>
  </r>
  <r>
    <x v="3"/>
    <x v="32"/>
    <s v="Poet Biorefining-Hudson"/>
    <x v="37"/>
    <x v="10"/>
    <x v="0"/>
    <x v="113"/>
    <n v="70000000"/>
  </r>
  <r>
    <x v="3"/>
    <x v="35"/>
    <s v="Red Trail Energy LLC"/>
    <x v="40"/>
    <x v="16"/>
    <x v="0"/>
    <x v="84"/>
    <n v="69949425"/>
  </r>
  <r>
    <x v="3"/>
    <x v="36"/>
    <s v="Chippewa Valley Ethanol Company LLLP"/>
    <x v="41"/>
    <x v="2"/>
    <x v="0"/>
    <x v="85"/>
    <n v="53269178"/>
  </r>
  <r>
    <x v="3"/>
    <x v="68"/>
    <s v="KAAPA Ethanol Holdings, LLC"/>
    <x v="78"/>
    <x v="0"/>
    <x v="0"/>
    <x v="86"/>
    <n v="130000000"/>
  </r>
  <r>
    <x v="3"/>
    <x v="37"/>
    <s v="Dakota Ethanol, LLC"/>
    <x v="42"/>
    <x v="10"/>
    <x v="0"/>
    <x v="114"/>
    <n v="60000000"/>
  </r>
  <r>
    <x v="3"/>
    <x v="39"/>
    <s v="E Energy Adams, LLC"/>
    <x v="44"/>
    <x v="0"/>
    <x v="0"/>
    <x v="115"/>
    <n v="84000000"/>
  </r>
  <r>
    <x v="3"/>
    <x v="43"/>
    <s v="SIOUXLAND ETHANOL, LLC"/>
    <x v="49"/>
    <x v="0"/>
    <x v="0"/>
    <x v="116"/>
    <n v="82125000"/>
  </r>
  <r>
    <x v="3"/>
    <x v="47"/>
    <s v="Husker Ag LLC"/>
    <x v="53"/>
    <x v="0"/>
    <x v="0"/>
    <x v="117"/>
    <n v="109000000"/>
  </r>
  <r>
    <x v="3"/>
    <x v="48"/>
    <s v="Mid America Agri Products/Wheatland, LLC"/>
    <x v="54"/>
    <x v="0"/>
    <x v="0"/>
    <x v="118"/>
    <n v="46000000"/>
  </r>
  <r>
    <x v="3"/>
    <x v="73"/>
    <s v="U.S. Venture, Inc."/>
    <x v="94"/>
    <x v="25"/>
    <x v="4"/>
    <x v="135"/>
    <n v="816730"/>
  </r>
  <r>
    <x v="3"/>
    <x v="73"/>
    <s v="U.S. Venture, Inc."/>
    <x v="85"/>
    <x v="22"/>
    <x v="4"/>
    <x v="119"/>
    <n v="619749837"/>
  </r>
  <r>
    <x v="3"/>
    <x v="73"/>
    <s v="U.S. Venture, Inc."/>
    <x v="95"/>
    <x v="1"/>
    <x v="4"/>
    <x v="135"/>
    <n v="1515785"/>
  </r>
  <r>
    <x v="3"/>
    <x v="73"/>
    <s v="U.S. Venture, Inc."/>
    <x v="86"/>
    <x v="0"/>
    <x v="4"/>
    <x v="120"/>
    <n v="31210800"/>
  </r>
  <r>
    <x v="3"/>
    <x v="51"/>
    <s v="Bridgeport Ethanol, LLC"/>
    <x v="57"/>
    <x v="0"/>
    <x v="0"/>
    <x v="121"/>
    <n v="49000000"/>
  </r>
  <r>
    <x v="3"/>
    <x v="55"/>
    <s v="SeQuential Pacific Biodiesel"/>
    <x v="61"/>
    <x v="3"/>
    <x v="1"/>
    <x v="136"/>
    <n v="17000000"/>
  </r>
  <r>
    <x v="3"/>
    <x v="56"/>
    <s v="REG Mason City"/>
    <x v="62"/>
    <x v="13"/>
    <x v="1"/>
    <x v="123"/>
    <n v="30000000"/>
  </r>
  <r>
    <x v="3"/>
    <x v="57"/>
    <s v="ADM AGRI-INDUSTRIES COMPANY"/>
    <x v="63"/>
    <x v="7"/>
    <x v="1"/>
    <x v="137"/>
    <n v="69960000"/>
  </r>
  <r>
    <x v="3"/>
    <x v="58"/>
    <s v="Hankinson Renewable Energy, LLC"/>
    <x v="64"/>
    <x v="16"/>
    <x v="0"/>
    <x v="124"/>
    <n v="145000000"/>
  </r>
  <r>
    <x v="3"/>
    <x v="59"/>
    <s v="REG Geismar, LLC"/>
    <x v="65"/>
    <x v="19"/>
    <x v="5"/>
    <x v="125"/>
    <n v="75000000"/>
  </r>
  <r>
    <x v="3"/>
    <x v="59"/>
    <s v="REG Geismar, LLC"/>
    <x v="65"/>
    <x v="19"/>
    <x v="2"/>
    <x v="126"/>
    <n v="75000000"/>
  </r>
  <r>
    <x v="3"/>
    <x v="59"/>
    <s v="REG Geismar, LLC"/>
    <x v="65"/>
    <x v="19"/>
    <x v="7"/>
    <x v="131"/>
    <n v="75000000"/>
  </r>
  <r>
    <x v="3"/>
    <x v="70"/>
    <s v="Ring-neck Energy &amp; Feed"/>
    <x v="82"/>
    <x v="10"/>
    <x v="0"/>
    <x v="93"/>
    <n v="105000000"/>
  </r>
  <r>
    <x v="3"/>
    <x v="62"/>
    <s v="REG Grays Harbor LLC"/>
    <x v="69"/>
    <x v="1"/>
    <x v="1"/>
    <x v="95"/>
    <n v="100000000"/>
  </r>
  <r>
    <x v="3"/>
    <x v="74"/>
    <s v="EBI Energie inc."/>
    <x v="87"/>
    <x v="7"/>
    <x v="4"/>
    <x v="127"/>
    <n v="1730000000"/>
  </r>
  <r>
    <x v="3"/>
    <x v="71"/>
    <s v="Trillium Transportation Fuels, LLC"/>
    <x v="83"/>
    <x v="23"/>
    <x v="4"/>
    <x v="128"/>
    <n v="138500000"/>
  </r>
  <r>
    <x v="3"/>
    <x v="82"/>
    <s v="TRUSTAR ENERGY LLC"/>
    <x v="96"/>
    <x v="26"/>
    <x v="4"/>
    <x v="138"/>
    <n v="2147483"/>
  </r>
  <r>
    <x v="4"/>
    <x v="79"/>
    <s v="Dakota Prairie Refining"/>
    <x v="91"/>
    <x v="16"/>
    <x v="2"/>
    <x v="139"/>
    <n v="184000000"/>
  </r>
  <r>
    <x v="4"/>
    <x v="83"/>
    <s v="Canary Biofuels Inc."/>
    <x v="97"/>
    <x v="7"/>
    <x v="1"/>
    <x v="140"/>
    <n v="20000000"/>
  </r>
  <r>
    <x v="4"/>
    <x v="83"/>
    <s v="Canary Biofuels Inc."/>
    <x v="97"/>
    <x v="7"/>
    <x v="2"/>
    <x v="133"/>
    <n v="20000000"/>
  </r>
  <r>
    <x v="4"/>
    <x v="65"/>
    <s v="REG Newton, LLC"/>
    <x v="72"/>
    <x v="13"/>
    <x v="1"/>
    <x v="98"/>
    <n v="55300000"/>
  </r>
  <r>
    <x v="4"/>
    <x v="80"/>
    <s v="REG Seneca"/>
    <x v="92"/>
    <x v="24"/>
    <x v="1"/>
    <x v="141"/>
    <n v="60000000"/>
  </r>
  <r>
    <x v="4"/>
    <x v="72"/>
    <s v="Cargill Biodiesel"/>
    <x v="84"/>
    <x v="13"/>
    <x v="1"/>
    <x v="142"/>
    <n v="69350000"/>
  </r>
  <r>
    <x v="4"/>
    <x v="4"/>
    <s v="Pacific Ethanol Holding Co LLC"/>
    <x v="4"/>
    <x v="3"/>
    <x v="0"/>
    <x v="100"/>
    <n v="40000000"/>
  </r>
  <r>
    <x v="4"/>
    <x v="84"/>
    <s v="REG DANVILLE, LLC"/>
    <x v="98"/>
    <x v="24"/>
    <x v="1"/>
    <x v="143"/>
    <n v="60000000"/>
  </r>
  <r>
    <x v="4"/>
    <x v="85"/>
    <s v="Thumb BioEnergy, LLC"/>
    <x v="99"/>
    <x v="27"/>
    <x v="1"/>
    <x v="144"/>
    <n v="750000"/>
  </r>
  <r>
    <x v="4"/>
    <x v="8"/>
    <s v="Consolidated Biofuels Ltd."/>
    <x v="10"/>
    <x v="7"/>
    <x v="1"/>
    <x v="101"/>
    <n v="51038199"/>
  </r>
  <r>
    <x v="4"/>
    <x v="9"/>
    <s v="Sinclair Wyoming Refining Company"/>
    <x v="11"/>
    <x v="8"/>
    <x v="2"/>
    <x v="74"/>
    <n v="70000000"/>
  </r>
  <r>
    <x v="4"/>
    <x v="66"/>
    <s v="Siouxland Energy Cooperative"/>
    <x v="75"/>
    <x v="13"/>
    <x v="0"/>
    <x v="145"/>
    <n v="290756447"/>
  </r>
  <r>
    <x v="4"/>
    <x v="12"/>
    <s v="Redfield Energy,"/>
    <x v="14"/>
    <x v="10"/>
    <x v="0"/>
    <x v="103"/>
    <n v="70000000"/>
  </r>
  <r>
    <x v="4"/>
    <x v="13"/>
    <s v="Bushmills Ethanol, Inc."/>
    <x v="15"/>
    <x v="2"/>
    <x v="0"/>
    <x v="104"/>
    <n v="65000000"/>
  </r>
  <r>
    <x v="4"/>
    <x v="15"/>
    <s v="Neste Singapore Pte Ltd"/>
    <x v="18"/>
    <x v="11"/>
    <x v="2"/>
    <x v="146"/>
    <n v="116000000"/>
  </r>
  <r>
    <x v="4"/>
    <x v="17"/>
    <s v="REG Albert Lea"/>
    <x v="20"/>
    <x v="2"/>
    <x v="1"/>
    <x v="147"/>
    <n v="130000000"/>
  </r>
  <r>
    <x v="4"/>
    <x v="67"/>
    <s v="BP Products North America Inc."/>
    <x v="76"/>
    <x v="1"/>
    <x v="2"/>
    <x v="148"/>
    <n v="109000000"/>
  </r>
  <r>
    <x v="4"/>
    <x v="81"/>
    <s v="Phillips 66"/>
    <x v="100"/>
    <x v="5"/>
    <x v="2"/>
    <x v="149"/>
    <n v="180000000"/>
  </r>
  <r>
    <x v="4"/>
    <x v="18"/>
    <s v="Ag Processing, Inc."/>
    <x v="21"/>
    <x v="13"/>
    <x v="1"/>
    <x v="150"/>
    <n v="75508819"/>
  </r>
  <r>
    <x v="4"/>
    <x v="18"/>
    <s v="Ag Processing, Inc."/>
    <x v="22"/>
    <x v="12"/>
    <x v="1"/>
    <x v="151"/>
    <n v="41601085"/>
  </r>
  <r>
    <x v="4"/>
    <x v="19"/>
    <s v="FutureFuel Chemical Company"/>
    <x v="23"/>
    <x v="14"/>
    <x v="1"/>
    <x v="106"/>
    <n v="110000000"/>
  </r>
  <r>
    <x v="4"/>
    <x v="20"/>
    <s v="Poet Biorefining-Chancellor"/>
    <x v="24"/>
    <x v="10"/>
    <x v="0"/>
    <x v="152"/>
    <n v="80000000"/>
  </r>
  <r>
    <x v="4"/>
    <x v="22"/>
    <s v="Yuma Ethanol, LLC"/>
    <x v="26"/>
    <x v="15"/>
    <x v="0"/>
    <x v="108"/>
    <n v="65000000"/>
  </r>
  <r>
    <x v="4"/>
    <x v="23"/>
    <s v="Poet Biorefining-Big Stone"/>
    <x v="27"/>
    <x v="10"/>
    <x v="0"/>
    <x v="153"/>
    <n v="90000000"/>
  </r>
  <r>
    <x v="4"/>
    <x v="25"/>
    <s v="Trenton Agri Products LLC"/>
    <x v="29"/>
    <x v="0"/>
    <x v="0"/>
    <x v="154"/>
    <n v="81555600"/>
  </r>
  <r>
    <x v="4"/>
    <x v="27"/>
    <s v="Glacial Lakes Corn Processors"/>
    <x v="100"/>
    <x v="10"/>
    <x v="0"/>
    <x v="155"/>
    <n v="47000000"/>
  </r>
  <r>
    <x v="4"/>
    <x v="27"/>
    <s v="Glacial Lakes Corn Processors"/>
    <x v="31"/>
    <x v="10"/>
    <x v="0"/>
    <x v="111"/>
    <n v="81555600"/>
  </r>
  <r>
    <x v="4"/>
    <x v="27"/>
    <s v="Glacial Lakes Corn Processors"/>
    <x v="32"/>
    <x v="10"/>
    <x v="0"/>
    <x v="156"/>
    <n v="148000000"/>
  </r>
  <r>
    <x v="4"/>
    <x v="28"/>
    <s v="Sterling Ethanol, LLC"/>
    <x v="33"/>
    <x v="15"/>
    <x v="0"/>
    <x v="112"/>
    <n v="5000000"/>
  </r>
  <r>
    <x v="4"/>
    <x v="30"/>
    <s v="Poet Biorefining-Coon Rapids"/>
    <x v="35"/>
    <x v="13"/>
    <x v="0"/>
    <x v="157"/>
    <n v="60000000"/>
  </r>
  <r>
    <x v="4"/>
    <x v="86"/>
    <s v="Poet Biorefining-Jewell"/>
    <x v="101"/>
    <x v="13"/>
    <x v="0"/>
    <x v="158"/>
    <n v="90000000"/>
  </r>
  <r>
    <x v="4"/>
    <x v="31"/>
    <s v="Poet Biorefining-Mitchell"/>
    <x v="36"/>
    <x v="10"/>
    <x v="0"/>
    <x v="159"/>
    <n v="81555600"/>
  </r>
  <r>
    <x v="4"/>
    <x v="32"/>
    <s v="Poet Biorefining-Hudson"/>
    <x v="37"/>
    <x v="10"/>
    <x v="0"/>
    <x v="160"/>
    <n v="30000000"/>
  </r>
  <r>
    <x v="4"/>
    <x v="34"/>
    <s v="Poet Biorefining-Groton"/>
    <x v="77"/>
    <x v="10"/>
    <x v="0"/>
    <x v="161"/>
    <n v="65000000"/>
  </r>
  <r>
    <x v="4"/>
    <x v="35"/>
    <s v="Red Trail Energy LLC"/>
    <x v="40"/>
    <x v="10"/>
    <x v="0"/>
    <x v="162"/>
    <n v="75000000"/>
  </r>
  <r>
    <x v="4"/>
    <x v="36"/>
    <s v="Chippewa Valley Ethanol Company LLLP"/>
    <x v="41"/>
    <x v="2"/>
    <x v="0"/>
    <x v="85"/>
    <n v="75000000"/>
  </r>
  <r>
    <x v="4"/>
    <x v="68"/>
    <s v="KAAPA Ethanol Holdings, LLC"/>
    <x v="78"/>
    <x v="0"/>
    <x v="0"/>
    <x v="163"/>
    <n v="75000000"/>
  </r>
  <r>
    <x v="4"/>
    <x v="37"/>
    <s v="Dakota Ethanol, LLC"/>
    <x v="42"/>
    <x v="10"/>
    <x v="0"/>
    <x v="114"/>
    <n v="30000000"/>
  </r>
  <r>
    <x v="4"/>
    <x v="39"/>
    <s v="E Energy Adams, LLC"/>
    <x v="44"/>
    <x v="0"/>
    <x v="0"/>
    <x v="164"/>
    <n v="30000000"/>
  </r>
  <r>
    <x v="4"/>
    <x v="42"/>
    <s v="Archer Daniels Midland Company"/>
    <x v="48"/>
    <x v="16"/>
    <x v="1"/>
    <x v="165"/>
    <n v="94500000"/>
  </r>
  <r>
    <x v="4"/>
    <x v="43"/>
    <s v="SIOUXLAND ETHANOL, LLC"/>
    <x v="49"/>
    <x v="0"/>
    <x v="0"/>
    <x v="166"/>
    <n v="105000000"/>
  </r>
  <r>
    <x v="4"/>
    <x v="44"/>
    <s v="Poet Biorefining-Corning"/>
    <x v="50"/>
    <x v="13"/>
    <x v="0"/>
    <x v="167"/>
    <n v="80000000"/>
  </r>
  <r>
    <x v="4"/>
    <x v="47"/>
    <s v="Husker Ag LLC"/>
    <x v="53"/>
    <x v="0"/>
    <x v="0"/>
    <x v="168"/>
    <n v="108983768"/>
  </r>
  <r>
    <x v="4"/>
    <x v="48"/>
    <s v="Mid America Agri Products/Wheatland, LLC"/>
    <x v="54"/>
    <x v="0"/>
    <x v="0"/>
    <x v="169"/>
    <n v="82125000"/>
  </r>
  <r>
    <x v="4"/>
    <x v="73"/>
    <s v="U.S. Venture, Inc."/>
    <x v="100"/>
    <x v="22"/>
    <x v="4"/>
    <x v="170"/>
    <n v="1229728258"/>
  </r>
  <r>
    <x v="4"/>
    <x v="73"/>
    <s v="U.S. Venture, Inc."/>
    <x v="102"/>
    <x v="25"/>
    <x v="4"/>
    <x v="135"/>
    <n v="2680560"/>
  </r>
  <r>
    <x v="4"/>
    <x v="51"/>
    <s v="Bridgeport Ethanol, LLC"/>
    <x v="57"/>
    <x v="0"/>
    <x v="0"/>
    <x v="121"/>
    <n v="82125000"/>
  </r>
  <r>
    <x v="4"/>
    <x v="52"/>
    <s v="Dansuk Industrial Co., LTD."/>
    <x v="80"/>
    <x v="18"/>
    <x v="1"/>
    <x v="90"/>
    <n v="5000000"/>
  </r>
  <r>
    <x v="4"/>
    <x v="87"/>
    <s v="DELEK RENEWABLES, LLC"/>
    <x v="103"/>
    <x v="22"/>
    <x v="1"/>
    <x v="171"/>
    <n v="13000000"/>
  </r>
  <r>
    <x v="4"/>
    <x v="87"/>
    <s v="DELEK RENEWABLES, LLC"/>
    <x v="104"/>
    <x v="14"/>
    <x v="1"/>
    <x v="172"/>
    <n v="14000000"/>
  </r>
  <r>
    <x v="4"/>
    <x v="87"/>
    <s v="DELEK RENEWABLES, LLC"/>
    <x v="105"/>
    <x v="28"/>
    <x v="1"/>
    <x v="173"/>
    <n v="12000000"/>
  </r>
  <r>
    <x v="4"/>
    <x v="55"/>
    <s v="SeQuential Pacific Biodiesel"/>
    <x v="61"/>
    <x v="3"/>
    <x v="1"/>
    <x v="122"/>
    <n v="17000000"/>
  </r>
  <r>
    <x v="4"/>
    <x v="56"/>
    <s v="REG Mason City"/>
    <x v="62"/>
    <x v="13"/>
    <x v="1"/>
    <x v="123"/>
    <n v="60000000"/>
  </r>
  <r>
    <x v="4"/>
    <x v="57"/>
    <s v="ADM AGRI-INDUSTRIES COMPANY"/>
    <x v="63"/>
    <x v="7"/>
    <x v="1"/>
    <x v="174"/>
    <n v="30000000"/>
  </r>
  <r>
    <x v="4"/>
    <x v="58"/>
    <s v="Hankinson Renewable Energy, LLC"/>
    <x v="64"/>
    <x v="16"/>
    <x v="0"/>
    <x v="124"/>
    <n v="82125000"/>
  </r>
  <r>
    <x v="4"/>
    <x v="88"/>
    <s v="SENECA ENERGY II, LLC"/>
    <x v="106"/>
    <x v="29"/>
    <x v="4"/>
    <x v="175"/>
    <n v="1523953577"/>
  </r>
  <r>
    <x v="4"/>
    <x v="59"/>
    <s v="REG Geismar, LLC"/>
    <x v="65"/>
    <x v="19"/>
    <x v="2"/>
    <x v="126"/>
    <n v="34675000"/>
  </r>
  <r>
    <x v="4"/>
    <x v="59"/>
    <s v="REG Geismar, LLC"/>
    <x v="65"/>
    <x v="19"/>
    <x v="7"/>
    <x v="176"/>
    <n v="34675000"/>
  </r>
  <r>
    <x v="4"/>
    <x v="70"/>
    <s v="Ring-neck Energy &amp; Feed"/>
    <x v="82"/>
    <x v="10"/>
    <x v="0"/>
    <x v="93"/>
    <n v="60000000"/>
  </r>
  <r>
    <x v="4"/>
    <x v="60"/>
    <s v="WM Renewable Energy, LLC"/>
    <x v="66"/>
    <x v="20"/>
    <x v="4"/>
    <x v="177"/>
    <n v="1178801445"/>
  </r>
  <r>
    <x v="4"/>
    <x v="62"/>
    <s v="REG Grays Harbor LLC"/>
    <x v="69"/>
    <x v="1"/>
    <x v="1"/>
    <x v="95"/>
    <n v="84000000"/>
  </r>
  <r>
    <x v="4"/>
    <x v="74"/>
    <s v="EBI Energie inc."/>
    <x v="87"/>
    <x v="7"/>
    <x v="4"/>
    <x v="127"/>
    <n v="1730000000"/>
  </r>
  <r>
    <x v="4"/>
    <x v="71"/>
    <s v="Trillium Transportation Fuels, LLC"/>
    <x v="83"/>
    <x v="23"/>
    <x v="4"/>
    <x v="128"/>
    <n v="1385"/>
  </r>
  <r>
    <x v="4"/>
    <x v="82"/>
    <s v="Opal Fuels Station Services LLC"/>
    <x v="107"/>
    <x v="26"/>
    <x v="4"/>
    <x v="178"/>
    <n v="2102000000"/>
  </r>
  <r>
    <x v="4"/>
    <x v="82"/>
    <s v="Opal Fuels Station Services LLC"/>
    <x v="96"/>
    <x v="26"/>
    <x v="4"/>
    <x v="179"/>
    <n v="2147483647"/>
  </r>
  <r>
    <x v="4"/>
    <x v="75"/>
    <s v="River Birch Landfill"/>
    <x v="88"/>
    <x v="19"/>
    <x v="4"/>
    <x v="119"/>
    <n v="525600000"/>
  </r>
  <r>
    <x v="4"/>
    <x v="89"/>
    <s v="CleanFuture, Inc."/>
    <x v="108"/>
    <x v="3"/>
    <x v="8"/>
    <x v="180"/>
    <n v="850000"/>
  </r>
  <r>
    <x v="4"/>
    <x v="89"/>
    <s v="CleanFuture, Inc."/>
    <x v="109"/>
    <x v="1"/>
    <x v="8"/>
    <x v="181"/>
    <n v="3500000"/>
  </r>
  <r>
    <x v="4"/>
    <x v="89"/>
    <s v="CleanFuture, Inc."/>
    <x v="110"/>
    <x v="5"/>
    <x v="8"/>
    <x v="182"/>
    <n v="450000"/>
  </r>
  <r>
    <x v="4"/>
    <x v="89"/>
    <s v="Degrees3 Transportation Solutions, LLC"/>
    <x v="111"/>
    <x v="4"/>
    <x v="8"/>
    <x v="183"/>
    <n v="17520000"/>
  </r>
  <r>
    <x v="4"/>
    <x v="89"/>
    <s v="Degrees3 Transportation Solutions, LLC"/>
    <x v="112"/>
    <x v="30"/>
    <x v="8"/>
    <x v="184"/>
    <n v="14016000"/>
  </r>
  <r>
    <x v="4"/>
    <x v="76"/>
    <s v="3Degrees Group, Inc."/>
    <x v="89"/>
    <x v="5"/>
    <x v="6"/>
    <x v="185"/>
    <m/>
  </r>
  <r>
    <x v="5"/>
    <x v="79"/>
    <s v="Marathon Dickinson Refinery"/>
    <x v="91"/>
    <x v="16"/>
    <x v="2"/>
    <x v="186"/>
    <n v="184000000"/>
  </r>
  <r>
    <x v="5"/>
    <x v="79"/>
    <s v="Marathon Dickinson Refinery"/>
    <x v="91"/>
    <x v="16"/>
    <x v="9"/>
    <x v="187"/>
    <n v="184000000"/>
  </r>
  <r>
    <x v="5"/>
    <x v="90"/>
    <s v="Wyoming Renewable Diesel Company LLC."/>
    <x v="11"/>
    <x v="8"/>
    <x v="2"/>
    <x v="188"/>
    <n v="153300000"/>
  </r>
  <r>
    <x v="5"/>
    <x v="83"/>
    <s v="Canary 1"/>
    <x v="97"/>
    <x v="7"/>
    <x v="1"/>
    <x v="189"/>
    <n v="20000000"/>
  </r>
  <r>
    <x v="5"/>
    <x v="91"/>
    <s v="GREAT FALLS FACILITY"/>
    <x v="113"/>
    <x v="31"/>
    <x v="2"/>
    <x v="140"/>
    <n v="137970000"/>
  </r>
  <r>
    <x v="5"/>
    <x v="91"/>
    <s v="GREAT FALLS FACILITY"/>
    <x v="113"/>
    <x v="31"/>
    <x v="9"/>
    <x v="140"/>
    <n v="15330000"/>
  </r>
  <r>
    <x v="5"/>
    <x v="65"/>
    <s v="REG Newton, LLC"/>
    <x v="72"/>
    <x v="13"/>
    <x v="1"/>
    <x v="98"/>
    <n v="55300000"/>
  </r>
  <r>
    <x v="5"/>
    <x v="80"/>
    <s v="REG Seneca, LLC"/>
    <x v="92"/>
    <x v="24"/>
    <x v="1"/>
    <x v="190"/>
    <n v="60000000"/>
  </r>
  <r>
    <x v="5"/>
    <x v="72"/>
    <s v="Cargill Biodiesel"/>
    <x v="84"/>
    <x v="13"/>
    <x v="1"/>
    <x v="191"/>
    <n v="69350000"/>
  </r>
  <r>
    <x v="5"/>
    <x v="72"/>
    <s v="Paseo Cargill Energy"/>
    <x v="79"/>
    <x v="12"/>
    <x v="1"/>
    <x v="89"/>
    <n v="69350000"/>
  </r>
  <r>
    <x v="5"/>
    <x v="4"/>
    <s v="Pacific Ethanol Columbia LLC"/>
    <x v="4"/>
    <x v="3"/>
    <x v="0"/>
    <x v="100"/>
    <n v="40000000"/>
  </r>
  <r>
    <x v="5"/>
    <x v="84"/>
    <s v="REG DANVILLE LLC"/>
    <x v="98"/>
    <x v="24"/>
    <x v="1"/>
    <x v="192"/>
    <n v="60000000"/>
  </r>
  <r>
    <x v="5"/>
    <x v="85"/>
    <s v="Thumb BioEnergy"/>
    <x v="99"/>
    <x v="27"/>
    <x v="1"/>
    <x v="144"/>
    <n v="750000"/>
  </r>
  <r>
    <x v="5"/>
    <x v="8"/>
    <s v="Consolidated Biofuels Ltd."/>
    <x v="10"/>
    <x v="7"/>
    <x v="1"/>
    <x v="101"/>
    <n v="51038199"/>
  </r>
  <r>
    <x v="5"/>
    <x v="66"/>
    <s v="Siouxland Energy Cooperative"/>
    <x v="75"/>
    <x v="13"/>
    <x v="0"/>
    <x v="193"/>
    <n v="290756447"/>
  </r>
  <r>
    <x v="5"/>
    <x v="12"/>
    <s v="Redfield Energy, LLC"/>
    <x v="14"/>
    <x v="10"/>
    <x v="0"/>
    <x v="194"/>
    <n v="70000000"/>
  </r>
  <r>
    <x v="5"/>
    <x v="13"/>
    <s v="BUSHMILLS ETHANOL, INC."/>
    <x v="15"/>
    <x v="2"/>
    <x v="0"/>
    <x v="195"/>
    <n v="65000000"/>
  </r>
  <r>
    <x v="5"/>
    <x v="15"/>
    <s v="Neste Singapore"/>
    <x v="18"/>
    <x v="11"/>
    <x v="2"/>
    <x v="146"/>
    <n v="116000000"/>
  </r>
  <r>
    <x v="5"/>
    <x v="17"/>
    <s v="REG Albert Lea"/>
    <x v="20"/>
    <x v="2"/>
    <x v="1"/>
    <x v="196"/>
    <n v="130000000"/>
  </r>
  <r>
    <x v="5"/>
    <x v="67"/>
    <s v="Cherry Point Refinery"/>
    <x v="76"/>
    <x v="1"/>
    <x v="2"/>
    <x v="197"/>
    <n v="34675000"/>
  </r>
  <r>
    <x v="5"/>
    <x v="81"/>
    <s v="Phillips 66 Rodeo"/>
    <x v="93"/>
    <x v="5"/>
    <x v="2"/>
    <x v="198"/>
    <n v="180000000"/>
  </r>
  <r>
    <x v="5"/>
    <x v="18"/>
    <s v="Ag Processing, Inc - Sgt. Bluff"/>
    <x v="21"/>
    <x v="13"/>
    <x v="1"/>
    <x v="150"/>
    <n v="75508819"/>
  </r>
  <r>
    <x v="5"/>
    <x v="18"/>
    <s v="Ag Processing, Inc. - St. Joseph"/>
    <x v="22"/>
    <x v="12"/>
    <x v="1"/>
    <x v="151"/>
    <n v="41601085"/>
  </r>
  <r>
    <x v="5"/>
    <x v="19"/>
    <s v="FutureFuel Chemical Company"/>
    <x v="23"/>
    <x v="14"/>
    <x v="1"/>
    <x v="106"/>
    <n v="110000000"/>
  </r>
  <r>
    <x v="5"/>
    <x v="20"/>
    <s v="Poet Biorefining-Chancellor"/>
    <x v="24"/>
    <x v="10"/>
    <x v="0"/>
    <x v="199"/>
    <n v="80000000"/>
  </r>
  <r>
    <x v="5"/>
    <x v="22"/>
    <s v="Yuma Ethanol, LLC"/>
    <x v="26"/>
    <x v="15"/>
    <x v="0"/>
    <x v="200"/>
    <n v="65000000"/>
  </r>
  <r>
    <x v="5"/>
    <x v="23"/>
    <s v="POET Biorefining - Big Stone"/>
    <x v="27"/>
    <x v="10"/>
    <x v="0"/>
    <x v="201"/>
    <n v="90000000"/>
  </r>
  <r>
    <x v="5"/>
    <x v="24"/>
    <s v="Western Plains Energy, LLC"/>
    <x v="28"/>
    <x v="9"/>
    <x v="0"/>
    <x v="202"/>
    <n v="54600000"/>
  </r>
  <r>
    <x v="5"/>
    <x v="25"/>
    <s v="Trenton Agri Products LLC"/>
    <x v="29"/>
    <x v="0"/>
    <x v="0"/>
    <x v="203"/>
    <n v="81555600"/>
  </r>
  <r>
    <x v="5"/>
    <x v="27"/>
    <s v="Glacial Lakes-Aberdeen Energy (Mina)"/>
    <x v="31"/>
    <x v="10"/>
    <x v="0"/>
    <x v="111"/>
    <n v="81555600"/>
  </r>
  <r>
    <x v="5"/>
    <x v="27"/>
    <s v="Glacial Lakes-Watertown"/>
    <x v="32"/>
    <x v="10"/>
    <x v="0"/>
    <x v="156"/>
    <n v="148000000"/>
  </r>
  <r>
    <x v="5"/>
    <x v="27"/>
    <s v="Huron Energy"/>
    <x v="17"/>
    <x v="10"/>
    <x v="0"/>
    <x v="204"/>
    <n v="40000000"/>
  </r>
  <r>
    <x v="5"/>
    <x v="28"/>
    <s v="Sterling Ethanol, LLC"/>
    <x v="33"/>
    <x v="15"/>
    <x v="0"/>
    <x v="205"/>
    <n v="5000000"/>
  </r>
  <r>
    <x v="5"/>
    <x v="30"/>
    <s v="POET Biorefining - Coon Rapids"/>
    <x v="35"/>
    <x v="13"/>
    <x v="0"/>
    <x v="206"/>
    <n v="60000000"/>
  </r>
  <r>
    <x v="5"/>
    <x v="86"/>
    <s v="POET BIOREFINING - JEWELL (HORIZON ETHANOL, LLC)"/>
    <x v="101"/>
    <x v="13"/>
    <x v="0"/>
    <x v="207"/>
    <n v="90000000"/>
  </r>
  <r>
    <x v="5"/>
    <x v="31"/>
    <s v="Poet Biorefining-Mitchell"/>
    <x v="36"/>
    <x v="10"/>
    <x v="0"/>
    <x v="208"/>
    <n v="81555600"/>
  </r>
  <r>
    <x v="5"/>
    <x v="32"/>
    <s v="POET Biorefining - Hudson"/>
    <x v="37"/>
    <x v="10"/>
    <x v="0"/>
    <x v="160"/>
    <n v="30000000"/>
  </r>
  <r>
    <x v="5"/>
    <x v="34"/>
    <s v="Poet Biorefining Groton"/>
    <x v="77"/>
    <x v="10"/>
    <x v="0"/>
    <x v="209"/>
    <n v="65000000"/>
  </r>
  <r>
    <x v="5"/>
    <x v="35"/>
    <s v="Red Trail Energy LLC"/>
    <x v="40"/>
    <x v="16"/>
    <x v="0"/>
    <x v="84"/>
    <n v="75000000"/>
  </r>
  <r>
    <x v="5"/>
    <x v="36"/>
    <s v="CVEC"/>
    <x v="41"/>
    <x v="2"/>
    <x v="0"/>
    <x v="85"/>
    <n v="75000000"/>
  </r>
  <r>
    <x v="5"/>
    <x v="68"/>
    <s v="KAAPA ETHANOL LLC"/>
    <x v="114"/>
    <x v="0"/>
    <x v="0"/>
    <x v="210"/>
    <n v="80000000"/>
  </r>
  <r>
    <x v="5"/>
    <x v="68"/>
    <s v="KAAPA Ethanol Ravenna LLC"/>
    <x v="78"/>
    <x v="0"/>
    <x v="0"/>
    <x v="211"/>
    <n v="75000000"/>
  </r>
  <r>
    <x v="5"/>
    <x v="37"/>
    <s v="Dakota Ethanol"/>
    <x v="42"/>
    <x v="10"/>
    <x v="0"/>
    <x v="212"/>
    <n v="30000000"/>
  </r>
  <r>
    <x v="5"/>
    <x v="92"/>
    <s v="Crimson Bakersfield Biodiesel Plant"/>
    <x v="115"/>
    <x v="5"/>
    <x v="1"/>
    <x v="213"/>
    <n v="22000000"/>
  </r>
  <r>
    <x v="5"/>
    <x v="39"/>
    <s v="E Energy Adams"/>
    <x v="44"/>
    <x v="0"/>
    <x v="0"/>
    <x v="214"/>
    <n v="30000000"/>
  </r>
  <r>
    <x v="5"/>
    <x v="40"/>
    <s v="High Plains Bioenergy"/>
    <x v="45"/>
    <x v="17"/>
    <x v="1"/>
    <x v="215"/>
    <n v="34675000"/>
  </r>
  <r>
    <x v="5"/>
    <x v="42"/>
    <s v="Archer Daniels Midland"/>
    <x v="48"/>
    <x v="3"/>
    <x v="1"/>
    <x v="165"/>
    <n v="94500000"/>
  </r>
  <r>
    <x v="5"/>
    <x v="43"/>
    <s v="Siouxland Ethanol"/>
    <x v="49"/>
    <x v="0"/>
    <x v="0"/>
    <x v="216"/>
    <n v="105000000"/>
  </r>
  <r>
    <x v="5"/>
    <x v="44"/>
    <s v="POET Biorefining - Corning"/>
    <x v="50"/>
    <x v="13"/>
    <x v="0"/>
    <x v="217"/>
    <n v="80000000"/>
  </r>
  <r>
    <x v="5"/>
    <x v="47"/>
    <s v="Husker Ag, LLC"/>
    <x v="53"/>
    <x v="0"/>
    <x v="0"/>
    <x v="218"/>
    <n v="108983768"/>
  </r>
  <r>
    <x v="5"/>
    <x v="48"/>
    <s v="Mid America Agri Products/Wheatland, LLC"/>
    <x v="54"/>
    <x v="0"/>
    <x v="0"/>
    <x v="219"/>
    <n v="82125000"/>
  </r>
  <r>
    <x v="5"/>
    <x v="73"/>
    <s v="AUGEAN RNG PROJECT"/>
    <x v="95"/>
    <x v="1"/>
    <x v="4"/>
    <x v="220"/>
    <n v="1515785"/>
  </r>
  <r>
    <x v="5"/>
    <x v="73"/>
    <s v="DEER RUN RNG PROJECT"/>
    <x v="116"/>
    <x v="25"/>
    <x v="4"/>
    <x v="221"/>
    <n v="200020"/>
  </r>
  <r>
    <x v="5"/>
    <x v="73"/>
    <s v="Renovar Arlington LTD RNG Project"/>
    <x v="85"/>
    <x v="22"/>
    <x v="4"/>
    <x v="222"/>
    <n v="1229728258"/>
  </r>
  <r>
    <x v="5"/>
    <x v="73"/>
    <s v="U.S. GAIN RNG FACILITY CLOVER HILL"/>
    <x v="94"/>
    <x v="25"/>
    <x v="4"/>
    <x v="223"/>
    <n v="816730"/>
  </r>
  <r>
    <x v="5"/>
    <x v="73"/>
    <s v="U.S. Gain RNG Facility Dallmann"/>
    <x v="117"/>
    <x v="25"/>
    <x v="4"/>
    <x v="224"/>
    <n v="747207"/>
  </r>
  <r>
    <x v="5"/>
    <x v="73"/>
    <s v="U.S. GAIN RNG FACILITY S&amp;S"/>
    <x v="118"/>
    <x v="25"/>
    <x v="4"/>
    <x v="225"/>
    <n v="833745"/>
  </r>
  <r>
    <x v="5"/>
    <x v="51"/>
    <s v="Bridgeport Ethanol, LLC"/>
    <x v="57"/>
    <x v="0"/>
    <x v="0"/>
    <x v="226"/>
    <n v="82125000"/>
  </r>
  <r>
    <x v="5"/>
    <x v="52"/>
    <s v="Dansuk Industrial Ltd- Siwha"/>
    <x v="58"/>
    <x v="18"/>
    <x v="1"/>
    <x v="227"/>
    <n v="16706637"/>
  </r>
  <r>
    <x v="5"/>
    <x v="52"/>
    <s v="PyeongTaek2"/>
    <x v="80"/>
    <x v="18"/>
    <x v="1"/>
    <x v="90"/>
    <n v="5000000"/>
  </r>
  <r>
    <x v="5"/>
    <x v="87"/>
    <s v="DELEK RENEWABLES CLEBURNE BIODIESEL PLANT"/>
    <x v="103"/>
    <x v="22"/>
    <x v="1"/>
    <x v="228"/>
    <n v="13000000"/>
  </r>
  <r>
    <x v="5"/>
    <x v="87"/>
    <s v="DELEK RENEWABLES CROSSETT BIODIESEL PLANT"/>
    <x v="104"/>
    <x v="14"/>
    <x v="1"/>
    <x v="229"/>
    <n v="14000000"/>
  </r>
  <r>
    <x v="5"/>
    <x v="87"/>
    <s v="DELEK RENEWABLES NEW ALBANY BIODIESEL PLANT"/>
    <x v="105"/>
    <x v="28"/>
    <x v="1"/>
    <x v="173"/>
    <n v="12000000"/>
  </r>
  <r>
    <x v="5"/>
    <x v="93"/>
    <s v="Diamond Green Diesel - Port Arthur"/>
    <x v="119"/>
    <x v="22"/>
    <x v="2"/>
    <x v="130"/>
    <n v="470000000"/>
  </r>
  <r>
    <x v="5"/>
    <x v="93"/>
    <s v="DIAMOND GREEN DIESEL LLC"/>
    <x v="120"/>
    <x v="19"/>
    <x v="2"/>
    <x v="230"/>
    <n v="730000000"/>
  </r>
  <r>
    <x v="5"/>
    <x v="93"/>
    <s v="DIAMOND GREEN DIESEL LLC"/>
    <x v="120"/>
    <x v="19"/>
    <x v="9"/>
    <x v="230"/>
    <n v="730000000"/>
  </r>
  <r>
    <x v="5"/>
    <x v="55"/>
    <s v="SeQuential"/>
    <x v="61"/>
    <x v="3"/>
    <x v="1"/>
    <x v="231"/>
    <n v="17000000"/>
  </r>
  <r>
    <x v="5"/>
    <x v="56"/>
    <s v="REG Mason City, LLC"/>
    <x v="62"/>
    <x v="13"/>
    <x v="1"/>
    <x v="232"/>
    <n v="60000000"/>
  </r>
  <r>
    <x v="5"/>
    <x v="57"/>
    <s v="ADM AGRI-INDUSTRIES COMPANY"/>
    <x v="63"/>
    <x v="7"/>
    <x v="1"/>
    <x v="174"/>
    <n v="30000000"/>
  </r>
  <r>
    <x v="5"/>
    <x v="58"/>
    <s v="Hankinson Renewable Energy, LLC"/>
    <x v="64"/>
    <x v="16"/>
    <x v="0"/>
    <x v="233"/>
    <n v="82125000"/>
  </r>
  <r>
    <x v="5"/>
    <x v="59"/>
    <s v="REG Geismar, LLC"/>
    <x v="65"/>
    <x v="19"/>
    <x v="2"/>
    <x v="234"/>
    <n v="34675000"/>
  </r>
  <r>
    <x v="5"/>
    <x v="59"/>
    <s v="REG Geismar, LLC"/>
    <x v="65"/>
    <x v="19"/>
    <x v="9"/>
    <x v="125"/>
    <n v="34675000"/>
  </r>
  <r>
    <x v="5"/>
    <x v="59"/>
    <s v="REG Geismar, LLC"/>
    <x v="65"/>
    <x v="19"/>
    <x v="7"/>
    <x v="125"/>
    <n v="34675000"/>
  </r>
  <r>
    <x v="5"/>
    <x v="70"/>
    <s v="RING-NECK ENERGY &amp; FEED, LLC"/>
    <x v="82"/>
    <x v="10"/>
    <x v="0"/>
    <x v="235"/>
    <n v="60000000"/>
  </r>
  <r>
    <x v="5"/>
    <x v="60"/>
    <s v="Outer Loop High Btu Gas Plant"/>
    <x v="66"/>
    <x v="20"/>
    <x v="10"/>
    <x v="236"/>
    <n v="1178801445"/>
  </r>
  <r>
    <x v="5"/>
    <x v="62"/>
    <s v="REG Grays Harbor, LLC"/>
    <x v="69"/>
    <x v="1"/>
    <x v="1"/>
    <x v="237"/>
    <n v="84000000"/>
  </r>
  <r>
    <x v="5"/>
    <x v="63"/>
    <s v="HPB St Joe Biodiesel LLC"/>
    <x v="70"/>
    <x v="12"/>
    <x v="1"/>
    <x v="238"/>
    <n v="30000000"/>
  </r>
  <r>
    <x v="5"/>
    <x v="74"/>
    <s v="SAINT-THOMAS BIOMETHANE PLANT "/>
    <x v="87"/>
    <x v="7"/>
    <x v="4"/>
    <x v="239"/>
    <n v="1730000000"/>
  </r>
  <r>
    <x v="5"/>
    <x v="82"/>
    <s v="GREENTREE LANDFILL GAS COMPANY, LLC"/>
    <x v="96"/>
    <x v="26"/>
    <x v="10"/>
    <x v="240"/>
    <n v="2147483647"/>
  </r>
  <r>
    <x v="5"/>
    <x v="82"/>
    <s v="IMPERIAL LANDFILL"/>
    <x v="107"/>
    <x v="26"/>
    <x v="10"/>
    <x v="178"/>
    <n v="2102000000"/>
  </r>
  <r>
    <x v="5"/>
    <x v="94"/>
    <s v="Imperial Western Products"/>
    <x v="121"/>
    <x v="5"/>
    <x v="1"/>
    <x v="241"/>
    <n v="12000000"/>
  </r>
  <r>
    <x v="5"/>
    <x v="95"/>
    <s v="FPE Renewables, LLC"/>
    <x v="109"/>
    <x v="1"/>
    <x v="8"/>
    <x v="242"/>
    <n v="3500000"/>
  </r>
  <r>
    <x v="5"/>
    <x v="95"/>
    <s v="Giacomini Dairy"/>
    <x v="110"/>
    <x v="5"/>
    <x v="8"/>
    <x v="243"/>
    <n v="450000"/>
  </r>
  <r>
    <x v="5"/>
    <x v="95"/>
    <s v="Oak Lea Digester LLC"/>
    <x v="108"/>
    <x v="3"/>
    <x v="8"/>
    <x v="180"/>
    <n v="850000"/>
  </r>
  <r>
    <x v="5"/>
    <x v="96"/>
    <s v="River Birch Landfill"/>
    <x v="88"/>
    <x v="19"/>
    <x v="10"/>
    <x v="244"/>
    <n v="2147483647"/>
  </r>
  <r>
    <x v="5"/>
    <x v="97"/>
    <s v="Praxair - Ontario, CA"/>
    <x v="89"/>
    <x v="5"/>
    <x v="6"/>
    <x v="185"/>
    <n v="0"/>
  </r>
  <r>
    <x v="5"/>
    <x v="98"/>
    <s v="Blue Mountain Biogas, LLC"/>
    <x v="112"/>
    <x v="30"/>
    <x v="8"/>
    <x v="245"/>
    <n v="14016000"/>
  </r>
  <r>
    <x v="5"/>
    <x v="98"/>
    <s v="Farm Power Rainier"/>
    <x v="122"/>
    <x v="1"/>
    <x v="8"/>
    <x v="246"/>
    <n v="8760000"/>
  </r>
  <r>
    <x v="5"/>
    <x v="98"/>
    <s v="Farm Power Rexville"/>
    <x v="123"/>
    <x v="1"/>
    <x v="8"/>
    <x v="247"/>
    <n v="6570000"/>
  </r>
  <r>
    <x v="5"/>
    <x v="98"/>
    <s v="New Energy One"/>
    <x v="111"/>
    <x v="4"/>
    <x v="8"/>
    <x v="183"/>
    <n v="17520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46">
  <r>
    <x v="0"/>
    <x v="0"/>
    <x v="0"/>
    <n v="56.38"/>
    <x v="0"/>
    <x v="0"/>
  </r>
  <r>
    <x v="0"/>
    <x v="0"/>
    <x v="1"/>
    <n v="51.31"/>
    <x v="0"/>
    <x v="0"/>
  </r>
  <r>
    <x v="0"/>
    <x v="0"/>
    <x v="2"/>
    <n v="51.13"/>
    <x v="0"/>
    <x v="0"/>
  </r>
  <r>
    <x v="0"/>
    <x v="0"/>
    <x v="3"/>
    <n v="48.72"/>
    <x v="0"/>
    <x v="0"/>
  </r>
  <r>
    <x v="0"/>
    <x v="0"/>
    <x v="4"/>
    <n v="46.35"/>
    <x v="0"/>
    <x v="0"/>
  </r>
  <r>
    <x v="0"/>
    <x v="0"/>
    <x v="5"/>
    <n v="47.58"/>
    <x v="0"/>
    <x v="0"/>
  </r>
  <r>
    <x v="0"/>
    <x v="0"/>
    <x v="6"/>
    <n v="47.06"/>
    <x v="0"/>
    <x v="0"/>
  </r>
  <r>
    <x v="0"/>
    <x v="0"/>
    <x v="7"/>
    <n v="47.45"/>
    <x v="0"/>
    <x v="0"/>
  </r>
  <r>
    <x v="0"/>
    <x v="0"/>
    <x v="8"/>
    <n v="45.21"/>
    <x v="0"/>
    <x v="0"/>
  </r>
  <r>
    <x v="0"/>
    <x v="0"/>
    <x v="9"/>
    <n v="46.03"/>
    <x v="0"/>
    <x v="0"/>
  </r>
  <r>
    <x v="0"/>
    <x v="0"/>
    <x v="10"/>
    <n v="45.34"/>
    <x v="0"/>
    <x v="0"/>
  </r>
  <r>
    <x v="0"/>
    <x v="0"/>
    <x v="11"/>
    <n v="44.35"/>
    <x v="0"/>
    <x v="0"/>
  </r>
  <r>
    <x v="0"/>
    <x v="0"/>
    <x v="12"/>
    <n v="39.51"/>
    <x v="0"/>
    <x v="0"/>
  </r>
  <r>
    <x v="0"/>
    <x v="0"/>
    <x v="13"/>
    <n v="38.92"/>
    <x v="0"/>
    <x v="0"/>
  </r>
  <r>
    <x v="0"/>
    <x v="0"/>
    <x v="14"/>
    <n v="38.97"/>
    <x v="0"/>
    <x v="0"/>
  </r>
  <r>
    <x v="0"/>
    <x v="0"/>
    <x v="15"/>
    <n v="37.380000000000003"/>
    <x v="0"/>
    <x v="0"/>
  </r>
  <r>
    <x v="0"/>
    <x v="0"/>
    <x v="16"/>
    <n v="36.61"/>
    <x v="0"/>
    <x v="0"/>
  </r>
  <r>
    <x v="0"/>
    <x v="0"/>
    <x v="17"/>
    <n v="43.72"/>
    <x v="0"/>
    <x v="0"/>
  </r>
  <r>
    <x v="0"/>
    <x v="0"/>
    <x v="18"/>
    <n v="42.81"/>
    <x v="0"/>
    <x v="0"/>
  </r>
  <r>
    <x v="0"/>
    <x v="0"/>
    <x v="19"/>
    <n v="44.65"/>
    <x v="0"/>
    <x v="0"/>
  </r>
  <r>
    <x v="0"/>
    <x v="0"/>
    <x v="20"/>
    <n v="43.24"/>
    <x v="0"/>
    <x v="0"/>
  </r>
  <r>
    <x v="0"/>
    <x v="0"/>
    <x v="21"/>
    <n v="40.47"/>
    <x v="0"/>
    <x v="0"/>
  </r>
  <r>
    <x v="0"/>
    <x v="0"/>
    <x v="22"/>
    <n v="41.85"/>
    <x v="0"/>
    <x v="0"/>
  </r>
  <r>
    <x v="0"/>
    <x v="0"/>
    <x v="23"/>
    <n v="42.09"/>
    <x v="0"/>
    <x v="0"/>
  </r>
  <r>
    <x v="0"/>
    <x v="0"/>
    <x v="24"/>
    <n v="42.37"/>
    <x v="0"/>
    <x v="0"/>
  </r>
  <r>
    <x v="0"/>
    <x v="0"/>
    <x v="25"/>
    <n v="40.43"/>
    <x v="0"/>
    <x v="0"/>
  </r>
  <r>
    <x v="0"/>
    <x v="0"/>
    <x v="26"/>
    <n v="41.37"/>
    <x v="0"/>
    <x v="0"/>
  </r>
  <r>
    <x v="0"/>
    <x v="0"/>
    <x v="27"/>
    <n v="42.02"/>
    <x v="0"/>
    <x v="0"/>
  </r>
  <r>
    <x v="0"/>
    <x v="0"/>
    <x v="28"/>
    <n v="45.52"/>
    <x v="0"/>
    <x v="0"/>
  </r>
  <r>
    <x v="0"/>
    <x v="1"/>
    <x v="0"/>
    <m/>
    <x v="1"/>
    <x v="1"/>
  </r>
  <r>
    <x v="0"/>
    <x v="1"/>
    <x v="1"/>
    <m/>
    <x v="1"/>
    <x v="1"/>
  </r>
  <r>
    <x v="0"/>
    <x v="1"/>
    <x v="2"/>
    <m/>
    <x v="1"/>
    <x v="1"/>
  </r>
  <r>
    <x v="0"/>
    <x v="1"/>
    <x v="3"/>
    <m/>
    <x v="1"/>
    <x v="1"/>
  </r>
  <r>
    <x v="0"/>
    <x v="1"/>
    <x v="4"/>
    <m/>
    <x v="1"/>
    <x v="1"/>
  </r>
  <r>
    <x v="0"/>
    <x v="1"/>
    <x v="5"/>
    <m/>
    <x v="1"/>
    <x v="1"/>
  </r>
  <r>
    <x v="0"/>
    <x v="1"/>
    <x v="6"/>
    <m/>
    <x v="1"/>
    <x v="1"/>
  </r>
  <r>
    <x v="0"/>
    <x v="1"/>
    <x v="7"/>
    <n v="33.64"/>
    <x v="1"/>
    <x v="1"/>
  </r>
  <r>
    <x v="0"/>
    <x v="1"/>
    <x v="8"/>
    <n v="48.76"/>
    <x v="1"/>
    <x v="1"/>
  </r>
  <r>
    <x v="0"/>
    <x v="1"/>
    <x v="9"/>
    <n v="36.380000000000003"/>
    <x v="1"/>
    <x v="1"/>
  </r>
  <r>
    <x v="0"/>
    <x v="1"/>
    <x v="10"/>
    <n v="37.42"/>
    <x v="1"/>
    <x v="1"/>
  </r>
  <r>
    <x v="0"/>
    <x v="1"/>
    <x v="11"/>
    <n v="34.96"/>
    <x v="1"/>
    <x v="1"/>
  </r>
  <r>
    <x v="0"/>
    <x v="1"/>
    <x v="12"/>
    <n v="53.91"/>
    <x v="1"/>
    <x v="1"/>
  </r>
  <r>
    <x v="0"/>
    <x v="1"/>
    <x v="13"/>
    <n v="44.74"/>
    <x v="1"/>
    <x v="1"/>
  </r>
  <r>
    <x v="0"/>
    <x v="1"/>
    <x v="14"/>
    <n v="29.88"/>
    <x v="1"/>
    <x v="1"/>
  </r>
  <r>
    <x v="0"/>
    <x v="1"/>
    <x v="15"/>
    <n v="28.25"/>
    <x v="1"/>
    <x v="1"/>
  </r>
  <r>
    <x v="0"/>
    <x v="1"/>
    <x v="16"/>
    <n v="27.32"/>
    <x v="1"/>
    <x v="1"/>
  </r>
  <r>
    <x v="0"/>
    <x v="1"/>
    <x v="17"/>
    <n v="30.18"/>
    <x v="1"/>
    <x v="1"/>
  </r>
  <r>
    <x v="0"/>
    <x v="1"/>
    <x v="18"/>
    <n v="64.02"/>
    <x v="1"/>
    <x v="1"/>
  </r>
  <r>
    <x v="0"/>
    <x v="1"/>
    <x v="19"/>
    <n v="39.46"/>
    <x v="1"/>
    <x v="1"/>
  </r>
  <r>
    <x v="0"/>
    <x v="1"/>
    <x v="20"/>
    <n v="63.84"/>
    <x v="1"/>
    <x v="1"/>
  </r>
  <r>
    <x v="0"/>
    <x v="1"/>
    <x v="21"/>
    <n v="298.41000000000003"/>
    <x v="1"/>
    <x v="1"/>
  </r>
  <r>
    <x v="0"/>
    <x v="1"/>
    <x v="22"/>
    <n v="48.95"/>
    <x v="1"/>
    <x v="1"/>
  </r>
  <r>
    <x v="0"/>
    <x v="1"/>
    <x v="23"/>
    <n v="-1561.21"/>
    <x v="1"/>
    <x v="1"/>
  </r>
  <r>
    <x v="0"/>
    <x v="1"/>
    <x v="24"/>
    <n v="44.83"/>
    <x v="1"/>
    <x v="1"/>
  </r>
  <r>
    <x v="0"/>
    <x v="1"/>
    <x v="25"/>
    <n v="39.86"/>
    <x v="1"/>
    <x v="1"/>
  </r>
  <r>
    <x v="0"/>
    <x v="1"/>
    <x v="26"/>
    <n v="19.690000000000001"/>
    <x v="1"/>
    <x v="1"/>
  </r>
  <r>
    <x v="0"/>
    <x v="1"/>
    <x v="27"/>
    <n v="43.54"/>
    <x v="1"/>
    <x v="1"/>
  </r>
  <r>
    <x v="0"/>
    <x v="1"/>
    <x v="28"/>
    <n v="46.64"/>
    <x v="1"/>
    <x v="1"/>
  </r>
  <r>
    <x v="0"/>
    <x v="2"/>
    <x v="0"/>
    <n v="64.5"/>
    <x v="2"/>
    <x v="2"/>
  </r>
  <r>
    <x v="0"/>
    <x v="2"/>
    <x v="1"/>
    <n v="62.85"/>
    <x v="2"/>
    <x v="2"/>
  </r>
  <r>
    <x v="0"/>
    <x v="2"/>
    <x v="2"/>
    <n v="63"/>
    <x v="2"/>
    <x v="2"/>
  </r>
  <r>
    <x v="0"/>
    <x v="2"/>
    <x v="3"/>
    <n v="62.48"/>
    <x v="2"/>
    <x v="2"/>
  </r>
  <r>
    <x v="0"/>
    <x v="2"/>
    <x v="4"/>
    <n v="62.68"/>
    <x v="2"/>
    <x v="2"/>
  </r>
  <r>
    <x v="0"/>
    <x v="2"/>
    <x v="5"/>
    <n v="63.04"/>
    <x v="2"/>
    <x v="2"/>
  </r>
  <r>
    <x v="0"/>
    <x v="2"/>
    <x v="6"/>
    <n v="63.49"/>
    <x v="2"/>
    <x v="2"/>
  </r>
  <r>
    <x v="0"/>
    <x v="2"/>
    <x v="7"/>
    <n v="61.33"/>
    <x v="2"/>
    <x v="2"/>
  </r>
  <r>
    <x v="0"/>
    <x v="2"/>
    <x v="8"/>
    <n v="61.85"/>
    <x v="2"/>
    <x v="2"/>
  </r>
  <r>
    <x v="0"/>
    <x v="2"/>
    <x v="9"/>
    <n v="61.12"/>
    <x v="2"/>
    <x v="2"/>
  </r>
  <r>
    <x v="0"/>
    <x v="2"/>
    <x v="10"/>
    <n v="60.81"/>
    <x v="2"/>
    <x v="2"/>
  </r>
  <r>
    <x v="0"/>
    <x v="2"/>
    <x v="11"/>
    <n v="59.73"/>
    <x v="2"/>
    <x v="2"/>
  </r>
  <r>
    <x v="0"/>
    <x v="2"/>
    <x v="12"/>
    <n v="60.13"/>
    <x v="2"/>
    <x v="2"/>
  </r>
  <r>
    <x v="0"/>
    <x v="2"/>
    <x v="13"/>
    <n v="59.68"/>
    <x v="2"/>
    <x v="2"/>
  </r>
  <r>
    <x v="0"/>
    <x v="2"/>
    <x v="14"/>
    <n v="57.02"/>
    <x v="2"/>
    <x v="2"/>
  </r>
  <r>
    <x v="0"/>
    <x v="2"/>
    <x v="15"/>
    <n v="55.81"/>
    <x v="2"/>
    <x v="2"/>
  </r>
  <r>
    <x v="0"/>
    <x v="2"/>
    <x v="16"/>
    <n v="55.33"/>
    <x v="2"/>
    <x v="2"/>
  </r>
  <r>
    <x v="0"/>
    <x v="2"/>
    <x v="17"/>
    <n v="55.78"/>
    <x v="2"/>
    <x v="2"/>
  </r>
  <r>
    <x v="0"/>
    <x v="2"/>
    <x v="18"/>
    <n v="55.03"/>
    <x v="2"/>
    <x v="2"/>
  </r>
  <r>
    <x v="0"/>
    <x v="2"/>
    <x v="19"/>
    <n v="52.89"/>
    <x v="2"/>
    <x v="2"/>
  </r>
  <r>
    <x v="0"/>
    <x v="2"/>
    <x v="20"/>
    <n v="53.55"/>
    <x v="2"/>
    <x v="2"/>
  </r>
  <r>
    <x v="0"/>
    <x v="2"/>
    <x v="21"/>
    <n v="53.66"/>
    <x v="2"/>
    <x v="2"/>
  </r>
  <r>
    <x v="0"/>
    <x v="2"/>
    <x v="22"/>
    <n v="53.67"/>
    <x v="2"/>
    <x v="2"/>
  </r>
  <r>
    <x v="0"/>
    <x v="2"/>
    <x v="23"/>
    <n v="53.98"/>
    <x v="2"/>
    <x v="2"/>
  </r>
  <r>
    <x v="0"/>
    <x v="2"/>
    <x v="24"/>
    <n v="53.71"/>
    <x v="2"/>
    <x v="2"/>
  </r>
  <r>
    <x v="0"/>
    <x v="2"/>
    <x v="25"/>
    <n v="53.34"/>
    <x v="2"/>
    <x v="2"/>
  </r>
  <r>
    <x v="0"/>
    <x v="2"/>
    <x v="26"/>
    <n v="54.01"/>
    <x v="2"/>
    <x v="2"/>
  </r>
  <r>
    <x v="0"/>
    <x v="2"/>
    <x v="27"/>
    <n v="52.46"/>
    <x v="2"/>
    <x v="2"/>
  </r>
  <r>
    <x v="0"/>
    <x v="2"/>
    <x v="28"/>
    <n v="49.51"/>
    <x v="2"/>
    <x v="2"/>
  </r>
  <r>
    <x v="1"/>
    <x v="3"/>
    <x v="0"/>
    <n v="0"/>
    <x v="3"/>
    <x v="3"/>
  </r>
  <r>
    <x v="1"/>
    <x v="3"/>
    <x v="1"/>
    <n v="0"/>
    <x v="3"/>
    <x v="3"/>
  </r>
  <r>
    <x v="1"/>
    <x v="3"/>
    <x v="2"/>
    <n v="0"/>
    <x v="3"/>
    <x v="3"/>
  </r>
  <r>
    <x v="1"/>
    <x v="3"/>
    <x v="3"/>
    <n v="0"/>
    <x v="3"/>
    <x v="3"/>
  </r>
  <r>
    <x v="1"/>
    <x v="3"/>
    <x v="4"/>
    <n v="0"/>
    <x v="3"/>
    <x v="3"/>
  </r>
  <r>
    <x v="1"/>
    <x v="3"/>
    <x v="5"/>
    <n v="0"/>
    <x v="3"/>
    <x v="3"/>
  </r>
  <r>
    <x v="1"/>
    <x v="3"/>
    <x v="6"/>
    <n v="0"/>
    <x v="3"/>
    <x v="3"/>
  </r>
  <r>
    <x v="1"/>
    <x v="3"/>
    <x v="7"/>
    <n v="0"/>
    <x v="3"/>
    <x v="3"/>
  </r>
  <r>
    <x v="1"/>
    <x v="3"/>
    <x v="8"/>
    <n v="0"/>
    <x v="3"/>
    <x v="3"/>
  </r>
  <r>
    <x v="1"/>
    <x v="3"/>
    <x v="9"/>
    <n v="0"/>
    <x v="3"/>
    <x v="3"/>
  </r>
  <r>
    <x v="1"/>
    <x v="3"/>
    <x v="10"/>
    <n v="0"/>
    <x v="3"/>
    <x v="3"/>
  </r>
  <r>
    <x v="1"/>
    <x v="3"/>
    <x v="11"/>
    <n v="0"/>
    <x v="3"/>
    <x v="3"/>
  </r>
  <r>
    <x v="1"/>
    <x v="3"/>
    <x v="12"/>
    <n v="0"/>
    <x v="3"/>
    <x v="3"/>
  </r>
  <r>
    <x v="1"/>
    <x v="3"/>
    <x v="13"/>
    <n v="0"/>
    <x v="3"/>
    <x v="3"/>
  </r>
  <r>
    <x v="1"/>
    <x v="3"/>
    <x v="14"/>
    <n v="0"/>
    <x v="3"/>
    <x v="3"/>
  </r>
  <r>
    <x v="1"/>
    <x v="3"/>
    <x v="15"/>
    <n v="0"/>
    <x v="3"/>
    <x v="3"/>
  </r>
  <r>
    <x v="1"/>
    <x v="3"/>
    <x v="16"/>
    <n v="0"/>
    <x v="3"/>
    <x v="3"/>
  </r>
  <r>
    <x v="1"/>
    <x v="3"/>
    <x v="17"/>
    <n v="0"/>
    <x v="3"/>
    <x v="3"/>
  </r>
  <r>
    <x v="1"/>
    <x v="3"/>
    <x v="18"/>
    <n v="0"/>
    <x v="3"/>
    <x v="3"/>
  </r>
  <r>
    <x v="1"/>
    <x v="3"/>
    <x v="19"/>
    <n v="0"/>
    <x v="3"/>
    <x v="3"/>
  </r>
  <r>
    <x v="1"/>
    <x v="3"/>
    <x v="20"/>
    <n v="0"/>
    <x v="3"/>
    <x v="3"/>
  </r>
  <r>
    <x v="1"/>
    <x v="3"/>
    <x v="21"/>
    <n v="0"/>
    <x v="3"/>
    <x v="3"/>
  </r>
  <r>
    <x v="1"/>
    <x v="3"/>
    <x v="22"/>
    <n v="0"/>
    <x v="3"/>
    <x v="3"/>
  </r>
  <r>
    <x v="1"/>
    <x v="3"/>
    <x v="23"/>
    <n v="0"/>
    <x v="3"/>
    <x v="3"/>
  </r>
  <r>
    <x v="1"/>
    <x v="3"/>
    <x v="24"/>
    <n v="0"/>
    <x v="3"/>
    <x v="3"/>
  </r>
  <r>
    <x v="1"/>
    <x v="3"/>
    <x v="25"/>
    <n v="0"/>
    <x v="3"/>
    <x v="3"/>
  </r>
  <r>
    <x v="1"/>
    <x v="3"/>
    <x v="26"/>
    <n v="0"/>
    <x v="3"/>
    <x v="3"/>
  </r>
  <r>
    <x v="1"/>
    <x v="3"/>
    <x v="27"/>
    <n v="0"/>
    <x v="3"/>
    <x v="3"/>
  </r>
  <r>
    <x v="1"/>
    <x v="3"/>
    <x v="28"/>
    <n v="0"/>
    <x v="3"/>
    <x v="3"/>
  </r>
  <r>
    <x v="1"/>
    <x v="4"/>
    <x v="0"/>
    <n v="0"/>
    <x v="4"/>
    <x v="3"/>
  </r>
  <r>
    <x v="1"/>
    <x v="4"/>
    <x v="1"/>
    <n v="0"/>
    <x v="4"/>
    <x v="3"/>
  </r>
  <r>
    <x v="1"/>
    <x v="4"/>
    <x v="2"/>
    <n v="1655"/>
    <x v="4"/>
    <x v="3"/>
  </r>
  <r>
    <x v="1"/>
    <x v="4"/>
    <x v="3"/>
    <n v="2486"/>
    <x v="4"/>
    <x v="3"/>
  </r>
  <r>
    <x v="1"/>
    <x v="4"/>
    <x v="4"/>
    <n v="1673"/>
    <x v="4"/>
    <x v="3"/>
  </r>
  <r>
    <x v="1"/>
    <x v="4"/>
    <x v="5"/>
    <n v="2277"/>
    <x v="4"/>
    <x v="3"/>
  </r>
  <r>
    <x v="1"/>
    <x v="4"/>
    <x v="6"/>
    <n v="2237"/>
    <x v="4"/>
    <x v="3"/>
  </r>
  <r>
    <x v="1"/>
    <x v="4"/>
    <x v="7"/>
    <n v="2478"/>
    <x v="4"/>
    <x v="3"/>
  </r>
  <r>
    <x v="1"/>
    <x v="4"/>
    <x v="8"/>
    <n v="876"/>
    <x v="4"/>
    <x v="3"/>
  </r>
  <r>
    <x v="1"/>
    <x v="4"/>
    <x v="9"/>
    <n v="1337"/>
    <x v="4"/>
    <x v="3"/>
  </r>
  <r>
    <x v="1"/>
    <x v="4"/>
    <x v="10"/>
    <n v="1512"/>
    <x v="4"/>
    <x v="3"/>
  </r>
  <r>
    <x v="1"/>
    <x v="4"/>
    <x v="11"/>
    <n v="1801"/>
    <x v="4"/>
    <x v="3"/>
  </r>
  <r>
    <x v="1"/>
    <x v="4"/>
    <x v="12"/>
    <n v="1629"/>
    <x v="4"/>
    <x v="3"/>
  </r>
  <r>
    <x v="1"/>
    <x v="4"/>
    <x v="13"/>
    <n v="1786"/>
    <x v="4"/>
    <x v="3"/>
  </r>
  <r>
    <x v="1"/>
    <x v="4"/>
    <x v="14"/>
    <n v="1863"/>
    <x v="4"/>
    <x v="3"/>
  </r>
  <r>
    <x v="1"/>
    <x v="4"/>
    <x v="15"/>
    <n v="2371"/>
    <x v="4"/>
    <x v="3"/>
  </r>
  <r>
    <x v="1"/>
    <x v="4"/>
    <x v="16"/>
    <n v="2256"/>
    <x v="4"/>
    <x v="3"/>
  </r>
  <r>
    <x v="1"/>
    <x v="4"/>
    <x v="17"/>
    <n v="2410"/>
    <x v="4"/>
    <x v="3"/>
  </r>
  <r>
    <x v="1"/>
    <x v="4"/>
    <x v="18"/>
    <n v="3097"/>
    <x v="4"/>
    <x v="3"/>
  </r>
  <r>
    <x v="1"/>
    <x v="4"/>
    <x v="19"/>
    <n v="3312"/>
    <x v="4"/>
    <x v="3"/>
  </r>
  <r>
    <x v="1"/>
    <x v="4"/>
    <x v="20"/>
    <n v="3471"/>
    <x v="4"/>
    <x v="3"/>
  </r>
  <r>
    <x v="1"/>
    <x v="4"/>
    <x v="21"/>
    <n v="4521"/>
    <x v="4"/>
    <x v="3"/>
  </r>
  <r>
    <x v="1"/>
    <x v="4"/>
    <x v="22"/>
    <n v="9662"/>
    <x v="4"/>
    <x v="3"/>
  </r>
  <r>
    <x v="1"/>
    <x v="4"/>
    <x v="23"/>
    <n v="11595"/>
    <x v="4"/>
    <x v="3"/>
  </r>
  <r>
    <x v="1"/>
    <x v="4"/>
    <x v="24"/>
    <n v="11716"/>
    <x v="4"/>
    <x v="3"/>
  </r>
  <r>
    <x v="1"/>
    <x v="4"/>
    <x v="25"/>
    <n v="8342"/>
    <x v="4"/>
    <x v="3"/>
  </r>
  <r>
    <x v="1"/>
    <x v="4"/>
    <x v="26"/>
    <n v="4093"/>
    <x v="4"/>
    <x v="3"/>
  </r>
  <r>
    <x v="1"/>
    <x v="4"/>
    <x v="27"/>
    <n v="9021"/>
    <x v="4"/>
    <x v="3"/>
  </r>
  <r>
    <x v="1"/>
    <x v="4"/>
    <x v="28"/>
    <n v="21991"/>
    <x v="4"/>
    <x v="3"/>
  </r>
  <r>
    <x v="1"/>
    <x v="5"/>
    <x v="0"/>
    <n v="474"/>
    <x v="4"/>
    <x v="3"/>
  </r>
  <r>
    <x v="1"/>
    <x v="5"/>
    <x v="1"/>
    <n v="315"/>
    <x v="4"/>
    <x v="3"/>
  </r>
  <r>
    <x v="1"/>
    <x v="5"/>
    <x v="2"/>
    <n v="379"/>
    <x v="4"/>
    <x v="3"/>
  </r>
  <r>
    <x v="1"/>
    <x v="5"/>
    <x v="3"/>
    <n v="357"/>
    <x v="4"/>
    <x v="3"/>
  </r>
  <r>
    <x v="1"/>
    <x v="5"/>
    <x v="4"/>
    <n v="383"/>
    <x v="4"/>
    <x v="3"/>
  </r>
  <r>
    <x v="1"/>
    <x v="5"/>
    <x v="5"/>
    <n v="442"/>
    <x v="4"/>
    <x v="3"/>
  </r>
  <r>
    <x v="1"/>
    <x v="5"/>
    <x v="6"/>
    <n v="397"/>
    <x v="4"/>
    <x v="3"/>
  </r>
  <r>
    <x v="1"/>
    <x v="5"/>
    <x v="7"/>
    <n v="129"/>
    <x v="4"/>
    <x v="3"/>
  </r>
  <r>
    <x v="1"/>
    <x v="5"/>
    <x v="8"/>
    <n v="327"/>
    <x v="4"/>
    <x v="3"/>
  </r>
  <r>
    <x v="1"/>
    <x v="5"/>
    <x v="9"/>
    <n v="433"/>
    <x v="4"/>
    <x v="3"/>
  </r>
  <r>
    <x v="1"/>
    <x v="5"/>
    <x v="10"/>
    <n v="409"/>
    <x v="4"/>
    <x v="3"/>
  </r>
  <r>
    <x v="1"/>
    <x v="5"/>
    <x v="11"/>
    <n v="314"/>
    <x v="4"/>
    <x v="3"/>
  </r>
  <r>
    <x v="1"/>
    <x v="5"/>
    <x v="12"/>
    <n v="276"/>
    <x v="4"/>
    <x v="3"/>
  </r>
  <r>
    <x v="1"/>
    <x v="5"/>
    <x v="13"/>
    <n v="311"/>
    <x v="4"/>
    <x v="3"/>
  </r>
  <r>
    <x v="1"/>
    <x v="5"/>
    <x v="14"/>
    <n v="226"/>
    <x v="4"/>
    <x v="3"/>
  </r>
  <r>
    <x v="1"/>
    <x v="5"/>
    <x v="15"/>
    <n v="280"/>
    <x v="4"/>
    <x v="3"/>
  </r>
  <r>
    <x v="1"/>
    <x v="5"/>
    <x v="16"/>
    <n v="219"/>
    <x v="4"/>
    <x v="3"/>
  </r>
  <r>
    <x v="1"/>
    <x v="5"/>
    <x v="17"/>
    <n v="241"/>
    <x v="4"/>
    <x v="3"/>
  </r>
  <r>
    <x v="1"/>
    <x v="5"/>
    <x v="18"/>
    <n v="360"/>
    <x v="4"/>
    <x v="3"/>
  </r>
  <r>
    <x v="1"/>
    <x v="5"/>
    <x v="19"/>
    <n v="312"/>
    <x v="4"/>
    <x v="3"/>
  </r>
  <r>
    <x v="1"/>
    <x v="5"/>
    <x v="20"/>
    <n v="0"/>
    <x v="4"/>
    <x v="3"/>
  </r>
  <r>
    <x v="1"/>
    <x v="5"/>
    <x v="21"/>
    <n v="0"/>
    <x v="4"/>
    <x v="3"/>
  </r>
  <r>
    <x v="1"/>
    <x v="5"/>
    <x v="22"/>
    <n v="0"/>
    <x v="4"/>
    <x v="3"/>
  </r>
  <r>
    <x v="1"/>
    <x v="5"/>
    <x v="23"/>
    <n v="0"/>
    <x v="4"/>
    <x v="3"/>
  </r>
  <r>
    <x v="1"/>
    <x v="5"/>
    <x v="24"/>
    <n v="0"/>
    <x v="4"/>
    <x v="3"/>
  </r>
  <r>
    <x v="1"/>
    <x v="5"/>
    <x v="25"/>
    <n v="0"/>
    <x v="4"/>
    <x v="3"/>
  </r>
  <r>
    <x v="1"/>
    <x v="5"/>
    <x v="26"/>
    <n v="0"/>
    <x v="4"/>
    <x v="3"/>
  </r>
  <r>
    <x v="1"/>
    <x v="5"/>
    <x v="27"/>
    <n v="0"/>
    <x v="4"/>
    <x v="3"/>
  </r>
  <r>
    <x v="1"/>
    <x v="5"/>
    <x v="28"/>
    <n v="0"/>
    <x v="4"/>
    <x v="3"/>
  </r>
  <r>
    <x v="1"/>
    <x v="0"/>
    <x v="0"/>
    <n v="58529"/>
    <x v="5"/>
    <x v="3"/>
  </r>
  <r>
    <x v="1"/>
    <x v="0"/>
    <x v="1"/>
    <n v="65175"/>
    <x v="5"/>
    <x v="3"/>
  </r>
  <r>
    <x v="1"/>
    <x v="0"/>
    <x v="2"/>
    <n v="76526"/>
    <x v="5"/>
    <x v="3"/>
  </r>
  <r>
    <x v="1"/>
    <x v="0"/>
    <x v="3"/>
    <n v="69420"/>
    <x v="5"/>
    <x v="3"/>
  </r>
  <r>
    <x v="1"/>
    <x v="0"/>
    <x v="4"/>
    <n v="57466"/>
    <x v="5"/>
    <x v="3"/>
  </r>
  <r>
    <x v="1"/>
    <x v="0"/>
    <x v="5"/>
    <n v="83384"/>
    <x v="5"/>
    <x v="3"/>
  </r>
  <r>
    <x v="1"/>
    <x v="0"/>
    <x v="6"/>
    <n v="92219"/>
    <x v="5"/>
    <x v="3"/>
  </r>
  <r>
    <x v="1"/>
    <x v="0"/>
    <x v="7"/>
    <n v="88392"/>
    <x v="5"/>
    <x v="3"/>
  </r>
  <r>
    <x v="1"/>
    <x v="0"/>
    <x v="8"/>
    <n v="73382"/>
    <x v="5"/>
    <x v="3"/>
  </r>
  <r>
    <x v="1"/>
    <x v="0"/>
    <x v="9"/>
    <n v="88804"/>
    <x v="5"/>
    <x v="3"/>
  </r>
  <r>
    <x v="1"/>
    <x v="0"/>
    <x v="10"/>
    <n v="101480"/>
    <x v="5"/>
    <x v="3"/>
  </r>
  <r>
    <x v="1"/>
    <x v="0"/>
    <x v="11"/>
    <n v="91173"/>
    <x v="5"/>
    <x v="3"/>
  </r>
  <r>
    <x v="1"/>
    <x v="0"/>
    <x v="12"/>
    <n v="83643"/>
    <x v="5"/>
    <x v="3"/>
  </r>
  <r>
    <x v="1"/>
    <x v="0"/>
    <x v="13"/>
    <n v="121921"/>
    <x v="5"/>
    <x v="3"/>
  </r>
  <r>
    <x v="1"/>
    <x v="0"/>
    <x v="14"/>
    <n v="125305"/>
    <x v="5"/>
    <x v="3"/>
  </r>
  <r>
    <x v="1"/>
    <x v="0"/>
    <x v="15"/>
    <n v="116165"/>
    <x v="5"/>
    <x v="3"/>
  </r>
  <r>
    <x v="1"/>
    <x v="0"/>
    <x v="16"/>
    <n v="116635"/>
    <x v="5"/>
    <x v="3"/>
  </r>
  <r>
    <x v="1"/>
    <x v="0"/>
    <x v="17"/>
    <n v="112434"/>
    <x v="5"/>
    <x v="3"/>
  </r>
  <r>
    <x v="1"/>
    <x v="0"/>
    <x v="18"/>
    <n v="126284"/>
    <x v="5"/>
    <x v="3"/>
  </r>
  <r>
    <x v="1"/>
    <x v="0"/>
    <x v="19"/>
    <n v="126047"/>
    <x v="5"/>
    <x v="3"/>
  </r>
  <r>
    <x v="1"/>
    <x v="0"/>
    <x v="20"/>
    <n v="102146"/>
    <x v="5"/>
    <x v="3"/>
  </r>
  <r>
    <x v="1"/>
    <x v="0"/>
    <x v="21"/>
    <n v="141521"/>
    <x v="5"/>
    <x v="3"/>
  </r>
  <r>
    <x v="1"/>
    <x v="0"/>
    <x v="22"/>
    <n v="145403"/>
    <x v="5"/>
    <x v="3"/>
  </r>
  <r>
    <x v="1"/>
    <x v="0"/>
    <x v="23"/>
    <n v="132217"/>
    <x v="5"/>
    <x v="3"/>
  </r>
  <r>
    <x v="1"/>
    <x v="0"/>
    <x v="24"/>
    <n v="119832"/>
    <x v="5"/>
    <x v="3"/>
  </r>
  <r>
    <x v="1"/>
    <x v="0"/>
    <x v="25"/>
    <n v="172311"/>
    <x v="5"/>
    <x v="3"/>
  </r>
  <r>
    <x v="1"/>
    <x v="0"/>
    <x v="26"/>
    <n v="118356"/>
    <x v="5"/>
    <x v="3"/>
  </r>
  <r>
    <x v="1"/>
    <x v="0"/>
    <x v="27"/>
    <n v="158177"/>
    <x v="5"/>
    <x v="3"/>
  </r>
  <r>
    <x v="1"/>
    <x v="0"/>
    <x v="28"/>
    <n v="106880"/>
    <x v="5"/>
    <x v="3"/>
  </r>
  <r>
    <x v="1"/>
    <x v="6"/>
    <x v="0"/>
    <n v="230"/>
    <x v="5"/>
    <x v="4"/>
  </r>
  <r>
    <x v="1"/>
    <x v="6"/>
    <x v="1"/>
    <n v="998"/>
    <x v="5"/>
    <x v="4"/>
  </r>
  <r>
    <x v="1"/>
    <x v="6"/>
    <x v="2"/>
    <n v="102"/>
    <x v="5"/>
    <x v="4"/>
  </r>
  <r>
    <x v="1"/>
    <x v="6"/>
    <x v="3"/>
    <n v="495"/>
    <x v="5"/>
    <x v="4"/>
  </r>
  <r>
    <x v="1"/>
    <x v="6"/>
    <x v="4"/>
    <n v="322"/>
    <x v="5"/>
    <x v="4"/>
  </r>
  <r>
    <x v="1"/>
    <x v="6"/>
    <x v="5"/>
    <n v="690"/>
    <x v="5"/>
    <x v="4"/>
  </r>
  <r>
    <x v="1"/>
    <x v="6"/>
    <x v="6"/>
    <n v="489"/>
    <x v="5"/>
    <x v="4"/>
  </r>
  <r>
    <x v="1"/>
    <x v="6"/>
    <x v="7"/>
    <n v="418"/>
    <x v="5"/>
    <x v="4"/>
  </r>
  <r>
    <x v="1"/>
    <x v="6"/>
    <x v="8"/>
    <n v="625"/>
    <x v="5"/>
    <x v="4"/>
  </r>
  <r>
    <x v="1"/>
    <x v="6"/>
    <x v="9"/>
    <n v="1068"/>
    <x v="5"/>
    <x v="4"/>
  </r>
  <r>
    <x v="1"/>
    <x v="6"/>
    <x v="10"/>
    <n v="626"/>
    <x v="5"/>
    <x v="4"/>
  </r>
  <r>
    <x v="1"/>
    <x v="6"/>
    <x v="11"/>
    <n v="1089"/>
    <x v="5"/>
    <x v="4"/>
  </r>
  <r>
    <x v="1"/>
    <x v="6"/>
    <x v="12"/>
    <n v="2324"/>
    <x v="5"/>
    <x v="4"/>
  </r>
  <r>
    <x v="1"/>
    <x v="6"/>
    <x v="13"/>
    <n v="1374"/>
    <x v="5"/>
    <x v="4"/>
  </r>
  <r>
    <x v="1"/>
    <x v="6"/>
    <x v="14"/>
    <n v="1316"/>
    <x v="5"/>
    <x v="4"/>
  </r>
  <r>
    <x v="1"/>
    <x v="6"/>
    <x v="15"/>
    <n v="201"/>
    <x v="5"/>
    <x v="4"/>
  </r>
  <r>
    <x v="1"/>
    <x v="6"/>
    <x v="16"/>
    <n v="411"/>
    <x v="5"/>
    <x v="4"/>
  </r>
  <r>
    <x v="1"/>
    <x v="6"/>
    <x v="17"/>
    <n v="179"/>
    <x v="5"/>
    <x v="4"/>
  </r>
  <r>
    <x v="1"/>
    <x v="6"/>
    <x v="18"/>
    <n v="1553"/>
    <x v="5"/>
    <x v="4"/>
  </r>
  <r>
    <x v="1"/>
    <x v="6"/>
    <x v="19"/>
    <n v="2354"/>
    <x v="5"/>
    <x v="4"/>
  </r>
  <r>
    <x v="1"/>
    <x v="6"/>
    <x v="20"/>
    <n v="262"/>
    <x v="5"/>
    <x v="4"/>
  </r>
  <r>
    <x v="1"/>
    <x v="6"/>
    <x v="21"/>
    <n v="313"/>
    <x v="5"/>
    <x v="4"/>
  </r>
  <r>
    <x v="1"/>
    <x v="6"/>
    <x v="22"/>
    <n v="109"/>
    <x v="5"/>
    <x v="4"/>
  </r>
  <r>
    <x v="1"/>
    <x v="6"/>
    <x v="23"/>
    <n v="25"/>
    <x v="5"/>
    <x v="4"/>
  </r>
  <r>
    <x v="1"/>
    <x v="6"/>
    <x v="24"/>
    <n v="6"/>
    <x v="5"/>
    <x v="4"/>
  </r>
  <r>
    <x v="1"/>
    <x v="6"/>
    <x v="25"/>
    <n v="84"/>
    <x v="5"/>
    <x v="4"/>
  </r>
  <r>
    <x v="1"/>
    <x v="6"/>
    <x v="26"/>
    <n v="106"/>
    <x v="5"/>
    <x v="4"/>
  </r>
  <r>
    <x v="1"/>
    <x v="6"/>
    <x v="27"/>
    <n v="75"/>
    <x v="5"/>
    <x v="4"/>
  </r>
  <r>
    <x v="1"/>
    <x v="6"/>
    <x v="28"/>
    <n v="657"/>
    <x v="5"/>
    <x v="4"/>
  </r>
  <r>
    <x v="1"/>
    <x v="7"/>
    <x v="0"/>
    <n v="0"/>
    <x v="5"/>
    <x v="4"/>
  </r>
  <r>
    <x v="1"/>
    <x v="7"/>
    <x v="1"/>
    <n v="0"/>
    <x v="5"/>
    <x v="4"/>
  </r>
  <r>
    <x v="1"/>
    <x v="7"/>
    <x v="2"/>
    <n v="0"/>
    <x v="5"/>
    <x v="4"/>
  </r>
  <r>
    <x v="1"/>
    <x v="7"/>
    <x v="3"/>
    <n v="0"/>
    <x v="5"/>
    <x v="4"/>
  </r>
  <r>
    <x v="1"/>
    <x v="7"/>
    <x v="4"/>
    <n v="0"/>
    <x v="5"/>
    <x v="4"/>
  </r>
  <r>
    <x v="1"/>
    <x v="7"/>
    <x v="5"/>
    <n v="0"/>
    <x v="5"/>
    <x v="4"/>
  </r>
  <r>
    <x v="1"/>
    <x v="7"/>
    <x v="6"/>
    <n v="0"/>
    <x v="5"/>
    <x v="4"/>
  </r>
  <r>
    <x v="1"/>
    <x v="7"/>
    <x v="7"/>
    <n v="0"/>
    <x v="5"/>
    <x v="4"/>
  </r>
  <r>
    <x v="1"/>
    <x v="7"/>
    <x v="8"/>
    <n v="0"/>
    <x v="5"/>
    <x v="4"/>
  </r>
  <r>
    <x v="1"/>
    <x v="7"/>
    <x v="9"/>
    <n v="12"/>
    <x v="5"/>
    <x v="4"/>
  </r>
  <r>
    <x v="1"/>
    <x v="7"/>
    <x v="10"/>
    <n v="0"/>
    <x v="5"/>
    <x v="4"/>
  </r>
  <r>
    <x v="1"/>
    <x v="7"/>
    <x v="11"/>
    <n v="0"/>
    <x v="5"/>
    <x v="4"/>
  </r>
  <r>
    <x v="1"/>
    <x v="7"/>
    <x v="12"/>
    <n v="0"/>
    <x v="5"/>
    <x v="4"/>
  </r>
  <r>
    <x v="1"/>
    <x v="7"/>
    <x v="13"/>
    <n v="0"/>
    <x v="5"/>
    <x v="4"/>
  </r>
  <r>
    <x v="1"/>
    <x v="7"/>
    <x v="14"/>
    <n v="0"/>
    <x v="5"/>
    <x v="4"/>
  </r>
  <r>
    <x v="1"/>
    <x v="7"/>
    <x v="15"/>
    <n v="0"/>
    <x v="5"/>
    <x v="4"/>
  </r>
  <r>
    <x v="1"/>
    <x v="7"/>
    <x v="16"/>
    <n v="21"/>
    <x v="5"/>
    <x v="4"/>
  </r>
  <r>
    <x v="1"/>
    <x v="7"/>
    <x v="17"/>
    <n v="0"/>
    <x v="5"/>
    <x v="4"/>
  </r>
  <r>
    <x v="1"/>
    <x v="7"/>
    <x v="18"/>
    <n v="0"/>
    <x v="5"/>
    <x v="4"/>
  </r>
  <r>
    <x v="1"/>
    <x v="7"/>
    <x v="19"/>
    <n v="5"/>
    <x v="5"/>
    <x v="4"/>
  </r>
  <r>
    <x v="1"/>
    <x v="7"/>
    <x v="20"/>
    <n v="0"/>
    <x v="5"/>
    <x v="4"/>
  </r>
  <r>
    <x v="1"/>
    <x v="7"/>
    <x v="21"/>
    <n v="0"/>
    <x v="5"/>
    <x v="4"/>
  </r>
  <r>
    <x v="1"/>
    <x v="7"/>
    <x v="22"/>
    <n v="0"/>
    <x v="5"/>
    <x v="4"/>
  </r>
  <r>
    <x v="1"/>
    <x v="7"/>
    <x v="23"/>
    <n v="0"/>
    <x v="5"/>
    <x v="4"/>
  </r>
  <r>
    <x v="1"/>
    <x v="7"/>
    <x v="24"/>
    <n v="0"/>
    <x v="5"/>
    <x v="4"/>
  </r>
  <r>
    <x v="1"/>
    <x v="7"/>
    <x v="25"/>
    <n v="0"/>
    <x v="5"/>
    <x v="4"/>
  </r>
  <r>
    <x v="1"/>
    <x v="7"/>
    <x v="26"/>
    <n v="1"/>
    <x v="5"/>
    <x v="4"/>
  </r>
  <r>
    <x v="1"/>
    <x v="7"/>
    <x v="27"/>
    <n v="11"/>
    <x v="5"/>
    <x v="4"/>
  </r>
  <r>
    <x v="1"/>
    <x v="7"/>
    <x v="28"/>
    <n v="0"/>
    <x v="5"/>
    <x v="4"/>
  </r>
  <r>
    <x v="1"/>
    <x v="8"/>
    <x v="0"/>
    <n v="129"/>
    <x v="5"/>
    <x v="4"/>
  </r>
  <r>
    <x v="1"/>
    <x v="8"/>
    <x v="1"/>
    <n v="185"/>
    <x v="5"/>
    <x v="4"/>
  </r>
  <r>
    <x v="1"/>
    <x v="8"/>
    <x v="2"/>
    <n v="213"/>
    <x v="5"/>
    <x v="4"/>
  </r>
  <r>
    <x v="1"/>
    <x v="8"/>
    <x v="3"/>
    <n v="100"/>
    <x v="5"/>
    <x v="4"/>
  </r>
  <r>
    <x v="1"/>
    <x v="8"/>
    <x v="4"/>
    <n v="158"/>
    <x v="5"/>
    <x v="4"/>
  </r>
  <r>
    <x v="1"/>
    <x v="8"/>
    <x v="5"/>
    <n v="311"/>
    <x v="5"/>
    <x v="4"/>
  </r>
  <r>
    <x v="1"/>
    <x v="8"/>
    <x v="6"/>
    <n v="306"/>
    <x v="5"/>
    <x v="4"/>
  </r>
  <r>
    <x v="1"/>
    <x v="8"/>
    <x v="7"/>
    <n v="214"/>
    <x v="5"/>
    <x v="4"/>
  </r>
  <r>
    <x v="1"/>
    <x v="8"/>
    <x v="8"/>
    <n v="562"/>
    <x v="5"/>
    <x v="4"/>
  </r>
  <r>
    <x v="1"/>
    <x v="8"/>
    <x v="9"/>
    <n v="870"/>
    <x v="5"/>
    <x v="4"/>
  </r>
  <r>
    <x v="1"/>
    <x v="8"/>
    <x v="10"/>
    <n v="1053"/>
    <x v="5"/>
    <x v="4"/>
  </r>
  <r>
    <x v="1"/>
    <x v="8"/>
    <x v="11"/>
    <n v="1046"/>
    <x v="5"/>
    <x v="4"/>
  </r>
  <r>
    <x v="1"/>
    <x v="8"/>
    <x v="12"/>
    <n v="18"/>
    <x v="5"/>
    <x v="4"/>
  </r>
  <r>
    <x v="1"/>
    <x v="8"/>
    <x v="13"/>
    <n v="219"/>
    <x v="5"/>
    <x v="4"/>
  </r>
  <r>
    <x v="1"/>
    <x v="8"/>
    <x v="14"/>
    <n v="132"/>
    <x v="5"/>
    <x v="4"/>
  </r>
  <r>
    <x v="1"/>
    <x v="8"/>
    <x v="15"/>
    <n v="106"/>
    <x v="5"/>
    <x v="4"/>
  </r>
  <r>
    <x v="1"/>
    <x v="8"/>
    <x v="16"/>
    <n v="610"/>
    <x v="5"/>
    <x v="4"/>
  </r>
  <r>
    <x v="1"/>
    <x v="8"/>
    <x v="17"/>
    <n v="498"/>
    <x v="5"/>
    <x v="4"/>
  </r>
  <r>
    <x v="1"/>
    <x v="8"/>
    <x v="18"/>
    <n v="740"/>
    <x v="5"/>
    <x v="4"/>
  </r>
  <r>
    <x v="1"/>
    <x v="8"/>
    <x v="19"/>
    <n v="607"/>
    <x v="5"/>
    <x v="4"/>
  </r>
  <r>
    <x v="1"/>
    <x v="8"/>
    <x v="20"/>
    <n v="1639"/>
    <x v="5"/>
    <x v="4"/>
  </r>
  <r>
    <x v="1"/>
    <x v="8"/>
    <x v="21"/>
    <n v="1630"/>
    <x v="5"/>
    <x v="4"/>
  </r>
  <r>
    <x v="1"/>
    <x v="8"/>
    <x v="22"/>
    <n v="1642"/>
    <x v="5"/>
    <x v="4"/>
  </r>
  <r>
    <x v="1"/>
    <x v="8"/>
    <x v="23"/>
    <n v="1468"/>
    <x v="5"/>
    <x v="4"/>
  </r>
  <r>
    <x v="1"/>
    <x v="8"/>
    <x v="24"/>
    <n v="2332"/>
    <x v="5"/>
    <x v="4"/>
  </r>
  <r>
    <x v="1"/>
    <x v="8"/>
    <x v="25"/>
    <n v="1962"/>
    <x v="5"/>
    <x v="4"/>
  </r>
  <r>
    <x v="1"/>
    <x v="8"/>
    <x v="26"/>
    <n v="3643"/>
    <x v="5"/>
    <x v="4"/>
  </r>
  <r>
    <x v="1"/>
    <x v="8"/>
    <x v="27"/>
    <n v="3439"/>
    <x v="5"/>
    <x v="4"/>
  </r>
  <r>
    <x v="1"/>
    <x v="8"/>
    <x v="28"/>
    <n v="4953"/>
    <x v="5"/>
    <x v="4"/>
  </r>
  <r>
    <x v="1"/>
    <x v="1"/>
    <x v="0"/>
    <n v="0"/>
    <x v="5"/>
    <x v="3"/>
  </r>
  <r>
    <x v="1"/>
    <x v="1"/>
    <x v="1"/>
    <n v="0"/>
    <x v="5"/>
    <x v="3"/>
  </r>
  <r>
    <x v="1"/>
    <x v="1"/>
    <x v="2"/>
    <n v="0"/>
    <x v="5"/>
    <x v="3"/>
  </r>
  <r>
    <x v="1"/>
    <x v="1"/>
    <x v="3"/>
    <n v="0"/>
    <x v="5"/>
    <x v="3"/>
  </r>
  <r>
    <x v="1"/>
    <x v="1"/>
    <x v="4"/>
    <n v="0"/>
    <x v="5"/>
    <x v="3"/>
  </r>
  <r>
    <x v="1"/>
    <x v="1"/>
    <x v="5"/>
    <n v="0"/>
    <x v="5"/>
    <x v="3"/>
  </r>
  <r>
    <x v="1"/>
    <x v="1"/>
    <x v="6"/>
    <n v="0"/>
    <x v="5"/>
    <x v="3"/>
  </r>
  <r>
    <x v="1"/>
    <x v="1"/>
    <x v="7"/>
    <n v="2863"/>
    <x v="5"/>
    <x v="3"/>
  </r>
  <r>
    <x v="1"/>
    <x v="1"/>
    <x v="8"/>
    <n v="1967"/>
    <x v="5"/>
    <x v="3"/>
  </r>
  <r>
    <x v="1"/>
    <x v="1"/>
    <x v="9"/>
    <n v="1637"/>
    <x v="5"/>
    <x v="3"/>
  </r>
  <r>
    <x v="1"/>
    <x v="1"/>
    <x v="10"/>
    <n v="1800"/>
    <x v="5"/>
    <x v="3"/>
  </r>
  <r>
    <x v="1"/>
    <x v="1"/>
    <x v="11"/>
    <n v="4035"/>
    <x v="5"/>
    <x v="3"/>
  </r>
  <r>
    <x v="1"/>
    <x v="1"/>
    <x v="12"/>
    <n v="907"/>
    <x v="5"/>
    <x v="3"/>
  </r>
  <r>
    <x v="1"/>
    <x v="1"/>
    <x v="13"/>
    <n v="3104"/>
    <x v="5"/>
    <x v="3"/>
  </r>
  <r>
    <x v="1"/>
    <x v="1"/>
    <x v="14"/>
    <n v="98814"/>
    <x v="5"/>
    <x v="3"/>
  </r>
  <r>
    <x v="1"/>
    <x v="1"/>
    <x v="15"/>
    <n v="38390"/>
    <x v="5"/>
    <x v="3"/>
  </r>
  <r>
    <x v="1"/>
    <x v="1"/>
    <x v="16"/>
    <n v="64363"/>
    <x v="5"/>
    <x v="3"/>
  </r>
  <r>
    <x v="1"/>
    <x v="1"/>
    <x v="17"/>
    <n v="53776"/>
    <x v="5"/>
    <x v="3"/>
  </r>
  <r>
    <x v="1"/>
    <x v="1"/>
    <x v="18"/>
    <n v="1167"/>
    <x v="5"/>
    <x v="3"/>
  </r>
  <r>
    <x v="1"/>
    <x v="1"/>
    <x v="19"/>
    <n v="29176"/>
    <x v="5"/>
    <x v="3"/>
  </r>
  <r>
    <x v="1"/>
    <x v="1"/>
    <x v="20"/>
    <n v="43741"/>
    <x v="5"/>
    <x v="3"/>
  </r>
  <r>
    <x v="1"/>
    <x v="1"/>
    <x v="21"/>
    <n v="41085"/>
    <x v="5"/>
    <x v="3"/>
  </r>
  <r>
    <x v="1"/>
    <x v="1"/>
    <x v="22"/>
    <n v="20232"/>
    <x v="5"/>
    <x v="3"/>
  </r>
  <r>
    <x v="1"/>
    <x v="1"/>
    <x v="23"/>
    <n v="27700"/>
    <x v="5"/>
    <x v="3"/>
  </r>
  <r>
    <x v="1"/>
    <x v="1"/>
    <x v="24"/>
    <n v="94596"/>
    <x v="5"/>
    <x v="3"/>
  </r>
  <r>
    <x v="1"/>
    <x v="1"/>
    <x v="25"/>
    <n v="43478"/>
    <x v="5"/>
    <x v="3"/>
  </r>
  <r>
    <x v="1"/>
    <x v="1"/>
    <x v="26"/>
    <n v="112314"/>
    <x v="5"/>
    <x v="3"/>
  </r>
  <r>
    <x v="1"/>
    <x v="1"/>
    <x v="27"/>
    <n v="124452"/>
    <x v="5"/>
    <x v="3"/>
  </r>
  <r>
    <x v="1"/>
    <x v="1"/>
    <x v="28"/>
    <n v="142431"/>
    <x v="5"/>
    <x v="3"/>
  </r>
  <r>
    <x v="1"/>
    <x v="9"/>
    <x v="0"/>
    <n v="0"/>
    <x v="6"/>
    <x v="3"/>
  </r>
  <r>
    <x v="1"/>
    <x v="9"/>
    <x v="1"/>
    <n v="0"/>
    <x v="6"/>
    <x v="3"/>
  </r>
  <r>
    <x v="1"/>
    <x v="9"/>
    <x v="2"/>
    <n v="0"/>
    <x v="6"/>
    <x v="3"/>
  </r>
  <r>
    <x v="1"/>
    <x v="9"/>
    <x v="3"/>
    <n v="0"/>
    <x v="6"/>
    <x v="3"/>
  </r>
  <r>
    <x v="1"/>
    <x v="9"/>
    <x v="4"/>
    <n v="0"/>
    <x v="6"/>
    <x v="3"/>
  </r>
  <r>
    <x v="1"/>
    <x v="9"/>
    <x v="5"/>
    <n v="0"/>
    <x v="6"/>
    <x v="3"/>
  </r>
  <r>
    <x v="1"/>
    <x v="9"/>
    <x v="6"/>
    <n v="0"/>
    <x v="6"/>
    <x v="3"/>
  </r>
  <r>
    <x v="1"/>
    <x v="9"/>
    <x v="7"/>
    <n v="0"/>
    <x v="6"/>
    <x v="3"/>
  </r>
  <r>
    <x v="1"/>
    <x v="9"/>
    <x v="8"/>
    <n v="4288"/>
    <x v="6"/>
    <x v="3"/>
  </r>
  <r>
    <x v="1"/>
    <x v="9"/>
    <x v="9"/>
    <n v="4206"/>
    <x v="6"/>
    <x v="3"/>
  </r>
  <r>
    <x v="1"/>
    <x v="9"/>
    <x v="10"/>
    <n v="4382"/>
    <x v="6"/>
    <x v="3"/>
  </r>
  <r>
    <x v="1"/>
    <x v="9"/>
    <x v="11"/>
    <n v="4313"/>
    <x v="6"/>
    <x v="3"/>
  </r>
  <r>
    <x v="1"/>
    <x v="9"/>
    <x v="12"/>
    <n v="4347"/>
    <x v="6"/>
    <x v="3"/>
  </r>
  <r>
    <x v="1"/>
    <x v="9"/>
    <x v="13"/>
    <n v="4179"/>
    <x v="6"/>
    <x v="3"/>
  </r>
  <r>
    <x v="1"/>
    <x v="9"/>
    <x v="14"/>
    <n v="4216"/>
    <x v="6"/>
    <x v="3"/>
  </r>
  <r>
    <x v="1"/>
    <x v="9"/>
    <x v="15"/>
    <n v="4383"/>
    <x v="6"/>
    <x v="3"/>
  </r>
  <r>
    <x v="1"/>
    <x v="9"/>
    <x v="16"/>
    <n v="4224"/>
    <x v="6"/>
    <x v="3"/>
  </r>
  <r>
    <x v="1"/>
    <x v="9"/>
    <x v="17"/>
    <n v="3535"/>
    <x v="6"/>
    <x v="3"/>
  </r>
  <r>
    <x v="1"/>
    <x v="9"/>
    <x v="18"/>
    <n v="3590"/>
    <x v="6"/>
    <x v="3"/>
  </r>
  <r>
    <x v="1"/>
    <x v="9"/>
    <x v="19"/>
    <n v="3802"/>
    <x v="6"/>
    <x v="3"/>
  </r>
  <r>
    <x v="1"/>
    <x v="9"/>
    <x v="20"/>
    <n v="2904"/>
    <x v="6"/>
    <x v="3"/>
  </r>
  <r>
    <x v="1"/>
    <x v="9"/>
    <x v="21"/>
    <n v="3044"/>
    <x v="6"/>
    <x v="3"/>
  </r>
  <r>
    <x v="1"/>
    <x v="9"/>
    <x v="22"/>
    <n v="5692"/>
    <x v="6"/>
    <x v="3"/>
  </r>
  <r>
    <x v="1"/>
    <x v="9"/>
    <x v="23"/>
    <n v="5514"/>
    <x v="6"/>
    <x v="3"/>
  </r>
  <r>
    <x v="1"/>
    <x v="9"/>
    <x v="24"/>
    <n v="3707"/>
    <x v="6"/>
    <x v="3"/>
  </r>
  <r>
    <x v="1"/>
    <x v="9"/>
    <x v="25"/>
    <n v="5381"/>
    <x v="6"/>
    <x v="3"/>
  </r>
  <r>
    <x v="1"/>
    <x v="9"/>
    <x v="26"/>
    <n v="5213"/>
    <x v="6"/>
    <x v="3"/>
  </r>
  <r>
    <x v="1"/>
    <x v="9"/>
    <x v="27"/>
    <n v="5329"/>
    <x v="6"/>
    <x v="3"/>
  </r>
  <r>
    <x v="1"/>
    <x v="9"/>
    <x v="28"/>
    <n v="5483"/>
    <x v="6"/>
    <x v="3"/>
  </r>
  <r>
    <x v="1"/>
    <x v="10"/>
    <x v="0"/>
    <n v="0"/>
    <x v="6"/>
    <x v="3"/>
  </r>
  <r>
    <x v="1"/>
    <x v="10"/>
    <x v="1"/>
    <n v="0"/>
    <x v="6"/>
    <x v="3"/>
  </r>
  <r>
    <x v="1"/>
    <x v="10"/>
    <x v="2"/>
    <n v="0"/>
    <x v="6"/>
    <x v="3"/>
  </r>
  <r>
    <x v="1"/>
    <x v="10"/>
    <x v="3"/>
    <n v="0"/>
    <x v="6"/>
    <x v="3"/>
  </r>
  <r>
    <x v="1"/>
    <x v="10"/>
    <x v="4"/>
    <n v="0"/>
    <x v="6"/>
    <x v="3"/>
  </r>
  <r>
    <x v="1"/>
    <x v="10"/>
    <x v="5"/>
    <n v="0"/>
    <x v="6"/>
    <x v="3"/>
  </r>
  <r>
    <x v="1"/>
    <x v="10"/>
    <x v="6"/>
    <n v="0"/>
    <x v="6"/>
    <x v="3"/>
  </r>
  <r>
    <x v="1"/>
    <x v="10"/>
    <x v="7"/>
    <n v="0"/>
    <x v="6"/>
    <x v="3"/>
  </r>
  <r>
    <x v="1"/>
    <x v="10"/>
    <x v="8"/>
    <n v="0"/>
    <x v="6"/>
    <x v="3"/>
  </r>
  <r>
    <x v="1"/>
    <x v="10"/>
    <x v="9"/>
    <n v="0"/>
    <x v="6"/>
    <x v="3"/>
  </r>
  <r>
    <x v="1"/>
    <x v="10"/>
    <x v="10"/>
    <n v="0"/>
    <x v="6"/>
    <x v="3"/>
  </r>
  <r>
    <x v="1"/>
    <x v="10"/>
    <x v="11"/>
    <n v="0"/>
    <x v="6"/>
    <x v="3"/>
  </r>
  <r>
    <x v="1"/>
    <x v="10"/>
    <x v="12"/>
    <n v="315"/>
    <x v="6"/>
    <x v="3"/>
  </r>
  <r>
    <x v="1"/>
    <x v="10"/>
    <x v="13"/>
    <n v="577"/>
    <x v="6"/>
    <x v="3"/>
  </r>
  <r>
    <x v="1"/>
    <x v="10"/>
    <x v="14"/>
    <n v="1571"/>
    <x v="6"/>
    <x v="3"/>
  </r>
  <r>
    <x v="1"/>
    <x v="10"/>
    <x v="15"/>
    <n v="1715"/>
    <x v="6"/>
    <x v="3"/>
  </r>
  <r>
    <x v="1"/>
    <x v="10"/>
    <x v="16"/>
    <n v="2165"/>
    <x v="6"/>
    <x v="3"/>
  </r>
  <r>
    <x v="1"/>
    <x v="10"/>
    <x v="17"/>
    <n v="2908"/>
    <x v="6"/>
    <x v="3"/>
  </r>
  <r>
    <x v="1"/>
    <x v="10"/>
    <x v="18"/>
    <n v="4221"/>
    <x v="6"/>
    <x v="3"/>
  </r>
  <r>
    <x v="1"/>
    <x v="10"/>
    <x v="19"/>
    <n v="4760"/>
    <x v="6"/>
    <x v="3"/>
  </r>
  <r>
    <x v="1"/>
    <x v="10"/>
    <x v="20"/>
    <n v="15328"/>
    <x v="6"/>
    <x v="3"/>
  </r>
  <r>
    <x v="1"/>
    <x v="10"/>
    <x v="21"/>
    <n v="20430"/>
    <x v="6"/>
    <x v="3"/>
  </r>
  <r>
    <x v="1"/>
    <x v="10"/>
    <x v="22"/>
    <n v="23188"/>
    <x v="6"/>
    <x v="3"/>
  </r>
  <r>
    <x v="1"/>
    <x v="10"/>
    <x v="23"/>
    <n v="24736"/>
    <x v="6"/>
    <x v="3"/>
  </r>
  <r>
    <x v="1"/>
    <x v="10"/>
    <x v="24"/>
    <n v="27027"/>
    <x v="6"/>
    <x v="3"/>
  </r>
  <r>
    <x v="1"/>
    <x v="10"/>
    <x v="25"/>
    <n v="28745"/>
    <x v="6"/>
    <x v="3"/>
  </r>
  <r>
    <x v="1"/>
    <x v="10"/>
    <x v="26"/>
    <n v="32077"/>
    <x v="6"/>
    <x v="3"/>
  </r>
  <r>
    <x v="1"/>
    <x v="10"/>
    <x v="27"/>
    <n v="31817"/>
    <x v="6"/>
    <x v="3"/>
  </r>
  <r>
    <x v="1"/>
    <x v="10"/>
    <x v="28"/>
    <n v="7020"/>
    <x v="6"/>
    <x v="3"/>
  </r>
  <r>
    <x v="1"/>
    <x v="11"/>
    <x v="0"/>
    <n v="0"/>
    <x v="6"/>
    <x v="3"/>
  </r>
  <r>
    <x v="1"/>
    <x v="11"/>
    <x v="1"/>
    <n v="0"/>
    <x v="6"/>
    <x v="3"/>
  </r>
  <r>
    <x v="1"/>
    <x v="11"/>
    <x v="2"/>
    <n v="0"/>
    <x v="6"/>
    <x v="3"/>
  </r>
  <r>
    <x v="1"/>
    <x v="11"/>
    <x v="3"/>
    <n v="0"/>
    <x v="6"/>
    <x v="3"/>
  </r>
  <r>
    <x v="1"/>
    <x v="11"/>
    <x v="4"/>
    <n v="0"/>
    <x v="6"/>
    <x v="3"/>
  </r>
  <r>
    <x v="1"/>
    <x v="11"/>
    <x v="5"/>
    <n v="0"/>
    <x v="6"/>
    <x v="3"/>
  </r>
  <r>
    <x v="1"/>
    <x v="11"/>
    <x v="6"/>
    <n v="0"/>
    <x v="6"/>
    <x v="3"/>
  </r>
  <r>
    <x v="1"/>
    <x v="11"/>
    <x v="7"/>
    <n v="0"/>
    <x v="6"/>
    <x v="3"/>
  </r>
  <r>
    <x v="1"/>
    <x v="11"/>
    <x v="8"/>
    <n v="0"/>
    <x v="6"/>
    <x v="3"/>
  </r>
  <r>
    <x v="1"/>
    <x v="11"/>
    <x v="9"/>
    <n v="0"/>
    <x v="6"/>
    <x v="3"/>
  </r>
  <r>
    <x v="1"/>
    <x v="11"/>
    <x v="10"/>
    <n v="0"/>
    <x v="6"/>
    <x v="3"/>
  </r>
  <r>
    <x v="1"/>
    <x v="11"/>
    <x v="11"/>
    <n v="0"/>
    <x v="6"/>
    <x v="3"/>
  </r>
  <r>
    <x v="1"/>
    <x v="11"/>
    <x v="12"/>
    <n v="0"/>
    <x v="6"/>
    <x v="3"/>
  </r>
  <r>
    <x v="1"/>
    <x v="11"/>
    <x v="13"/>
    <n v="0"/>
    <x v="6"/>
    <x v="3"/>
  </r>
  <r>
    <x v="1"/>
    <x v="11"/>
    <x v="14"/>
    <n v="0"/>
    <x v="6"/>
    <x v="3"/>
  </r>
  <r>
    <x v="1"/>
    <x v="11"/>
    <x v="15"/>
    <n v="0"/>
    <x v="6"/>
    <x v="3"/>
  </r>
  <r>
    <x v="1"/>
    <x v="11"/>
    <x v="16"/>
    <n v="2"/>
    <x v="6"/>
    <x v="3"/>
  </r>
  <r>
    <x v="1"/>
    <x v="11"/>
    <x v="17"/>
    <n v="16"/>
    <x v="6"/>
    <x v="3"/>
  </r>
  <r>
    <x v="1"/>
    <x v="11"/>
    <x v="18"/>
    <n v="24"/>
    <x v="6"/>
    <x v="3"/>
  </r>
  <r>
    <x v="1"/>
    <x v="11"/>
    <x v="19"/>
    <n v="17"/>
    <x v="6"/>
    <x v="3"/>
  </r>
  <r>
    <x v="1"/>
    <x v="11"/>
    <x v="20"/>
    <n v="160"/>
    <x v="6"/>
    <x v="3"/>
  </r>
  <r>
    <x v="1"/>
    <x v="11"/>
    <x v="21"/>
    <n v="4811"/>
    <x v="6"/>
    <x v="3"/>
  </r>
  <r>
    <x v="1"/>
    <x v="11"/>
    <x v="22"/>
    <n v="3569"/>
    <x v="6"/>
    <x v="3"/>
  </r>
  <r>
    <x v="1"/>
    <x v="11"/>
    <x v="23"/>
    <n v="5847"/>
    <x v="6"/>
    <x v="3"/>
  </r>
  <r>
    <x v="1"/>
    <x v="11"/>
    <x v="24"/>
    <n v="7267"/>
    <x v="6"/>
    <x v="3"/>
  </r>
  <r>
    <x v="1"/>
    <x v="11"/>
    <x v="25"/>
    <n v="5771"/>
    <x v="6"/>
    <x v="3"/>
  </r>
  <r>
    <x v="1"/>
    <x v="11"/>
    <x v="26"/>
    <n v="5627"/>
    <x v="6"/>
    <x v="3"/>
  </r>
  <r>
    <x v="1"/>
    <x v="11"/>
    <x v="27"/>
    <n v="9567"/>
    <x v="6"/>
    <x v="3"/>
  </r>
  <r>
    <x v="1"/>
    <x v="11"/>
    <x v="28"/>
    <n v="8984"/>
    <x v="6"/>
    <x v="3"/>
  </r>
  <r>
    <x v="1"/>
    <x v="12"/>
    <x v="0"/>
    <n v="321"/>
    <x v="6"/>
    <x v="3"/>
  </r>
  <r>
    <x v="1"/>
    <x v="12"/>
    <x v="1"/>
    <n v="500"/>
    <x v="6"/>
    <x v="3"/>
  </r>
  <r>
    <x v="1"/>
    <x v="12"/>
    <x v="2"/>
    <n v="684"/>
    <x v="6"/>
    <x v="3"/>
  </r>
  <r>
    <x v="1"/>
    <x v="12"/>
    <x v="3"/>
    <n v="640"/>
    <x v="6"/>
    <x v="3"/>
  </r>
  <r>
    <x v="1"/>
    <x v="12"/>
    <x v="4"/>
    <n v="649"/>
    <x v="6"/>
    <x v="3"/>
  </r>
  <r>
    <x v="1"/>
    <x v="12"/>
    <x v="5"/>
    <n v="822"/>
    <x v="6"/>
    <x v="3"/>
  </r>
  <r>
    <x v="1"/>
    <x v="12"/>
    <x v="6"/>
    <n v="1095"/>
    <x v="6"/>
    <x v="3"/>
  </r>
  <r>
    <x v="1"/>
    <x v="12"/>
    <x v="7"/>
    <n v="946"/>
    <x v="6"/>
    <x v="3"/>
  </r>
  <r>
    <x v="1"/>
    <x v="12"/>
    <x v="8"/>
    <n v="539"/>
    <x v="6"/>
    <x v="3"/>
  </r>
  <r>
    <x v="1"/>
    <x v="12"/>
    <x v="9"/>
    <n v="761"/>
    <x v="6"/>
    <x v="3"/>
  </r>
  <r>
    <x v="1"/>
    <x v="12"/>
    <x v="10"/>
    <n v="968"/>
    <x v="6"/>
    <x v="3"/>
  </r>
  <r>
    <x v="1"/>
    <x v="12"/>
    <x v="11"/>
    <n v="1214"/>
    <x v="6"/>
    <x v="3"/>
  </r>
  <r>
    <x v="1"/>
    <x v="12"/>
    <x v="12"/>
    <n v="1187"/>
    <x v="6"/>
    <x v="3"/>
  </r>
  <r>
    <x v="1"/>
    <x v="12"/>
    <x v="13"/>
    <n v="1500"/>
    <x v="6"/>
    <x v="3"/>
  </r>
  <r>
    <x v="1"/>
    <x v="12"/>
    <x v="14"/>
    <n v="1965"/>
    <x v="6"/>
    <x v="3"/>
  </r>
  <r>
    <x v="1"/>
    <x v="12"/>
    <x v="15"/>
    <n v="1940"/>
    <x v="6"/>
    <x v="3"/>
  </r>
  <r>
    <x v="1"/>
    <x v="12"/>
    <x v="16"/>
    <n v="1529"/>
    <x v="6"/>
    <x v="3"/>
  </r>
  <r>
    <x v="1"/>
    <x v="12"/>
    <x v="17"/>
    <n v="1032"/>
    <x v="6"/>
    <x v="3"/>
  </r>
  <r>
    <x v="1"/>
    <x v="12"/>
    <x v="18"/>
    <n v="1952"/>
    <x v="6"/>
    <x v="3"/>
  </r>
  <r>
    <x v="1"/>
    <x v="12"/>
    <x v="19"/>
    <n v="1818"/>
    <x v="6"/>
    <x v="3"/>
  </r>
  <r>
    <x v="1"/>
    <x v="12"/>
    <x v="20"/>
    <n v="1759"/>
    <x v="6"/>
    <x v="3"/>
  </r>
  <r>
    <x v="1"/>
    <x v="12"/>
    <x v="21"/>
    <n v="2687"/>
    <x v="6"/>
    <x v="3"/>
  </r>
  <r>
    <x v="1"/>
    <x v="12"/>
    <x v="22"/>
    <n v="5360"/>
    <x v="6"/>
    <x v="3"/>
  </r>
  <r>
    <x v="1"/>
    <x v="12"/>
    <x v="23"/>
    <n v="5498"/>
    <x v="6"/>
    <x v="3"/>
  </r>
  <r>
    <x v="1"/>
    <x v="12"/>
    <x v="24"/>
    <n v="5423"/>
    <x v="6"/>
    <x v="3"/>
  </r>
  <r>
    <x v="1"/>
    <x v="12"/>
    <x v="25"/>
    <n v="7831"/>
    <x v="6"/>
    <x v="3"/>
  </r>
  <r>
    <x v="1"/>
    <x v="12"/>
    <x v="26"/>
    <n v="10139"/>
    <x v="6"/>
    <x v="3"/>
  </r>
  <r>
    <x v="1"/>
    <x v="12"/>
    <x v="27"/>
    <n v="10164"/>
    <x v="6"/>
    <x v="3"/>
  </r>
  <r>
    <x v="1"/>
    <x v="12"/>
    <x v="28"/>
    <n v="8864"/>
    <x v="6"/>
    <x v="3"/>
  </r>
  <r>
    <x v="1"/>
    <x v="13"/>
    <x v="0"/>
    <n v="8573"/>
    <x v="6"/>
    <x v="3"/>
  </r>
  <r>
    <x v="1"/>
    <x v="13"/>
    <x v="1"/>
    <n v="8574"/>
    <x v="6"/>
    <x v="3"/>
  </r>
  <r>
    <x v="1"/>
    <x v="13"/>
    <x v="2"/>
    <n v="8573"/>
    <x v="6"/>
    <x v="3"/>
  </r>
  <r>
    <x v="1"/>
    <x v="13"/>
    <x v="3"/>
    <n v="8574"/>
    <x v="6"/>
    <x v="3"/>
  </r>
  <r>
    <x v="1"/>
    <x v="13"/>
    <x v="4"/>
    <n v="10301"/>
    <x v="6"/>
    <x v="3"/>
  </r>
  <r>
    <x v="1"/>
    <x v="13"/>
    <x v="5"/>
    <n v="10301"/>
    <x v="6"/>
    <x v="3"/>
  </r>
  <r>
    <x v="1"/>
    <x v="13"/>
    <x v="6"/>
    <n v="10301"/>
    <x v="6"/>
    <x v="3"/>
  </r>
  <r>
    <x v="1"/>
    <x v="13"/>
    <x v="7"/>
    <n v="10301"/>
    <x v="6"/>
    <x v="3"/>
  </r>
  <r>
    <x v="1"/>
    <x v="13"/>
    <x v="8"/>
    <n v="14222"/>
    <x v="6"/>
    <x v="3"/>
  </r>
  <r>
    <x v="1"/>
    <x v="13"/>
    <x v="9"/>
    <n v="14222"/>
    <x v="6"/>
    <x v="3"/>
  </r>
  <r>
    <x v="1"/>
    <x v="13"/>
    <x v="10"/>
    <n v="14223"/>
    <x v="6"/>
    <x v="3"/>
  </r>
  <r>
    <x v="1"/>
    <x v="13"/>
    <x v="11"/>
    <n v="14223"/>
    <x v="6"/>
    <x v="3"/>
  </r>
  <r>
    <x v="1"/>
    <x v="13"/>
    <x v="12"/>
    <n v="18317"/>
    <x v="6"/>
    <x v="3"/>
  </r>
  <r>
    <x v="1"/>
    <x v="13"/>
    <x v="13"/>
    <n v="18317"/>
    <x v="6"/>
    <x v="3"/>
  </r>
  <r>
    <x v="1"/>
    <x v="13"/>
    <x v="14"/>
    <n v="18318"/>
    <x v="6"/>
    <x v="3"/>
  </r>
  <r>
    <x v="1"/>
    <x v="13"/>
    <x v="15"/>
    <n v="18318"/>
    <x v="6"/>
    <x v="3"/>
  </r>
  <r>
    <x v="1"/>
    <x v="13"/>
    <x v="16"/>
    <n v="24872"/>
    <x v="6"/>
    <x v="3"/>
  </r>
  <r>
    <x v="1"/>
    <x v="13"/>
    <x v="17"/>
    <n v="24872"/>
    <x v="6"/>
    <x v="3"/>
  </r>
  <r>
    <x v="1"/>
    <x v="13"/>
    <x v="18"/>
    <n v="24872"/>
    <x v="6"/>
    <x v="3"/>
  </r>
  <r>
    <x v="1"/>
    <x v="13"/>
    <x v="19"/>
    <n v="24872"/>
    <x v="6"/>
    <x v="3"/>
  </r>
  <r>
    <x v="1"/>
    <x v="13"/>
    <x v="20"/>
    <n v="21286.5"/>
    <x v="6"/>
    <x v="3"/>
  </r>
  <r>
    <x v="1"/>
    <x v="13"/>
    <x v="21"/>
    <n v="21286.5"/>
    <x v="6"/>
    <x v="3"/>
  </r>
  <r>
    <x v="1"/>
    <x v="13"/>
    <x v="22"/>
    <n v="27644"/>
    <x v="6"/>
    <x v="3"/>
  </r>
  <r>
    <x v="1"/>
    <x v="13"/>
    <x v="23"/>
    <n v="27644"/>
    <x v="6"/>
    <x v="3"/>
  </r>
  <r>
    <x v="1"/>
    <x v="13"/>
    <x v="24"/>
    <n v="35125"/>
    <x v="6"/>
    <x v="3"/>
  </r>
  <r>
    <x v="1"/>
    <x v="13"/>
    <x v="25"/>
    <n v="35125"/>
    <x v="6"/>
    <x v="3"/>
  </r>
  <r>
    <x v="1"/>
    <x v="13"/>
    <x v="26"/>
    <n v="36053"/>
    <x v="6"/>
    <x v="3"/>
  </r>
  <r>
    <x v="1"/>
    <x v="13"/>
    <x v="27"/>
    <n v="36053"/>
    <x v="6"/>
    <x v="3"/>
  </r>
  <r>
    <x v="1"/>
    <x v="13"/>
    <x v="28"/>
    <n v="0"/>
    <x v="6"/>
    <x v="3"/>
  </r>
  <r>
    <x v="1"/>
    <x v="14"/>
    <x v="0"/>
    <n v="0"/>
    <x v="6"/>
    <x v="3"/>
  </r>
  <r>
    <x v="1"/>
    <x v="14"/>
    <x v="1"/>
    <n v="0"/>
    <x v="6"/>
    <x v="3"/>
  </r>
  <r>
    <x v="1"/>
    <x v="14"/>
    <x v="2"/>
    <n v="0"/>
    <x v="6"/>
    <x v="3"/>
  </r>
  <r>
    <x v="1"/>
    <x v="14"/>
    <x v="3"/>
    <n v="0"/>
    <x v="6"/>
    <x v="3"/>
  </r>
  <r>
    <x v="1"/>
    <x v="14"/>
    <x v="4"/>
    <n v="0"/>
    <x v="6"/>
    <x v="3"/>
  </r>
  <r>
    <x v="1"/>
    <x v="14"/>
    <x v="5"/>
    <n v="0"/>
    <x v="6"/>
    <x v="3"/>
  </r>
  <r>
    <x v="1"/>
    <x v="14"/>
    <x v="6"/>
    <n v="0"/>
    <x v="6"/>
    <x v="3"/>
  </r>
  <r>
    <x v="1"/>
    <x v="14"/>
    <x v="7"/>
    <n v="0"/>
    <x v="6"/>
    <x v="3"/>
  </r>
  <r>
    <x v="1"/>
    <x v="14"/>
    <x v="8"/>
    <n v="0"/>
    <x v="6"/>
    <x v="3"/>
  </r>
  <r>
    <x v="1"/>
    <x v="14"/>
    <x v="9"/>
    <n v="0"/>
    <x v="6"/>
    <x v="3"/>
  </r>
  <r>
    <x v="1"/>
    <x v="14"/>
    <x v="10"/>
    <n v="0"/>
    <x v="6"/>
    <x v="3"/>
  </r>
  <r>
    <x v="1"/>
    <x v="14"/>
    <x v="11"/>
    <n v="0"/>
    <x v="6"/>
    <x v="3"/>
  </r>
  <r>
    <x v="1"/>
    <x v="14"/>
    <x v="12"/>
    <n v="0"/>
    <x v="6"/>
    <x v="3"/>
  </r>
  <r>
    <x v="1"/>
    <x v="14"/>
    <x v="13"/>
    <n v="0"/>
    <x v="6"/>
    <x v="3"/>
  </r>
  <r>
    <x v="1"/>
    <x v="14"/>
    <x v="14"/>
    <n v="0"/>
    <x v="6"/>
    <x v="3"/>
  </r>
  <r>
    <x v="1"/>
    <x v="14"/>
    <x v="15"/>
    <n v="0"/>
    <x v="6"/>
    <x v="3"/>
  </r>
  <r>
    <x v="1"/>
    <x v="14"/>
    <x v="16"/>
    <n v="0"/>
    <x v="6"/>
    <x v="3"/>
  </r>
  <r>
    <x v="1"/>
    <x v="14"/>
    <x v="17"/>
    <n v="0"/>
    <x v="6"/>
    <x v="3"/>
  </r>
  <r>
    <x v="1"/>
    <x v="14"/>
    <x v="18"/>
    <n v="0"/>
    <x v="6"/>
    <x v="3"/>
  </r>
  <r>
    <x v="1"/>
    <x v="14"/>
    <x v="19"/>
    <n v="0"/>
    <x v="6"/>
    <x v="3"/>
  </r>
  <r>
    <x v="1"/>
    <x v="14"/>
    <x v="20"/>
    <n v="11709"/>
    <x v="6"/>
    <x v="3"/>
  </r>
  <r>
    <x v="1"/>
    <x v="14"/>
    <x v="21"/>
    <n v="11709"/>
    <x v="6"/>
    <x v="3"/>
  </r>
  <r>
    <x v="1"/>
    <x v="14"/>
    <x v="22"/>
    <n v="11709"/>
    <x v="6"/>
    <x v="3"/>
  </r>
  <r>
    <x v="1"/>
    <x v="14"/>
    <x v="23"/>
    <n v="11708"/>
    <x v="6"/>
    <x v="3"/>
  </r>
  <r>
    <x v="1"/>
    <x v="14"/>
    <x v="24"/>
    <n v="11277"/>
    <x v="6"/>
    <x v="3"/>
  </r>
  <r>
    <x v="1"/>
    <x v="14"/>
    <x v="25"/>
    <n v="11277"/>
    <x v="6"/>
    <x v="3"/>
  </r>
  <r>
    <x v="1"/>
    <x v="14"/>
    <x v="26"/>
    <n v="11277"/>
    <x v="6"/>
    <x v="3"/>
  </r>
  <r>
    <x v="1"/>
    <x v="14"/>
    <x v="27"/>
    <n v="11277"/>
    <x v="6"/>
    <x v="3"/>
  </r>
  <r>
    <x v="1"/>
    <x v="14"/>
    <x v="28"/>
    <n v="0"/>
    <x v="6"/>
    <x v="3"/>
  </r>
  <r>
    <x v="1"/>
    <x v="15"/>
    <x v="0"/>
    <n v="35773"/>
    <x v="2"/>
    <x v="3"/>
  </r>
  <r>
    <x v="1"/>
    <x v="15"/>
    <x v="1"/>
    <n v="40149"/>
    <x v="2"/>
    <x v="3"/>
  </r>
  <r>
    <x v="1"/>
    <x v="15"/>
    <x v="2"/>
    <n v="37633"/>
    <x v="2"/>
    <x v="3"/>
  </r>
  <r>
    <x v="1"/>
    <x v="15"/>
    <x v="3"/>
    <n v="37148"/>
    <x v="2"/>
    <x v="3"/>
  </r>
  <r>
    <x v="1"/>
    <x v="15"/>
    <x v="4"/>
    <n v="35320"/>
    <x v="2"/>
    <x v="3"/>
  </r>
  <r>
    <x v="1"/>
    <x v="15"/>
    <x v="5"/>
    <n v="41860"/>
    <x v="2"/>
    <x v="3"/>
  </r>
  <r>
    <x v="1"/>
    <x v="15"/>
    <x v="6"/>
    <n v="33280"/>
    <x v="2"/>
    <x v="3"/>
  </r>
  <r>
    <x v="1"/>
    <x v="15"/>
    <x v="7"/>
    <n v="32285"/>
    <x v="2"/>
    <x v="3"/>
  </r>
  <r>
    <x v="1"/>
    <x v="15"/>
    <x v="8"/>
    <n v="30356"/>
    <x v="2"/>
    <x v="3"/>
  </r>
  <r>
    <x v="1"/>
    <x v="15"/>
    <x v="9"/>
    <n v="31671"/>
    <x v="2"/>
    <x v="3"/>
  </r>
  <r>
    <x v="1"/>
    <x v="15"/>
    <x v="10"/>
    <n v="33147"/>
    <x v="2"/>
    <x v="3"/>
  </r>
  <r>
    <x v="1"/>
    <x v="15"/>
    <x v="11"/>
    <n v="35201"/>
    <x v="2"/>
    <x v="3"/>
  </r>
  <r>
    <x v="1"/>
    <x v="15"/>
    <x v="12"/>
    <n v="27189"/>
    <x v="2"/>
    <x v="3"/>
  </r>
  <r>
    <x v="1"/>
    <x v="15"/>
    <x v="13"/>
    <n v="34844"/>
    <x v="2"/>
    <x v="3"/>
  </r>
  <r>
    <x v="1"/>
    <x v="15"/>
    <x v="14"/>
    <n v="51580"/>
    <x v="2"/>
    <x v="3"/>
  </r>
  <r>
    <x v="1"/>
    <x v="15"/>
    <x v="15"/>
    <n v="55045"/>
    <x v="2"/>
    <x v="3"/>
  </r>
  <r>
    <x v="1"/>
    <x v="15"/>
    <x v="16"/>
    <n v="45329"/>
    <x v="2"/>
    <x v="3"/>
  </r>
  <r>
    <x v="1"/>
    <x v="15"/>
    <x v="17"/>
    <n v="47983"/>
    <x v="2"/>
    <x v="3"/>
  </r>
  <r>
    <x v="1"/>
    <x v="15"/>
    <x v="18"/>
    <n v="72658"/>
    <x v="2"/>
    <x v="3"/>
  </r>
  <r>
    <x v="1"/>
    <x v="15"/>
    <x v="19"/>
    <n v="98924"/>
    <x v="2"/>
    <x v="3"/>
  </r>
  <r>
    <x v="1"/>
    <x v="15"/>
    <x v="20"/>
    <n v="79493"/>
    <x v="2"/>
    <x v="3"/>
  </r>
  <r>
    <x v="1"/>
    <x v="15"/>
    <x v="21"/>
    <n v="120639"/>
    <x v="2"/>
    <x v="3"/>
  </r>
  <r>
    <x v="1"/>
    <x v="15"/>
    <x v="22"/>
    <n v="117834"/>
    <x v="2"/>
    <x v="3"/>
  </r>
  <r>
    <x v="1"/>
    <x v="15"/>
    <x v="23"/>
    <n v="98675"/>
    <x v="2"/>
    <x v="3"/>
  </r>
  <r>
    <x v="1"/>
    <x v="15"/>
    <x v="24"/>
    <n v="89264"/>
    <x v="2"/>
    <x v="3"/>
  </r>
  <r>
    <x v="1"/>
    <x v="15"/>
    <x v="25"/>
    <n v="106804"/>
    <x v="2"/>
    <x v="3"/>
  </r>
  <r>
    <x v="1"/>
    <x v="15"/>
    <x v="26"/>
    <n v="97059"/>
    <x v="2"/>
    <x v="3"/>
  </r>
  <r>
    <x v="1"/>
    <x v="15"/>
    <x v="27"/>
    <n v="98292"/>
    <x v="2"/>
    <x v="3"/>
  </r>
  <r>
    <x v="1"/>
    <x v="15"/>
    <x v="28"/>
    <n v="105593"/>
    <x v="2"/>
    <x v="3"/>
  </r>
  <r>
    <x v="1"/>
    <x v="16"/>
    <x v="0"/>
    <n v="2223"/>
    <x v="2"/>
    <x v="3"/>
  </r>
  <r>
    <x v="1"/>
    <x v="16"/>
    <x v="1"/>
    <n v="0"/>
    <x v="2"/>
    <x v="3"/>
  </r>
  <r>
    <x v="1"/>
    <x v="16"/>
    <x v="2"/>
    <n v="622"/>
    <x v="2"/>
    <x v="3"/>
  </r>
  <r>
    <x v="1"/>
    <x v="16"/>
    <x v="3"/>
    <n v="0"/>
    <x v="2"/>
    <x v="3"/>
  </r>
  <r>
    <x v="1"/>
    <x v="16"/>
    <x v="4"/>
    <n v="0"/>
    <x v="2"/>
    <x v="3"/>
  </r>
  <r>
    <x v="1"/>
    <x v="16"/>
    <x v="5"/>
    <n v="0"/>
    <x v="2"/>
    <x v="3"/>
  </r>
  <r>
    <x v="1"/>
    <x v="16"/>
    <x v="6"/>
    <n v="0"/>
    <x v="2"/>
    <x v="3"/>
  </r>
  <r>
    <x v="1"/>
    <x v="16"/>
    <x v="7"/>
    <n v="0"/>
    <x v="2"/>
    <x v="3"/>
  </r>
  <r>
    <x v="1"/>
    <x v="16"/>
    <x v="8"/>
    <n v="0"/>
    <x v="2"/>
    <x v="3"/>
  </r>
  <r>
    <x v="1"/>
    <x v="16"/>
    <x v="9"/>
    <n v="0"/>
    <x v="2"/>
    <x v="3"/>
  </r>
  <r>
    <x v="1"/>
    <x v="16"/>
    <x v="10"/>
    <n v="0"/>
    <x v="2"/>
    <x v="3"/>
  </r>
  <r>
    <x v="1"/>
    <x v="16"/>
    <x v="11"/>
    <n v="0"/>
    <x v="2"/>
    <x v="3"/>
  </r>
  <r>
    <x v="1"/>
    <x v="16"/>
    <x v="12"/>
    <n v="0"/>
    <x v="2"/>
    <x v="3"/>
  </r>
  <r>
    <x v="1"/>
    <x v="16"/>
    <x v="13"/>
    <n v="469"/>
    <x v="2"/>
    <x v="3"/>
  </r>
  <r>
    <x v="1"/>
    <x v="16"/>
    <x v="14"/>
    <n v="0"/>
    <x v="2"/>
    <x v="3"/>
  </r>
  <r>
    <x v="1"/>
    <x v="16"/>
    <x v="15"/>
    <n v="271"/>
    <x v="2"/>
    <x v="3"/>
  </r>
  <r>
    <x v="1"/>
    <x v="16"/>
    <x v="16"/>
    <n v="0"/>
    <x v="2"/>
    <x v="3"/>
  </r>
  <r>
    <x v="1"/>
    <x v="16"/>
    <x v="17"/>
    <n v="98"/>
    <x v="2"/>
    <x v="3"/>
  </r>
  <r>
    <x v="1"/>
    <x v="16"/>
    <x v="18"/>
    <n v="0"/>
    <x v="2"/>
    <x v="3"/>
  </r>
  <r>
    <x v="1"/>
    <x v="16"/>
    <x v="19"/>
    <n v="0"/>
    <x v="2"/>
    <x v="3"/>
  </r>
  <r>
    <x v="1"/>
    <x v="16"/>
    <x v="20"/>
    <n v="0"/>
    <x v="2"/>
    <x v="3"/>
  </r>
  <r>
    <x v="1"/>
    <x v="16"/>
    <x v="21"/>
    <n v="0"/>
    <x v="2"/>
    <x v="3"/>
  </r>
  <r>
    <x v="1"/>
    <x v="16"/>
    <x v="22"/>
    <n v="0"/>
    <x v="2"/>
    <x v="3"/>
  </r>
  <r>
    <x v="1"/>
    <x v="16"/>
    <x v="23"/>
    <n v="0"/>
    <x v="2"/>
    <x v="3"/>
  </r>
  <r>
    <x v="1"/>
    <x v="16"/>
    <x v="24"/>
    <n v="0"/>
    <x v="2"/>
    <x v="3"/>
  </r>
  <r>
    <x v="1"/>
    <x v="16"/>
    <x v="25"/>
    <n v="0"/>
    <x v="2"/>
    <x v="3"/>
  </r>
  <r>
    <x v="1"/>
    <x v="16"/>
    <x v="26"/>
    <n v="0"/>
    <x v="2"/>
    <x v="3"/>
  </r>
  <r>
    <x v="1"/>
    <x v="16"/>
    <x v="27"/>
    <n v="0"/>
    <x v="2"/>
    <x v="3"/>
  </r>
  <r>
    <x v="1"/>
    <x v="16"/>
    <x v="28"/>
    <n v="0"/>
    <x v="2"/>
    <x v="3"/>
  </r>
  <r>
    <x v="1"/>
    <x v="17"/>
    <x v="0"/>
    <n v="40263"/>
    <x v="2"/>
    <x v="3"/>
  </r>
  <r>
    <x v="1"/>
    <x v="17"/>
    <x v="1"/>
    <n v="40120"/>
    <x v="2"/>
    <x v="3"/>
  </r>
  <r>
    <x v="1"/>
    <x v="17"/>
    <x v="2"/>
    <n v="51501"/>
    <x v="2"/>
    <x v="3"/>
  </r>
  <r>
    <x v="1"/>
    <x v="17"/>
    <x v="3"/>
    <n v="36170"/>
    <x v="2"/>
    <x v="3"/>
  </r>
  <r>
    <x v="1"/>
    <x v="17"/>
    <x v="4"/>
    <n v="44266"/>
    <x v="2"/>
    <x v="3"/>
  </r>
  <r>
    <x v="1"/>
    <x v="17"/>
    <x v="5"/>
    <n v="52398"/>
    <x v="2"/>
    <x v="3"/>
  </r>
  <r>
    <x v="1"/>
    <x v="17"/>
    <x v="6"/>
    <n v="47958"/>
    <x v="2"/>
    <x v="3"/>
  </r>
  <r>
    <x v="1"/>
    <x v="17"/>
    <x v="7"/>
    <n v="70276"/>
    <x v="2"/>
    <x v="3"/>
  </r>
  <r>
    <x v="1"/>
    <x v="17"/>
    <x v="8"/>
    <n v="68913"/>
    <x v="2"/>
    <x v="3"/>
  </r>
  <r>
    <x v="1"/>
    <x v="17"/>
    <x v="9"/>
    <n v="73362"/>
    <x v="2"/>
    <x v="3"/>
  </r>
  <r>
    <x v="1"/>
    <x v="17"/>
    <x v="10"/>
    <n v="92640"/>
    <x v="2"/>
    <x v="3"/>
  </r>
  <r>
    <x v="1"/>
    <x v="17"/>
    <x v="11"/>
    <n v="95805"/>
    <x v="2"/>
    <x v="3"/>
  </r>
  <r>
    <x v="1"/>
    <x v="17"/>
    <x v="12"/>
    <n v="79909"/>
    <x v="2"/>
    <x v="3"/>
  </r>
  <r>
    <x v="1"/>
    <x v="17"/>
    <x v="13"/>
    <n v="88120"/>
    <x v="2"/>
    <x v="3"/>
  </r>
  <r>
    <x v="1"/>
    <x v="17"/>
    <x v="14"/>
    <n v="104296"/>
    <x v="2"/>
    <x v="3"/>
  </r>
  <r>
    <x v="1"/>
    <x v="17"/>
    <x v="15"/>
    <n v="89853"/>
    <x v="2"/>
    <x v="3"/>
  </r>
  <r>
    <x v="1"/>
    <x v="17"/>
    <x v="16"/>
    <n v="79069"/>
    <x v="2"/>
    <x v="3"/>
  </r>
  <r>
    <x v="1"/>
    <x v="17"/>
    <x v="17"/>
    <n v="59772"/>
    <x v="2"/>
    <x v="3"/>
  </r>
  <r>
    <x v="1"/>
    <x v="17"/>
    <x v="18"/>
    <n v="73079"/>
    <x v="2"/>
    <x v="3"/>
  </r>
  <r>
    <x v="1"/>
    <x v="17"/>
    <x v="19"/>
    <n v="29552"/>
    <x v="2"/>
    <x v="3"/>
  </r>
  <r>
    <x v="1"/>
    <x v="17"/>
    <x v="20"/>
    <n v="30850"/>
    <x v="2"/>
    <x v="3"/>
  </r>
  <r>
    <x v="1"/>
    <x v="17"/>
    <x v="21"/>
    <n v="30190"/>
    <x v="2"/>
    <x v="3"/>
  </r>
  <r>
    <x v="1"/>
    <x v="17"/>
    <x v="22"/>
    <n v="38072"/>
    <x v="2"/>
    <x v="3"/>
  </r>
  <r>
    <x v="1"/>
    <x v="17"/>
    <x v="23"/>
    <n v="34197"/>
    <x v="2"/>
    <x v="3"/>
  </r>
  <r>
    <x v="1"/>
    <x v="17"/>
    <x v="24"/>
    <n v="32146"/>
    <x v="2"/>
    <x v="3"/>
  </r>
  <r>
    <x v="1"/>
    <x v="17"/>
    <x v="25"/>
    <n v="31056"/>
    <x v="2"/>
    <x v="3"/>
  </r>
  <r>
    <x v="1"/>
    <x v="17"/>
    <x v="26"/>
    <n v="45346"/>
    <x v="2"/>
    <x v="3"/>
  </r>
  <r>
    <x v="1"/>
    <x v="17"/>
    <x v="27"/>
    <n v="23470"/>
    <x v="2"/>
    <x v="3"/>
  </r>
  <r>
    <x v="1"/>
    <x v="17"/>
    <x v="28"/>
    <n v="29714"/>
    <x v="2"/>
    <x v="3"/>
  </r>
  <r>
    <x v="1"/>
    <x v="18"/>
    <x v="0"/>
    <n v="60400"/>
    <x v="2"/>
    <x v="3"/>
  </r>
  <r>
    <x v="1"/>
    <x v="18"/>
    <x v="1"/>
    <n v="42330"/>
    <x v="2"/>
    <x v="3"/>
  </r>
  <r>
    <x v="1"/>
    <x v="18"/>
    <x v="2"/>
    <n v="51234"/>
    <x v="2"/>
    <x v="3"/>
  </r>
  <r>
    <x v="1"/>
    <x v="18"/>
    <x v="3"/>
    <n v="38364"/>
    <x v="2"/>
    <x v="3"/>
  </r>
  <r>
    <x v="1"/>
    <x v="18"/>
    <x v="4"/>
    <n v="41545"/>
    <x v="2"/>
    <x v="3"/>
  </r>
  <r>
    <x v="1"/>
    <x v="18"/>
    <x v="5"/>
    <n v="36241"/>
    <x v="2"/>
    <x v="3"/>
  </r>
  <r>
    <x v="1"/>
    <x v="18"/>
    <x v="6"/>
    <n v="65353"/>
    <x v="2"/>
    <x v="3"/>
  </r>
  <r>
    <x v="1"/>
    <x v="18"/>
    <x v="7"/>
    <n v="39825"/>
    <x v="2"/>
    <x v="3"/>
  </r>
  <r>
    <x v="1"/>
    <x v="18"/>
    <x v="8"/>
    <n v="21805"/>
    <x v="2"/>
    <x v="3"/>
  </r>
  <r>
    <x v="1"/>
    <x v="18"/>
    <x v="9"/>
    <n v="11729"/>
    <x v="2"/>
    <x v="3"/>
  </r>
  <r>
    <x v="1"/>
    <x v="18"/>
    <x v="10"/>
    <n v="14563"/>
    <x v="2"/>
    <x v="3"/>
  </r>
  <r>
    <x v="1"/>
    <x v="18"/>
    <x v="11"/>
    <n v="6624"/>
    <x v="2"/>
    <x v="3"/>
  </r>
  <r>
    <x v="1"/>
    <x v="18"/>
    <x v="12"/>
    <n v="6067"/>
    <x v="2"/>
    <x v="3"/>
  </r>
  <r>
    <x v="1"/>
    <x v="18"/>
    <x v="13"/>
    <n v="13083"/>
    <x v="2"/>
    <x v="3"/>
  </r>
  <r>
    <x v="1"/>
    <x v="18"/>
    <x v="14"/>
    <n v="2282"/>
    <x v="2"/>
    <x v="3"/>
  </r>
  <r>
    <x v="1"/>
    <x v="18"/>
    <x v="15"/>
    <n v="760"/>
    <x v="2"/>
    <x v="3"/>
  </r>
  <r>
    <x v="1"/>
    <x v="18"/>
    <x v="16"/>
    <n v="19"/>
    <x v="2"/>
    <x v="3"/>
  </r>
  <r>
    <x v="1"/>
    <x v="18"/>
    <x v="17"/>
    <n v="788"/>
    <x v="2"/>
    <x v="3"/>
  </r>
  <r>
    <x v="1"/>
    <x v="18"/>
    <x v="18"/>
    <n v="70"/>
    <x v="2"/>
    <x v="3"/>
  </r>
  <r>
    <x v="1"/>
    <x v="18"/>
    <x v="19"/>
    <n v="0"/>
    <x v="2"/>
    <x v="3"/>
  </r>
  <r>
    <x v="1"/>
    <x v="18"/>
    <x v="20"/>
    <n v="0"/>
    <x v="2"/>
    <x v="3"/>
  </r>
  <r>
    <x v="1"/>
    <x v="18"/>
    <x v="21"/>
    <n v="0"/>
    <x v="2"/>
    <x v="3"/>
  </r>
  <r>
    <x v="1"/>
    <x v="18"/>
    <x v="22"/>
    <n v="0"/>
    <x v="2"/>
    <x v="3"/>
  </r>
  <r>
    <x v="1"/>
    <x v="18"/>
    <x v="23"/>
    <n v="0"/>
    <x v="2"/>
    <x v="3"/>
  </r>
  <r>
    <x v="1"/>
    <x v="18"/>
    <x v="24"/>
    <n v="0"/>
    <x v="2"/>
    <x v="3"/>
  </r>
  <r>
    <x v="1"/>
    <x v="18"/>
    <x v="25"/>
    <n v="0"/>
    <x v="2"/>
    <x v="3"/>
  </r>
  <r>
    <x v="1"/>
    <x v="18"/>
    <x v="26"/>
    <n v="0"/>
    <x v="2"/>
    <x v="3"/>
  </r>
  <r>
    <x v="1"/>
    <x v="18"/>
    <x v="27"/>
    <n v="0"/>
    <x v="2"/>
    <x v="3"/>
  </r>
  <r>
    <x v="1"/>
    <x v="18"/>
    <x v="28"/>
    <n v="0"/>
    <x v="2"/>
    <x v="3"/>
  </r>
  <r>
    <x v="1"/>
    <x v="19"/>
    <x v="0"/>
    <n v="61"/>
    <x v="4"/>
    <x v="3"/>
  </r>
  <r>
    <x v="1"/>
    <x v="19"/>
    <x v="1"/>
    <n v="112"/>
    <x v="4"/>
    <x v="3"/>
  </r>
  <r>
    <x v="1"/>
    <x v="19"/>
    <x v="2"/>
    <n v="346"/>
    <x v="4"/>
    <x v="3"/>
  </r>
  <r>
    <x v="1"/>
    <x v="19"/>
    <x v="3"/>
    <n v="292"/>
    <x v="4"/>
    <x v="3"/>
  </r>
  <r>
    <x v="1"/>
    <x v="19"/>
    <x v="4"/>
    <n v="308"/>
    <x v="4"/>
    <x v="3"/>
  </r>
  <r>
    <x v="1"/>
    <x v="19"/>
    <x v="5"/>
    <n v="297"/>
    <x v="4"/>
    <x v="3"/>
  </r>
  <r>
    <x v="1"/>
    <x v="19"/>
    <x v="6"/>
    <n v="327"/>
    <x v="4"/>
    <x v="3"/>
  </r>
  <r>
    <x v="1"/>
    <x v="19"/>
    <x v="7"/>
    <n v="272"/>
    <x v="4"/>
    <x v="3"/>
  </r>
  <r>
    <x v="1"/>
    <x v="19"/>
    <x v="8"/>
    <n v="472"/>
    <x v="4"/>
    <x v="3"/>
  </r>
  <r>
    <x v="1"/>
    <x v="19"/>
    <x v="9"/>
    <n v="514"/>
    <x v="4"/>
    <x v="3"/>
  </r>
  <r>
    <x v="1"/>
    <x v="19"/>
    <x v="10"/>
    <n v="486"/>
    <x v="4"/>
    <x v="3"/>
  </r>
  <r>
    <x v="1"/>
    <x v="19"/>
    <x v="11"/>
    <n v="387"/>
    <x v="4"/>
    <x v="3"/>
  </r>
  <r>
    <x v="1"/>
    <x v="19"/>
    <x v="12"/>
    <n v="383"/>
    <x v="4"/>
    <x v="3"/>
  </r>
  <r>
    <x v="1"/>
    <x v="19"/>
    <x v="13"/>
    <n v="399"/>
    <x v="4"/>
    <x v="3"/>
  </r>
  <r>
    <x v="1"/>
    <x v="19"/>
    <x v="14"/>
    <n v="435"/>
    <x v="4"/>
    <x v="3"/>
  </r>
  <r>
    <x v="1"/>
    <x v="19"/>
    <x v="15"/>
    <n v="325"/>
    <x v="4"/>
    <x v="3"/>
  </r>
  <r>
    <x v="1"/>
    <x v="19"/>
    <x v="16"/>
    <n v="263"/>
    <x v="4"/>
    <x v="3"/>
  </r>
  <r>
    <x v="1"/>
    <x v="19"/>
    <x v="17"/>
    <n v="136"/>
    <x v="4"/>
    <x v="3"/>
  </r>
  <r>
    <x v="1"/>
    <x v="19"/>
    <x v="18"/>
    <n v="99"/>
    <x v="4"/>
    <x v="3"/>
  </r>
  <r>
    <x v="1"/>
    <x v="19"/>
    <x v="19"/>
    <n v="113"/>
    <x v="4"/>
    <x v="3"/>
  </r>
  <r>
    <x v="1"/>
    <x v="19"/>
    <x v="20"/>
    <n v="302"/>
    <x v="4"/>
    <x v="3"/>
  </r>
  <r>
    <x v="1"/>
    <x v="19"/>
    <x v="21"/>
    <n v="284"/>
    <x v="4"/>
    <x v="3"/>
  </r>
  <r>
    <x v="1"/>
    <x v="19"/>
    <x v="22"/>
    <n v="89"/>
    <x v="4"/>
    <x v="3"/>
  </r>
  <r>
    <x v="1"/>
    <x v="19"/>
    <x v="23"/>
    <n v="16"/>
    <x v="4"/>
    <x v="3"/>
  </r>
  <r>
    <x v="1"/>
    <x v="19"/>
    <x v="24"/>
    <n v="2"/>
    <x v="4"/>
    <x v="3"/>
  </r>
  <r>
    <x v="1"/>
    <x v="19"/>
    <x v="25"/>
    <n v="162"/>
    <x v="4"/>
    <x v="3"/>
  </r>
  <r>
    <x v="1"/>
    <x v="19"/>
    <x v="26"/>
    <n v="156"/>
    <x v="4"/>
    <x v="3"/>
  </r>
  <r>
    <x v="1"/>
    <x v="19"/>
    <x v="27"/>
    <n v="178"/>
    <x v="4"/>
    <x v="3"/>
  </r>
  <r>
    <x v="1"/>
    <x v="19"/>
    <x v="28"/>
    <n v="5"/>
    <x v="4"/>
    <x v="3"/>
  </r>
  <r>
    <x v="1"/>
    <x v="20"/>
    <x v="0"/>
    <n v="0"/>
    <x v="4"/>
    <x v="3"/>
  </r>
  <r>
    <x v="1"/>
    <x v="20"/>
    <x v="1"/>
    <n v="0"/>
    <x v="4"/>
    <x v="3"/>
  </r>
  <r>
    <x v="1"/>
    <x v="20"/>
    <x v="2"/>
    <n v="0"/>
    <x v="4"/>
    <x v="3"/>
  </r>
  <r>
    <x v="1"/>
    <x v="20"/>
    <x v="3"/>
    <n v="0"/>
    <x v="4"/>
    <x v="3"/>
  </r>
  <r>
    <x v="1"/>
    <x v="20"/>
    <x v="4"/>
    <n v="0"/>
    <x v="4"/>
    <x v="3"/>
  </r>
  <r>
    <x v="1"/>
    <x v="20"/>
    <x v="5"/>
    <n v="0"/>
    <x v="4"/>
    <x v="3"/>
  </r>
  <r>
    <x v="1"/>
    <x v="20"/>
    <x v="6"/>
    <n v="0"/>
    <x v="4"/>
    <x v="3"/>
  </r>
  <r>
    <x v="1"/>
    <x v="20"/>
    <x v="7"/>
    <n v="0"/>
    <x v="4"/>
    <x v="3"/>
  </r>
  <r>
    <x v="1"/>
    <x v="20"/>
    <x v="8"/>
    <n v="0"/>
    <x v="4"/>
    <x v="3"/>
  </r>
  <r>
    <x v="1"/>
    <x v="20"/>
    <x v="9"/>
    <n v="0"/>
    <x v="4"/>
    <x v="3"/>
  </r>
  <r>
    <x v="1"/>
    <x v="20"/>
    <x v="10"/>
    <n v="0"/>
    <x v="4"/>
    <x v="3"/>
  </r>
  <r>
    <x v="1"/>
    <x v="20"/>
    <x v="11"/>
    <n v="43"/>
    <x v="4"/>
    <x v="3"/>
  </r>
  <r>
    <x v="1"/>
    <x v="20"/>
    <x v="12"/>
    <n v="10"/>
    <x v="4"/>
    <x v="3"/>
  </r>
  <r>
    <x v="1"/>
    <x v="20"/>
    <x v="13"/>
    <n v="0"/>
    <x v="4"/>
    <x v="3"/>
  </r>
  <r>
    <x v="1"/>
    <x v="20"/>
    <x v="14"/>
    <n v="0"/>
    <x v="4"/>
    <x v="3"/>
  </r>
  <r>
    <x v="1"/>
    <x v="20"/>
    <x v="15"/>
    <n v="0"/>
    <x v="4"/>
    <x v="3"/>
  </r>
  <r>
    <x v="1"/>
    <x v="20"/>
    <x v="16"/>
    <n v="0"/>
    <x v="4"/>
    <x v="3"/>
  </r>
  <r>
    <x v="1"/>
    <x v="20"/>
    <x v="17"/>
    <n v="0"/>
    <x v="4"/>
    <x v="3"/>
  </r>
  <r>
    <x v="1"/>
    <x v="20"/>
    <x v="18"/>
    <n v="0"/>
    <x v="4"/>
    <x v="3"/>
  </r>
  <r>
    <x v="1"/>
    <x v="20"/>
    <x v="19"/>
    <n v="0"/>
    <x v="4"/>
    <x v="3"/>
  </r>
  <r>
    <x v="1"/>
    <x v="20"/>
    <x v="20"/>
    <n v="0"/>
    <x v="4"/>
    <x v="3"/>
  </r>
  <r>
    <x v="1"/>
    <x v="20"/>
    <x v="21"/>
    <n v="0"/>
    <x v="4"/>
    <x v="3"/>
  </r>
  <r>
    <x v="1"/>
    <x v="20"/>
    <x v="22"/>
    <n v="0"/>
    <x v="4"/>
    <x v="3"/>
  </r>
  <r>
    <x v="1"/>
    <x v="20"/>
    <x v="23"/>
    <n v="0"/>
    <x v="4"/>
    <x v="3"/>
  </r>
  <r>
    <x v="1"/>
    <x v="20"/>
    <x v="24"/>
    <n v="0"/>
    <x v="4"/>
    <x v="3"/>
  </r>
  <r>
    <x v="1"/>
    <x v="20"/>
    <x v="25"/>
    <n v="0"/>
    <x v="4"/>
    <x v="3"/>
  </r>
  <r>
    <x v="1"/>
    <x v="20"/>
    <x v="26"/>
    <n v="0"/>
    <x v="4"/>
    <x v="3"/>
  </r>
  <r>
    <x v="1"/>
    <x v="20"/>
    <x v="27"/>
    <n v="0"/>
    <x v="4"/>
    <x v="3"/>
  </r>
  <r>
    <x v="1"/>
    <x v="20"/>
    <x v="28"/>
    <n v="0"/>
    <x v="4"/>
    <x v="3"/>
  </r>
  <r>
    <x v="1"/>
    <x v="21"/>
    <x v="0"/>
    <n v="0"/>
    <x v="7"/>
    <x v="4"/>
  </r>
  <r>
    <x v="1"/>
    <x v="21"/>
    <x v="1"/>
    <n v="703"/>
    <x v="7"/>
    <x v="4"/>
  </r>
  <r>
    <x v="1"/>
    <x v="21"/>
    <x v="2"/>
    <n v="123"/>
    <x v="7"/>
    <x v="4"/>
  </r>
  <r>
    <x v="1"/>
    <x v="21"/>
    <x v="3"/>
    <n v="122"/>
    <x v="7"/>
    <x v="4"/>
  </r>
  <r>
    <x v="1"/>
    <x v="21"/>
    <x v="4"/>
    <n v="194"/>
    <x v="7"/>
    <x v="4"/>
  </r>
  <r>
    <x v="1"/>
    <x v="21"/>
    <x v="5"/>
    <n v="841"/>
    <x v="7"/>
    <x v="4"/>
  </r>
  <r>
    <x v="1"/>
    <x v="21"/>
    <x v="6"/>
    <n v="677"/>
    <x v="7"/>
    <x v="4"/>
  </r>
  <r>
    <x v="1"/>
    <x v="21"/>
    <x v="7"/>
    <n v="331"/>
    <x v="7"/>
    <x v="4"/>
  </r>
  <r>
    <x v="1"/>
    <x v="21"/>
    <x v="8"/>
    <n v="128"/>
    <x v="7"/>
    <x v="4"/>
  </r>
  <r>
    <x v="1"/>
    <x v="21"/>
    <x v="9"/>
    <n v="1205"/>
    <x v="7"/>
    <x v="4"/>
  </r>
  <r>
    <x v="1"/>
    <x v="21"/>
    <x v="10"/>
    <n v="401"/>
    <x v="7"/>
    <x v="4"/>
  </r>
  <r>
    <x v="1"/>
    <x v="21"/>
    <x v="11"/>
    <n v="1794"/>
    <x v="7"/>
    <x v="4"/>
  </r>
  <r>
    <x v="1"/>
    <x v="21"/>
    <x v="12"/>
    <n v="1564"/>
    <x v="7"/>
    <x v="4"/>
  </r>
  <r>
    <x v="1"/>
    <x v="21"/>
    <x v="13"/>
    <n v="2099"/>
    <x v="7"/>
    <x v="4"/>
  </r>
  <r>
    <x v="1"/>
    <x v="21"/>
    <x v="14"/>
    <n v="2409"/>
    <x v="7"/>
    <x v="4"/>
  </r>
  <r>
    <x v="1"/>
    <x v="21"/>
    <x v="15"/>
    <n v="2"/>
    <x v="7"/>
    <x v="4"/>
  </r>
  <r>
    <x v="1"/>
    <x v="21"/>
    <x v="16"/>
    <n v="2173"/>
    <x v="7"/>
    <x v="4"/>
  </r>
  <r>
    <x v="1"/>
    <x v="21"/>
    <x v="17"/>
    <n v="4738"/>
    <x v="7"/>
    <x v="4"/>
  </r>
  <r>
    <x v="1"/>
    <x v="21"/>
    <x v="18"/>
    <n v="1354"/>
    <x v="7"/>
    <x v="4"/>
  </r>
  <r>
    <x v="1"/>
    <x v="21"/>
    <x v="19"/>
    <n v="362"/>
    <x v="7"/>
    <x v="4"/>
  </r>
  <r>
    <x v="1"/>
    <x v="21"/>
    <x v="20"/>
    <n v="0"/>
    <x v="7"/>
    <x v="4"/>
  </r>
  <r>
    <x v="1"/>
    <x v="21"/>
    <x v="21"/>
    <n v="6892"/>
    <x v="7"/>
    <x v="4"/>
  </r>
  <r>
    <x v="1"/>
    <x v="21"/>
    <x v="22"/>
    <n v="341"/>
    <x v="7"/>
    <x v="4"/>
  </r>
  <r>
    <x v="1"/>
    <x v="21"/>
    <x v="23"/>
    <n v="1747"/>
    <x v="7"/>
    <x v="4"/>
  </r>
  <r>
    <x v="1"/>
    <x v="21"/>
    <x v="24"/>
    <n v="2958"/>
    <x v="7"/>
    <x v="4"/>
  </r>
  <r>
    <x v="1"/>
    <x v="21"/>
    <x v="25"/>
    <n v="4690"/>
    <x v="7"/>
    <x v="4"/>
  </r>
  <r>
    <x v="1"/>
    <x v="21"/>
    <x v="26"/>
    <n v="814"/>
    <x v="7"/>
    <x v="4"/>
  </r>
  <r>
    <x v="1"/>
    <x v="21"/>
    <x v="27"/>
    <n v="0"/>
    <x v="7"/>
    <x v="4"/>
  </r>
  <r>
    <x v="1"/>
    <x v="21"/>
    <x v="28"/>
    <n v="983"/>
    <x v="7"/>
    <x v="4"/>
  </r>
  <r>
    <x v="1"/>
    <x v="22"/>
    <x v="0"/>
    <n v="351"/>
    <x v="7"/>
    <x v="4"/>
  </r>
  <r>
    <x v="1"/>
    <x v="22"/>
    <x v="1"/>
    <n v="388"/>
    <x v="7"/>
    <x v="4"/>
  </r>
  <r>
    <x v="1"/>
    <x v="22"/>
    <x v="2"/>
    <n v="415"/>
    <x v="7"/>
    <x v="4"/>
  </r>
  <r>
    <x v="1"/>
    <x v="22"/>
    <x v="3"/>
    <n v="39"/>
    <x v="7"/>
    <x v="4"/>
  </r>
  <r>
    <x v="1"/>
    <x v="22"/>
    <x v="4"/>
    <n v="86"/>
    <x v="7"/>
    <x v="4"/>
  </r>
  <r>
    <x v="1"/>
    <x v="22"/>
    <x v="5"/>
    <n v="113"/>
    <x v="7"/>
    <x v="4"/>
  </r>
  <r>
    <x v="1"/>
    <x v="22"/>
    <x v="6"/>
    <n v="80"/>
    <x v="7"/>
    <x v="4"/>
  </r>
  <r>
    <x v="1"/>
    <x v="22"/>
    <x v="7"/>
    <n v="75"/>
    <x v="7"/>
    <x v="4"/>
  </r>
  <r>
    <x v="1"/>
    <x v="22"/>
    <x v="8"/>
    <n v="133"/>
    <x v="7"/>
    <x v="4"/>
  </r>
  <r>
    <x v="1"/>
    <x v="22"/>
    <x v="9"/>
    <n v="84"/>
    <x v="7"/>
    <x v="4"/>
  </r>
  <r>
    <x v="1"/>
    <x v="22"/>
    <x v="10"/>
    <n v="87"/>
    <x v="7"/>
    <x v="4"/>
  </r>
  <r>
    <x v="1"/>
    <x v="22"/>
    <x v="11"/>
    <n v="201"/>
    <x v="7"/>
    <x v="4"/>
  </r>
  <r>
    <x v="1"/>
    <x v="22"/>
    <x v="12"/>
    <n v="0"/>
    <x v="7"/>
    <x v="4"/>
  </r>
  <r>
    <x v="1"/>
    <x v="22"/>
    <x v="13"/>
    <n v="0"/>
    <x v="7"/>
    <x v="4"/>
  </r>
  <r>
    <x v="1"/>
    <x v="22"/>
    <x v="14"/>
    <n v="0"/>
    <x v="7"/>
    <x v="4"/>
  </r>
  <r>
    <x v="1"/>
    <x v="22"/>
    <x v="15"/>
    <n v="0"/>
    <x v="7"/>
    <x v="4"/>
  </r>
  <r>
    <x v="1"/>
    <x v="22"/>
    <x v="16"/>
    <n v="1500"/>
    <x v="7"/>
    <x v="4"/>
  </r>
  <r>
    <x v="1"/>
    <x v="22"/>
    <x v="17"/>
    <n v="1314"/>
    <x v="7"/>
    <x v="4"/>
  </r>
  <r>
    <x v="1"/>
    <x v="22"/>
    <x v="18"/>
    <n v="1891"/>
    <x v="7"/>
    <x v="4"/>
  </r>
  <r>
    <x v="1"/>
    <x v="22"/>
    <x v="19"/>
    <n v="1509"/>
    <x v="7"/>
    <x v="4"/>
  </r>
  <r>
    <x v="1"/>
    <x v="22"/>
    <x v="20"/>
    <n v="4714"/>
    <x v="7"/>
    <x v="4"/>
  </r>
  <r>
    <x v="1"/>
    <x v="22"/>
    <x v="21"/>
    <n v="5704"/>
    <x v="7"/>
    <x v="4"/>
  </r>
  <r>
    <x v="1"/>
    <x v="22"/>
    <x v="22"/>
    <n v="6051"/>
    <x v="7"/>
    <x v="4"/>
  </r>
  <r>
    <x v="1"/>
    <x v="22"/>
    <x v="23"/>
    <n v="5410"/>
    <x v="7"/>
    <x v="4"/>
  </r>
  <r>
    <x v="1"/>
    <x v="22"/>
    <x v="24"/>
    <n v="10570"/>
    <x v="7"/>
    <x v="4"/>
  </r>
  <r>
    <x v="1"/>
    <x v="22"/>
    <x v="25"/>
    <n v="11163"/>
    <x v="7"/>
    <x v="4"/>
  </r>
  <r>
    <x v="1"/>
    <x v="22"/>
    <x v="26"/>
    <n v="12837"/>
    <x v="7"/>
    <x v="4"/>
  </r>
  <r>
    <x v="1"/>
    <x v="22"/>
    <x v="27"/>
    <n v="11740"/>
    <x v="7"/>
    <x v="4"/>
  </r>
  <r>
    <x v="1"/>
    <x v="22"/>
    <x v="28"/>
    <n v="14631"/>
    <x v="7"/>
    <x v="4"/>
  </r>
  <r>
    <x v="1"/>
    <x v="23"/>
    <x v="0"/>
    <n v="0"/>
    <x v="8"/>
    <x v="3"/>
  </r>
  <r>
    <x v="1"/>
    <x v="23"/>
    <x v="1"/>
    <n v="0"/>
    <x v="8"/>
    <x v="3"/>
  </r>
  <r>
    <x v="1"/>
    <x v="23"/>
    <x v="2"/>
    <n v="0"/>
    <x v="8"/>
    <x v="3"/>
  </r>
  <r>
    <x v="1"/>
    <x v="23"/>
    <x v="3"/>
    <n v="0"/>
    <x v="8"/>
    <x v="3"/>
  </r>
  <r>
    <x v="1"/>
    <x v="23"/>
    <x v="4"/>
    <n v="0"/>
    <x v="8"/>
    <x v="3"/>
  </r>
  <r>
    <x v="1"/>
    <x v="23"/>
    <x v="5"/>
    <n v="0"/>
    <x v="8"/>
    <x v="3"/>
  </r>
  <r>
    <x v="1"/>
    <x v="23"/>
    <x v="6"/>
    <n v="0"/>
    <x v="8"/>
    <x v="3"/>
  </r>
  <r>
    <x v="1"/>
    <x v="23"/>
    <x v="7"/>
    <n v="0"/>
    <x v="8"/>
    <x v="3"/>
  </r>
  <r>
    <x v="1"/>
    <x v="23"/>
    <x v="8"/>
    <n v="0"/>
    <x v="8"/>
    <x v="3"/>
  </r>
  <r>
    <x v="1"/>
    <x v="23"/>
    <x v="9"/>
    <n v="0"/>
    <x v="8"/>
    <x v="3"/>
  </r>
  <r>
    <x v="1"/>
    <x v="23"/>
    <x v="10"/>
    <n v="0"/>
    <x v="8"/>
    <x v="3"/>
  </r>
  <r>
    <x v="1"/>
    <x v="23"/>
    <x v="11"/>
    <n v="0"/>
    <x v="8"/>
    <x v="3"/>
  </r>
  <r>
    <x v="1"/>
    <x v="23"/>
    <x v="12"/>
    <n v="0"/>
    <x v="8"/>
    <x v="3"/>
  </r>
  <r>
    <x v="1"/>
    <x v="23"/>
    <x v="13"/>
    <n v="0"/>
    <x v="8"/>
    <x v="3"/>
  </r>
  <r>
    <x v="1"/>
    <x v="23"/>
    <x v="14"/>
    <n v="0"/>
    <x v="8"/>
    <x v="3"/>
  </r>
  <r>
    <x v="1"/>
    <x v="23"/>
    <x v="15"/>
    <n v="0"/>
    <x v="8"/>
    <x v="3"/>
  </r>
  <r>
    <x v="1"/>
    <x v="23"/>
    <x v="16"/>
    <n v="0"/>
    <x v="8"/>
    <x v="3"/>
  </r>
  <r>
    <x v="1"/>
    <x v="23"/>
    <x v="17"/>
    <n v="0"/>
    <x v="8"/>
    <x v="3"/>
  </r>
  <r>
    <x v="1"/>
    <x v="23"/>
    <x v="18"/>
    <n v="0"/>
    <x v="8"/>
    <x v="3"/>
  </r>
  <r>
    <x v="1"/>
    <x v="23"/>
    <x v="19"/>
    <n v="0"/>
    <x v="8"/>
    <x v="3"/>
  </r>
  <r>
    <x v="1"/>
    <x v="23"/>
    <x v="20"/>
    <n v="115"/>
    <x v="8"/>
    <x v="3"/>
  </r>
  <r>
    <x v="1"/>
    <x v="23"/>
    <x v="21"/>
    <n v="127"/>
    <x v="8"/>
    <x v="3"/>
  </r>
  <r>
    <x v="1"/>
    <x v="23"/>
    <x v="22"/>
    <n v="88"/>
    <x v="8"/>
    <x v="3"/>
  </r>
  <r>
    <x v="1"/>
    <x v="23"/>
    <x v="23"/>
    <n v="83"/>
    <x v="8"/>
    <x v="3"/>
  </r>
  <r>
    <x v="1"/>
    <x v="23"/>
    <x v="24"/>
    <n v="56"/>
    <x v="8"/>
    <x v="3"/>
  </r>
  <r>
    <x v="1"/>
    <x v="23"/>
    <x v="25"/>
    <n v="60"/>
    <x v="8"/>
    <x v="3"/>
  </r>
  <r>
    <x v="1"/>
    <x v="23"/>
    <x v="26"/>
    <n v="59"/>
    <x v="8"/>
    <x v="3"/>
  </r>
  <r>
    <x v="1"/>
    <x v="23"/>
    <x v="27"/>
    <n v="65"/>
    <x v="8"/>
    <x v="3"/>
  </r>
  <r>
    <x v="1"/>
    <x v="23"/>
    <x v="28"/>
    <n v="46"/>
    <x v="8"/>
    <x v="3"/>
  </r>
  <r>
    <x v="1"/>
    <x v="24"/>
    <x v="0"/>
    <n v="0"/>
    <x v="9"/>
    <x v="3"/>
  </r>
  <r>
    <x v="1"/>
    <x v="24"/>
    <x v="1"/>
    <n v="0"/>
    <x v="9"/>
    <x v="3"/>
  </r>
  <r>
    <x v="1"/>
    <x v="24"/>
    <x v="2"/>
    <n v="0"/>
    <x v="9"/>
    <x v="3"/>
  </r>
  <r>
    <x v="1"/>
    <x v="24"/>
    <x v="3"/>
    <n v="0"/>
    <x v="9"/>
    <x v="3"/>
  </r>
  <r>
    <x v="1"/>
    <x v="24"/>
    <x v="4"/>
    <n v="0"/>
    <x v="9"/>
    <x v="3"/>
  </r>
  <r>
    <x v="1"/>
    <x v="24"/>
    <x v="5"/>
    <n v="0"/>
    <x v="9"/>
    <x v="3"/>
  </r>
  <r>
    <x v="1"/>
    <x v="24"/>
    <x v="6"/>
    <n v="0"/>
    <x v="9"/>
    <x v="3"/>
  </r>
  <r>
    <x v="1"/>
    <x v="24"/>
    <x v="7"/>
    <n v="0"/>
    <x v="9"/>
    <x v="3"/>
  </r>
  <r>
    <x v="1"/>
    <x v="24"/>
    <x v="8"/>
    <n v="0"/>
    <x v="9"/>
    <x v="3"/>
  </r>
  <r>
    <x v="1"/>
    <x v="24"/>
    <x v="9"/>
    <n v="0"/>
    <x v="9"/>
    <x v="3"/>
  </r>
  <r>
    <x v="1"/>
    <x v="24"/>
    <x v="10"/>
    <n v="0"/>
    <x v="9"/>
    <x v="3"/>
  </r>
  <r>
    <x v="1"/>
    <x v="24"/>
    <x v="11"/>
    <n v="0"/>
    <x v="9"/>
    <x v="3"/>
  </r>
  <r>
    <x v="1"/>
    <x v="24"/>
    <x v="12"/>
    <n v="0"/>
    <x v="9"/>
    <x v="3"/>
  </r>
  <r>
    <x v="1"/>
    <x v="24"/>
    <x v="13"/>
    <n v="0"/>
    <x v="9"/>
    <x v="3"/>
  </r>
  <r>
    <x v="1"/>
    <x v="24"/>
    <x v="14"/>
    <n v="1268"/>
    <x v="9"/>
    <x v="3"/>
  </r>
  <r>
    <x v="1"/>
    <x v="24"/>
    <x v="15"/>
    <n v="1235"/>
    <x v="9"/>
    <x v="3"/>
  </r>
  <r>
    <x v="1"/>
    <x v="24"/>
    <x v="16"/>
    <n v="1182"/>
    <x v="9"/>
    <x v="3"/>
  </r>
  <r>
    <x v="1"/>
    <x v="24"/>
    <x v="17"/>
    <n v="916"/>
    <x v="9"/>
    <x v="3"/>
  </r>
  <r>
    <x v="1"/>
    <x v="24"/>
    <x v="18"/>
    <n v="720"/>
    <x v="9"/>
    <x v="3"/>
  </r>
  <r>
    <x v="1"/>
    <x v="24"/>
    <x v="19"/>
    <n v="936"/>
    <x v="9"/>
    <x v="3"/>
  </r>
  <r>
    <x v="1"/>
    <x v="24"/>
    <x v="20"/>
    <n v="0"/>
    <x v="9"/>
    <x v="3"/>
  </r>
  <r>
    <x v="1"/>
    <x v="24"/>
    <x v="21"/>
    <n v="0"/>
    <x v="9"/>
    <x v="3"/>
  </r>
  <r>
    <x v="1"/>
    <x v="24"/>
    <x v="22"/>
    <n v="724"/>
    <x v="9"/>
    <x v="3"/>
  </r>
  <r>
    <x v="1"/>
    <x v="24"/>
    <x v="23"/>
    <n v="866"/>
    <x v="9"/>
    <x v="3"/>
  </r>
  <r>
    <x v="1"/>
    <x v="24"/>
    <x v="24"/>
    <n v="663"/>
    <x v="9"/>
    <x v="3"/>
  </r>
  <r>
    <x v="1"/>
    <x v="24"/>
    <x v="25"/>
    <n v="836"/>
    <x v="9"/>
    <x v="3"/>
  </r>
  <r>
    <x v="1"/>
    <x v="24"/>
    <x v="26"/>
    <n v="1316"/>
    <x v="9"/>
    <x v="3"/>
  </r>
  <r>
    <x v="1"/>
    <x v="24"/>
    <x v="27"/>
    <n v="993"/>
    <x v="9"/>
    <x v="3"/>
  </r>
  <r>
    <x v="1"/>
    <x v="24"/>
    <x v="28"/>
    <n v="1386"/>
    <x v="9"/>
    <x v="3"/>
  </r>
  <r>
    <x v="1"/>
    <x v="25"/>
    <x v="0"/>
    <n v="28"/>
    <x v="9"/>
    <x v="3"/>
  </r>
  <r>
    <x v="1"/>
    <x v="25"/>
    <x v="1"/>
    <n v="28"/>
    <x v="9"/>
    <x v="3"/>
  </r>
  <r>
    <x v="1"/>
    <x v="25"/>
    <x v="2"/>
    <n v="13"/>
    <x v="9"/>
    <x v="3"/>
  </r>
  <r>
    <x v="1"/>
    <x v="25"/>
    <x v="3"/>
    <n v="31"/>
    <x v="9"/>
    <x v="3"/>
  </r>
  <r>
    <x v="1"/>
    <x v="25"/>
    <x v="4"/>
    <n v="32"/>
    <x v="9"/>
    <x v="3"/>
  </r>
  <r>
    <x v="1"/>
    <x v="25"/>
    <x v="5"/>
    <n v="68"/>
    <x v="9"/>
    <x v="3"/>
  </r>
  <r>
    <x v="1"/>
    <x v="25"/>
    <x v="6"/>
    <n v="38"/>
    <x v="9"/>
    <x v="3"/>
  </r>
  <r>
    <x v="1"/>
    <x v="25"/>
    <x v="7"/>
    <n v="61"/>
    <x v="9"/>
    <x v="3"/>
  </r>
  <r>
    <x v="1"/>
    <x v="25"/>
    <x v="8"/>
    <n v="199"/>
    <x v="9"/>
    <x v="3"/>
  </r>
  <r>
    <x v="1"/>
    <x v="25"/>
    <x v="9"/>
    <n v="218"/>
    <x v="9"/>
    <x v="3"/>
  </r>
  <r>
    <x v="1"/>
    <x v="25"/>
    <x v="10"/>
    <n v="238"/>
    <x v="9"/>
    <x v="3"/>
  </r>
  <r>
    <x v="1"/>
    <x v="25"/>
    <x v="11"/>
    <n v="535"/>
    <x v="9"/>
    <x v="3"/>
  </r>
  <r>
    <x v="1"/>
    <x v="25"/>
    <x v="12"/>
    <n v="1219"/>
    <x v="9"/>
    <x v="3"/>
  </r>
  <r>
    <x v="1"/>
    <x v="25"/>
    <x v="13"/>
    <n v="1385"/>
    <x v="9"/>
    <x v="3"/>
  </r>
  <r>
    <x v="1"/>
    <x v="25"/>
    <x v="14"/>
    <n v="375"/>
    <x v="9"/>
    <x v="3"/>
  </r>
  <r>
    <x v="1"/>
    <x v="25"/>
    <x v="15"/>
    <n v="700"/>
    <x v="9"/>
    <x v="3"/>
  </r>
  <r>
    <x v="1"/>
    <x v="25"/>
    <x v="16"/>
    <n v="305"/>
    <x v="9"/>
    <x v="3"/>
  </r>
  <r>
    <x v="1"/>
    <x v="25"/>
    <x v="17"/>
    <n v="45"/>
    <x v="9"/>
    <x v="3"/>
  </r>
  <r>
    <x v="1"/>
    <x v="25"/>
    <x v="18"/>
    <n v="57"/>
    <x v="9"/>
    <x v="3"/>
  </r>
  <r>
    <x v="1"/>
    <x v="25"/>
    <x v="19"/>
    <n v="107"/>
    <x v="9"/>
    <x v="3"/>
  </r>
  <r>
    <x v="1"/>
    <x v="25"/>
    <x v="20"/>
    <n v="1318"/>
    <x v="9"/>
    <x v="3"/>
  </r>
  <r>
    <x v="1"/>
    <x v="25"/>
    <x v="21"/>
    <n v="1410"/>
    <x v="9"/>
    <x v="3"/>
  </r>
  <r>
    <x v="1"/>
    <x v="25"/>
    <x v="22"/>
    <n v="338"/>
    <x v="9"/>
    <x v="3"/>
  </r>
  <r>
    <x v="1"/>
    <x v="25"/>
    <x v="23"/>
    <n v="454"/>
    <x v="9"/>
    <x v="3"/>
  </r>
  <r>
    <x v="1"/>
    <x v="25"/>
    <x v="24"/>
    <n v="384"/>
    <x v="9"/>
    <x v="3"/>
  </r>
  <r>
    <x v="1"/>
    <x v="25"/>
    <x v="25"/>
    <n v="446"/>
    <x v="9"/>
    <x v="3"/>
  </r>
  <r>
    <x v="1"/>
    <x v="25"/>
    <x v="26"/>
    <n v="265"/>
    <x v="9"/>
    <x v="3"/>
  </r>
  <r>
    <x v="1"/>
    <x v="25"/>
    <x v="27"/>
    <n v="435"/>
    <x v="9"/>
    <x v="3"/>
  </r>
  <r>
    <x v="1"/>
    <x v="25"/>
    <x v="28"/>
    <n v="354"/>
    <x v="9"/>
    <x v="3"/>
  </r>
  <r>
    <x v="2"/>
    <x v="3"/>
    <x v="0"/>
    <n v="0"/>
    <x v="3"/>
    <x v="3"/>
  </r>
  <r>
    <x v="2"/>
    <x v="3"/>
    <x v="1"/>
    <n v="0"/>
    <x v="3"/>
    <x v="3"/>
  </r>
  <r>
    <x v="2"/>
    <x v="3"/>
    <x v="2"/>
    <n v="0"/>
    <x v="3"/>
    <x v="3"/>
  </r>
  <r>
    <x v="2"/>
    <x v="3"/>
    <x v="3"/>
    <n v="0"/>
    <x v="3"/>
    <x v="3"/>
  </r>
  <r>
    <x v="2"/>
    <x v="3"/>
    <x v="4"/>
    <n v="0"/>
    <x v="3"/>
    <x v="3"/>
  </r>
  <r>
    <x v="2"/>
    <x v="3"/>
    <x v="5"/>
    <n v="0"/>
    <x v="3"/>
    <x v="3"/>
  </r>
  <r>
    <x v="2"/>
    <x v="3"/>
    <x v="6"/>
    <n v="0"/>
    <x v="3"/>
    <x v="3"/>
  </r>
  <r>
    <x v="2"/>
    <x v="3"/>
    <x v="7"/>
    <n v="0"/>
    <x v="3"/>
    <x v="3"/>
  </r>
  <r>
    <x v="2"/>
    <x v="3"/>
    <x v="8"/>
    <n v="0"/>
    <x v="3"/>
    <x v="3"/>
  </r>
  <r>
    <x v="2"/>
    <x v="3"/>
    <x v="9"/>
    <n v="0"/>
    <x v="3"/>
    <x v="3"/>
  </r>
  <r>
    <x v="2"/>
    <x v="3"/>
    <x v="10"/>
    <n v="0"/>
    <x v="3"/>
    <x v="3"/>
  </r>
  <r>
    <x v="2"/>
    <x v="3"/>
    <x v="11"/>
    <n v="0"/>
    <x v="3"/>
    <x v="3"/>
  </r>
  <r>
    <x v="2"/>
    <x v="3"/>
    <x v="12"/>
    <n v="0"/>
    <x v="3"/>
    <x v="3"/>
  </r>
  <r>
    <x v="2"/>
    <x v="3"/>
    <x v="13"/>
    <n v="0"/>
    <x v="3"/>
    <x v="3"/>
  </r>
  <r>
    <x v="2"/>
    <x v="3"/>
    <x v="14"/>
    <n v="0"/>
    <x v="3"/>
    <x v="3"/>
  </r>
  <r>
    <x v="2"/>
    <x v="3"/>
    <x v="15"/>
    <n v="0"/>
    <x v="3"/>
    <x v="3"/>
  </r>
  <r>
    <x v="2"/>
    <x v="3"/>
    <x v="16"/>
    <n v="0"/>
    <x v="3"/>
    <x v="3"/>
  </r>
  <r>
    <x v="2"/>
    <x v="3"/>
    <x v="17"/>
    <n v="0"/>
    <x v="3"/>
    <x v="3"/>
  </r>
  <r>
    <x v="2"/>
    <x v="3"/>
    <x v="18"/>
    <n v="0"/>
    <x v="3"/>
    <x v="3"/>
  </r>
  <r>
    <x v="2"/>
    <x v="3"/>
    <x v="19"/>
    <n v="0"/>
    <x v="3"/>
    <x v="3"/>
  </r>
  <r>
    <x v="2"/>
    <x v="3"/>
    <x v="20"/>
    <n v="0"/>
    <x v="3"/>
    <x v="3"/>
  </r>
  <r>
    <x v="2"/>
    <x v="3"/>
    <x v="21"/>
    <n v="0"/>
    <x v="3"/>
    <x v="3"/>
  </r>
  <r>
    <x v="2"/>
    <x v="3"/>
    <x v="22"/>
    <n v="0"/>
    <x v="3"/>
    <x v="3"/>
  </r>
  <r>
    <x v="2"/>
    <x v="3"/>
    <x v="23"/>
    <n v="0"/>
    <x v="3"/>
    <x v="3"/>
  </r>
  <r>
    <x v="2"/>
    <x v="3"/>
    <x v="24"/>
    <n v="0"/>
    <x v="3"/>
    <x v="3"/>
  </r>
  <r>
    <x v="2"/>
    <x v="3"/>
    <x v="25"/>
    <n v="0"/>
    <x v="3"/>
    <x v="3"/>
  </r>
  <r>
    <x v="2"/>
    <x v="3"/>
    <x v="26"/>
    <n v="0"/>
    <x v="3"/>
    <x v="3"/>
  </r>
  <r>
    <x v="2"/>
    <x v="3"/>
    <x v="27"/>
    <n v="0"/>
    <x v="3"/>
    <x v="3"/>
  </r>
  <r>
    <x v="2"/>
    <x v="3"/>
    <x v="28"/>
    <n v="0"/>
    <x v="3"/>
    <x v="3"/>
  </r>
  <r>
    <x v="2"/>
    <x v="4"/>
    <x v="0"/>
    <n v="0"/>
    <x v="4"/>
    <x v="3"/>
  </r>
  <r>
    <x v="2"/>
    <x v="4"/>
    <x v="1"/>
    <n v="0"/>
    <x v="4"/>
    <x v="3"/>
  </r>
  <r>
    <x v="2"/>
    <x v="4"/>
    <x v="2"/>
    <n v="0"/>
    <x v="4"/>
    <x v="3"/>
  </r>
  <r>
    <x v="2"/>
    <x v="4"/>
    <x v="3"/>
    <n v="0"/>
    <x v="4"/>
    <x v="3"/>
  </r>
  <r>
    <x v="2"/>
    <x v="4"/>
    <x v="4"/>
    <n v="0"/>
    <x v="4"/>
    <x v="3"/>
  </r>
  <r>
    <x v="2"/>
    <x v="4"/>
    <x v="5"/>
    <n v="0"/>
    <x v="4"/>
    <x v="3"/>
  </r>
  <r>
    <x v="2"/>
    <x v="4"/>
    <x v="6"/>
    <n v="0"/>
    <x v="4"/>
    <x v="3"/>
  </r>
  <r>
    <x v="2"/>
    <x v="4"/>
    <x v="7"/>
    <n v="0"/>
    <x v="4"/>
    <x v="3"/>
  </r>
  <r>
    <x v="2"/>
    <x v="4"/>
    <x v="8"/>
    <n v="0"/>
    <x v="4"/>
    <x v="3"/>
  </r>
  <r>
    <x v="2"/>
    <x v="4"/>
    <x v="9"/>
    <n v="0"/>
    <x v="4"/>
    <x v="3"/>
  </r>
  <r>
    <x v="2"/>
    <x v="4"/>
    <x v="10"/>
    <n v="0"/>
    <x v="4"/>
    <x v="3"/>
  </r>
  <r>
    <x v="2"/>
    <x v="4"/>
    <x v="11"/>
    <n v="0"/>
    <x v="4"/>
    <x v="3"/>
  </r>
  <r>
    <x v="2"/>
    <x v="4"/>
    <x v="12"/>
    <n v="0"/>
    <x v="4"/>
    <x v="3"/>
  </r>
  <r>
    <x v="2"/>
    <x v="4"/>
    <x v="13"/>
    <n v="0"/>
    <x v="4"/>
    <x v="3"/>
  </r>
  <r>
    <x v="2"/>
    <x v="4"/>
    <x v="14"/>
    <n v="0"/>
    <x v="4"/>
    <x v="3"/>
  </r>
  <r>
    <x v="2"/>
    <x v="4"/>
    <x v="15"/>
    <n v="0"/>
    <x v="4"/>
    <x v="3"/>
  </r>
  <r>
    <x v="2"/>
    <x v="4"/>
    <x v="16"/>
    <n v="0"/>
    <x v="4"/>
    <x v="3"/>
  </r>
  <r>
    <x v="2"/>
    <x v="4"/>
    <x v="17"/>
    <n v="0"/>
    <x v="4"/>
    <x v="3"/>
  </r>
  <r>
    <x v="2"/>
    <x v="4"/>
    <x v="18"/>
    <n v="0"/>
    <x v="4"/>
    <x v="3"/>
  </r>
  <r>
    <x v="2"/>
    <x v="4"/>
    <x v="19"/>
    <n v="0"/>
    <x v="4"/>
    <x v="3"/>
  </r>
  <r>
    <x v="2"/>
    <x v="4"/>
    <x v="20"/>
    <n v="0"/>
    <x v="4"/>
    <x v="3"/>
  </r>
  <r>
    <x v="2"/>
    <x v="4"/>
    <x v="21"/>
    <n v="0"/>
    <x v="4"/>
    <x v="3"/>
  </r>
  <r>
    <x v="2"/>
    <x v="4"/>
    <x v="22"/>
    <n v="0"/>
    <x v="4"/>
    <x v="3"/>
  </r>
  <r>
    <x v="2"/>
    <x v="4"/>
    <x v="23"/>
    <n v="0"/>
    <x v="4"/>
    <x v="3"/>
  </r>
  <r>
    <x v="2"/>
    <x v="4"/>
    <x v="24"/>
    <n v="0"/>
    <x v="4"/>
    <x v="3"/>
  </r>
  <r>
    <x v="2"/>
    <x v="4"/>
    <x v="25"/>
    <n v="0"/>
    <x v="4"/>
    <x v="3"/>
  </r>
  <r>
    <x v="2"/>
    <x v="4"/>
    <x v="26"/>
    <n v="0"/>
    <x v="4"/>
    <x v="3"/>
  </r>
  <r>
    <x v="2"/>
    <x v="4"/>
    <x v="27"/>
    <n v="0"/>
    <x v="4"/>
    <x v="3"/>
  </r>
  <r>
    <x v="2"/>
    <x v="4"/>
    <x v="28"/>
    <n v="0"/>
    <x v="4"/>
    <x v="3"/>
  </r>
  <r>
    <x v="2"/>
    <x v="5"/>
    <x v="0"/>
    <n v="0"/>
    <x v="4"/>
    <x v="3"/>
  </r>
  <r>
    <x v="2"/>
    <x v="5"/>
    <x v="1"/>
    <n v="0"/>
    <x v="4"/>
    <x v="3"/>
  </r>
  <r>
    <x v="2"/>
    <x v="5"/>
    <x v="2"/>
    <n v="0"/>
    <x v="4"/>
    <x v="3"/>
  </r>
  <r>
    <x v="2"/>
    <x v="5"/>
    <x v="3"/>
    <n v="0"/>
    <x v="4"/>
    <x v="3"/>
  </r>
  <r>
    <x v="2"/>
    <x v="5"/>
    <x v="4"/>
    <n v="0"/>
    <x v="4"/>
    <x v="3"/>
  </r>
  <r>
    <x v="2"/>
    <x v="5"/>
    <x v="5"/>
    <n v="0"/>
    <x v="4"/>
    <x v="3"/>
  </r>
  <r>
    <x v="2"/>
    <x v="5"/>
    <x v="6"/>
    <n v="0"/>
    <x v="4"/>
    <x v="3"/>
  </r>
  <r>
    <x v="2"/>
    <x v="5"/>
    <x v="7"/>
    <n v="0"/>
    <x v="4"/>
    <x v="3"/>
  </r>
  <r>
    <x v="2"/>
    <x v="5"/>
    <x v="8"/>
    <n v="0"/>
    <x v="4"/>
    <x v="3"/>
  </r>
  <r>
    <x v="2"/>
    <x v="5"/>
    <x v="9"/>
    <n v="0"/>
    <x v="4"/>
    <x v="3"/>
  </r>
  <r>
    <x v="2"/>
    <x v="5"/>
    <x v="10"/>
    <n v="0"/>
    <x v="4"/>
    <x v="3"/>
  </r>
  <r>
    <x v="2"/>
    <x v="5"/>
    <x v="11"/>
    <n v="0"/>
    <x v="4"/>
    <x v="3"/>
  </r>
  <r>
    <x v="2"/>
    <x v="5"/>
    <x v="12"/>
    <n v="0"/>
    <x v="4"/>
    <x v="3"/>
  </r>
  <r>
    <x v="2"/>
    <x v="5"/>
    <x v="13"/>
    <n v="0"/>
    <x v="4"/>
    <x v="3"/>
  </r>
  <r>
    <x v="2"/>
    <x v="5"/>
    <x v="14"/>
    <n v="0"/>
    <x v="4"/>
    <x v="3"/>
  </r>
  <r>
    <x v="2"/>
    <x v="5"/>
    <x v="15"/>
    <n v="0"/>
    <x v="4"/>
    <x v="3"/>
  </r>
  <r>
    <x v="2"/>
    <x v="5"/>
    <x v="16"/>
    <n v="0"/>
    <x v="4"/>
    <x v="3"/>
  </r>
  <r>
    <x v="2"/>
    <x v="5"/>
    <x v="17"/>
    <n v="0"/>
    <x v="4"/>
    <x v="3"/>
  </r>
  <r>
    <x v="2"/>
    <x v="5"/>
    <x v="18"/>
    <n v="0"/>
    <x v="4"/>
    <x v="3"/>
  </r>
  <r>
    <x v="2"/>
    <x v="5"/>
    <x v="19"/>
    <n v="0"/>
    <x v="4"/>
    <x v="3"/>
  </r>
  <r>
    <x v="2"/>
    <x v="5"/>
    <x v="20"/>
    <n v="0"/>
    <x v="4"/>
    <x v="3"/>
  </r>
  <r>
    <x v="2"/>
    <x v="5"/>
    <x v="21"/>
    <n v="0"/>
    <x v="4"/>
    <x v="3"/>
  </r>
  <r>
    <x v="2"/>
    <x v="5"/>
    <x v="22"/>
    <n v="0"/>
    <x v="4"/>
    <x v="3"/>
  </r>
  <r>
    <x v="2"/>
    <x v="5"/>
    <x v="23"/>
    <n v="0"/>
    <x v="4"/>
    <x v="3"/>
  </r>
  <r>
    <x v="2"/>
    <x v="5"/>
    <x v="24"/>
    <n v="0"/>
    <x v="4"/>
    <x v="3"/>
  </r>
  <r>
    <x v="2"/>
    <x v="5"/>
    <x v="25"/>
    <n v="0"/>
    <x v="4"/>
    <x v="3"/>
  </r>
  <r>
    <x v="2"/>
    <x v="5"/>
    <x v="26"/>
    <n v="0"/>
    <x v="4"/>
    <x v="3"/>
  </r>
  <r>
    <x v="2"/>
    <x v="5"/>
    <x v="27"/>
    <n v="0"/>
    <x v="4"/>
    <x v="3"/>
  </r>
  <r>
    <x v="2"/>
    <x v="5"/>
    <x v="28"/>
    <n v="0"/>
    <x v="4"/>
    <x v="3"/>
  </r>
  <r>
    <x v="2"/>
    <x v="0"/>
    <x v="0"/>
    <n v="148"/>
    <x v="5"/>
    <x v="3"/>
  </r>
  <r>
    <x v="2"/>
    <x v="0"/>
    <x v="1"/>
    <n v="1256"/>
    <x v="5"/>
    <x v="3"/>
  </r>
  <r>
    <x v="2"/>
    <x v="0"/>
    <x v="2"/>
    <n v="1287"/>
    <x v="5"/>
    <x v="3"/>
  </r>
  <r>
    <x v="2"/>
    <x v="0"/>
    <x v="3"/>
    <n v="483"/>
    <x v="5"/>
    <x v="3"/>
  </r>
  <r>
    <x v="2"/>
    <x v="0"/>
    <x v="4"/>
    <n v="514"/>
    <x v="5"/>
    <x v="3"/>
  </r>
  <r>
    <x v="2"/>
    <x v="0"/>
    <x v="5"/>
    <n v="906"/>
    <x v="5"/>
    <x v="3"/>
  </r>
  <r>
    <x v="2"/>
    <x v="0"/>
    <x v="6"/>
    <n v="2144"/>
    <x v="5"/>
    <x v="3"/>
  </r>
  <r>
    <x v="2"/>
    <x v="0"/>
    <x v="7"/>
    <n v="1286"/>
    <x v="5"/>
    <x v="3"/>
  </r>
  <r>
    <x v="2"/>
    <x v="0"/>
    <x v="8"/>
    <n v="659"/>
    <x v="5"/>
    <x v="3"/>
  </r>
  <r>
    <x v="2"/>
    <x v="0"/>
    <x v="9"/>
    <n v="1134"/>
    <x v="5"/>
    <x v="3"/>
  </r>
  <r>
    <x v="2"/>
    <x v="0"/>
    <x v="10"/>
    <n v="1096"/>
    <x v="5"/>
    <x v="3"/>
  </r>
  <r>
    <x v="2"/>
    <x v="0"/>
    <x v="11"/>
    <n v="593"/>
    <x v="5"/>
    <x v="3"/>
  </r>
  <r>
    <x v="2"/>
    <x v="0"/>
    <x v="12"/>
    <n v="1869"/>
    <x v="5"/>
    <x v="3"/>
  </r>
  <r>
    <x v="2"/>
    <x v="0"/>
    <x v="13"/>
    <n v="1406"/>
    <x v="5"/>
    <x v="3"/>
  </r>
  <r>
    <x v="2"/>
    <x v="0"/>
    <x v="14"/>
    <n v="1513"/>
    <x v="5"/>
    <x v="3"/>
  </r>
  <r>
    <x v="2"/>
    <x v="0"/>
    <x v="15"/>
    <n v="942"/>
    <x v="5"/>
    <x v="3"/>
  </r>
  <r>
    <x v="2"/>
    <x v="0"/>
    <x v="16"/>
    <n v="159"/>
    <x v="5"/>
    <x v="3"/>
  </r>
  <r>
    <x v="2"/>
    <x v="0"/>
    <x v="17"/>
    <n v="3928"/>
    <x v="5"/>
    <x v="3"/>
  </r>
  <r>
    <x v="2"/>
    <x v="0"/>
    <x v="18"/>
    <n v="1445"/>
    <x v="5"/>
    <x v="3"/>
  </r>
  <r>
    <x v="2"/>
    <x v="0"/>
    <x v="19"/>
    <n v="3193"/>
    <x v="5"/>
    <x v="3"/>
  </r>
  <r>
    <x v="2"/>
    <x v="0"/>
    <x v="20"/>
    <n v="1374"/>
    <x v="5"/>
    <x v="3"/>
  </r>
  <r>
    <x v="2"/>
    <x v="0"/>
    <x v="21"/>
    <n v="382"/>
    <x v="5"/>
    <x v="3"/>
  </r>
  <r>
    <x v="2"/>
    <x v="0"/>
    <x v="22"/>
    <n v="2216"/>
    <x v="5"/>
    <x v="3"/>
  </r>
  <r>
    <x v="2"/>
    <x v="0"/>
    <x v="23"/>
    <n v="256"/>
    <x v="5"/>
    <x v="3"/>
  </r>
  <r>
    <x v="2"/>
    <x v="0"/>
    <x v="24"/>
    <n v="3822"/>
    <x v="5"/>
    <x v="3"/>
  </r>
  <r>
    <x v="2"/>
    <x v="0"/>
    <x v="25"/>
    <n v="10935"/>
    <x v="5"/>
    <x v="3"/>
  </r>
  <r>
    <x v="2"/>
    <x v="0"/>
    <x v="26"/>
    <n v="5915"/>
    <x v="5"/>
    <x v="3"/>
  </r>
  <r>
    <x v="2"/>
    <x v="0"/>
    <x v="27"/>
    <n v="4481"/>
    <x v="5"/>
    <x v="3"/>
  </r>
  <r>
    <x v="2"/>
    <x v="0"/>
    <x v="28"/>
    <n v="825"/>
    <x v="5"/>
    <x v="3"/>
  </r>
  <r>
    <x v="2"/>
    <x v="6"/>
    <x v="0"/>
    <n v="56065"/>
    <x v="5"/>
    <x v="4"/>
  </r>
  <r>
    <x v="2"/>
    <x v="6"/>
    <x v="1"/>
    <n v="47111"/>
    <x v="5"/>
    <x v="4"/>
  </r>
  <r>
    <x v="2"/>
    <x v="6"/>
    <x v="2"/>
    <n v="54209"/>
    <x v="5"/>
    <x v="4"/>
  </r>
  <r>
    <x v="2"/>
    <x v="6"/>
    <x v="3"/>
    <n v="48337"/>
    <x v="5"/>
    <x v="4"/>
  </r>
  <r>
    <x v="2"/>
    <x v="6"/>
    <x v="4"/>
    <n v="45529"/>
    <x v="5"/>
    <x v="4"/>
  </r>
  <r>
    <x v="2"/>
    <x v="6"/>
    <x v="5"/>
    <n v="60739"/>
    <x v="5"/>
    <x v="4"/>
  </r>
  <r>
    <x v="2"/>
    <x v="6"/>
    <x v="6"/>
    <n v="63246"/>
    <x v="5"/>
    <x v="4"/>
  </r>
  <r>
    <x v="2"/>
    <x v="6"/>
    <x v="7"/>
    <n v="52953"/>
    <x v="5"/>
    <x v="4"/>
  </r>
  <r>
    <x v="2"/>
    <x v="6"/>
    <x v="8"/>
    <n v="66852"/>
    <x v="5"/>
    <x v="4"/>
  </r>
  <r>
    <x v="2"/>
    <x v="6"/>
    <x v="9"/>
    <n v="76577"/>
    <x v="5"/>
    <x v="4"/>
  </r>
  <r>
    <x v="2"/>
    <x v="6"/>
    <x v="10"/>
    <n v="85850"/>
    <x v="5"/>
    <x v="4"/>
  </r>
  <r>
    <x v="2"/>
    <x v="6"/>
    <x v="11"/>
    <n v="71455"/>
    <x v="5"/>
    <x v="4"/>
  </r>
  <r>
    <x v="2"/>
    <x v="6"/>
    <x v="12"/>
    <n v="83000"/>
    <x v="5"/>
    <x v="4"/>
  </r>
  <r>
    <x v="2"/>
    <x v="6"/>
    <x v="13"/>
    <n v="79497"/>
    <x v="5"/>
    <x v="4"/>
  </r>
  <r>
    <x v="2"/>
    <x v="6"/>
    <x v="14"/>
    <n v="89450"/>
    <x v="5"/>
    <x v="4"/>
  </r>
  <r>
    <x v="2"/>
    <x v="6"/>
    <x v="15"/>
    <n v="85464"/>
    <x v="5"/>
    <x v="4"/>
  </r>
  <r>
    <x v="2"/>
    <x v="6"/>
    <x v="16"/>
    <n v="87193"/>
    <x v="5"/>
    <x v="4"/>
  </r>
  <r>
    <x v="2"/>
    <x v="6"/>
    <x v="17"/>
    <n v="109990"/>
    <x v="5"/>
    <x v="4"/>
  </r>
  <r>
    <x v="2"/>
    <x v="6"/>
    <x v="18"/>
    <n v="106701"/>
    <x v="5"/>
    <x v="4"/>
  </r>
  <r>
    <x v="2"/>
    <x v="6"/>
    <x v="19"/>
    <n v="109403"/>
    <x v="5"/>
    <x v="4"/>
  </r>
  <r>
    <x v="2"/>
    <x v="6"/>
    <x v="20"/>
    <n v="137418"/>
    <x v="5"/>
    <x v="4"/>
  </r>
  <r>
    <x v="2"/>
    <x v="6"/>
    <x v="21"/>
    <n v="137263"/>
    <x v="5"/>
    <x v="4"/>
  </r>
  <r>
    <x v="2"/>
    <x v="6"/>
    <x v="22"/>
    <n v="150795"/>
    <x v="5"/>
    <x v="4"/>
  </r>
  <r>
    <x v="2"/>
    <x v="6"/>
    <x v="23"/>
    <n v="126870"/>
    <x v="5"/>
    <x v="4"/>
  </r>
  <r>
    <x v="2"/>
    <x v="6"/>
    <x v="24"/>
    <n v="187065"/>
    <x v="5"/>
    <x v="4"/>
  </r>
  <r>
    <x v="2"/>
    <x v="6"/>
    <x v="25"/>
    <n v="167540"/>
    <x v="5"/>
    <x v="4"/>
  </r>
  <r>
    <x v="2"/>
    <x v="6"/>
    <x v="26"/>
    <n v="187460"/>
    <x v="5"/>
    <x v="4"/>
  </r>
  <r>
    <x v="2"/>
    <x v="6"/>
    <x v="27"/>
    <n v="179950"/>
    <x v="5"/>
    <x v="4"/>
  </r>
  <r>
    <x v="2"/>
    <x v="6"/>
    <x v="28"/>
    <n v="181223"/>
    <x v="5"/>
    <x v="4"/>
  </r>
  <r>
    <x v="2"/>
    <x v="7"/>
    <x v="0"/>
    <n v="0"/>
    <x v="5"/>
    <x v="4"/>
  </r>
  <r>
    <x v="2"/>
    <x v="7"/>
    <x v="1"/>
    <n v="0"/>
    <x v="5"/>
    <x v="4"/>
  </r>
  <r>
    <x v="2"/>
    <x v="7"/>
    <x v="2"/>
    <n v="0"/>
    <x v="5"/>
    <x v="4"/>
  </r>
  <r>
    <x v="2"/>
    <x v="7"/>
    <x v="3"/>
    <n v="0"/>
    <x v="5"/>
    <x v="4"/>
  </r>
  <r>
    <x v="2"/>
    <x v="7"/>
    <x v="4"/>
    <n v="0"/>
    <x v="5"/>
    <x v="4"/>
  </r>
  <r>
    <x v="2"/>
    <x v="7"/>
    <x v="5"/>
    <n v="0"/>
    <x v="5"/>
    <x v="4"/>
  </r>
  <r>
    <x v="2"/>
    <x v="7"/>
    <x v="6"/>
    <n v="0"/>
    <x v="5"/>
    <x v="4"/>
  </r>
  <r>
    <x v="2"/>
    <x v="7"/>
    <x v="7"/>
    <n v="0"/>
    <x v="5"/>
    <x v="4"/>
  </r>
  <r>
    <x v="2"/>
    <x v="7"/>
    <x v="8"/>
    <n v="0"/>
    <x v="5"/>
    <x v="4"/>
  </r>
  <r>
    <x v="2"/>
    <x v="7"/>
    <x v="9"/>
    <n v="0"/>
    <x v="5"/>
    <x v="4"/>
  </r>
  <r>
    <x v="2"/>
    <x v="7"/>
    <x v="10"/>
    <n v="0"/>
    <x v="5"/>
    <x v="4"/>
  </r>
  <r>
    <x v="2"/>
    <x v="7"/>
    <x v="11"/>
    <n v="0"/>
    <x v="5"/>
    <x v="4"/>
  </r>
  <r>
    <x v="2"/>
    <x v="7"/>
    <x v="12"/>
    <n v="3"/>
    <x v="5"/>
    <x v="4"/>
  </r>
  <r>
    <x v="2"/>
    <x v="7"/>
    <x v="13"/>
    <n v="11"/>
    <x v="5"/>
    <x v="4"/>
  </r>
  <r>
    <x v="2"/>
    <x v="7"/>
    <x v="14"/>
    <n v="13"/>
    <x v="5"/>
    <x v="4"/>
  </r>
  <r>
    <x v="2"/>
    <x v="7"/>
    <x v="15"/>
    <n v="9"/>
    <x v="5"/>
    <x v="4"/>
  </r>
  <r>
    <x v="2"/>
    <x v="7"/>
    <x v="16"/>
    <n v="61"/>
    <x v="5"/>
    <x v="4"/>
  </r>
  <r>
    <x v="2"/>
    <x v="7"/>
    <x v="17"/>
    <n v="18"/>
    <x v="5"/>
    <x v="4"/>
  </r>
  <r>
    <x v="2"/>
    <x v="7"/>
    <x v="18"/>
    <n v="20"/>
    <x v="5"/>
    <x v="4"/>
  </r>
  <r>
    <x v="2"/>
    <x v="7"/>
    <x v="19"/>
    <n v="56"/>
    <x v="5"/>
    <x v="4"/>
  </r>
  <r>
    <x v="2"/>
    <x v="7"/>
    <x v="20"/>
    <n v="85"/>
    <x v="5"/>
    <x v="4"/>
  </r>
  <r>
    <x v="2"/>
    <x v="7"/>
    <x v="21"/>
    <n v="187"/>
    <x v="5"/>
    <x v="4"/>
  </r>
  <r>
    <x v="2"/>
    <x v="7"/>
    <x v="22"/>
    <n v="117"/>
    <x v="5"/>
    <x v="4"/>
  </r>
  <r>
    <x v="2"/>
    <x v="7"/>
    <x v="23"/>
    <n v="103"/>
    <x v="5"/>
    <x v="4"/>
  </r>
  <r>
    <x v="2"/>
    <x v="7"/>
    <x v="24"/>
    <n v="89"/>
    <x v="5"/>
    <x v="4"/>
  </r>
  <r>
    <x v="2"/>
    <x v="7"/>
    <x v="25"/>
    <n v="336"/>
    <x v="5"/>
    <x v="4"/>
  </r>
  <r>
    <x v="2"/>
    <x v="7"/>
    <x v="26"/>
    <n v="601"/>
    <x v="5"/>
    <x v="4"/>
  </r>
  <r>
    <x v="2"/>
    <x v="7"/>
    <x v="27"/>
    <n v="224"/>
    <x v="5"/>
    <x v="4"/>
  </r>
  <r>
    <x v="2"/>
    <x v="7"/>
    <x v="28"/>
    <n v="318"/>
    <x v="5"/>
    <x v="4"/>
  </r>
  <r>
    <x v="2"/>
    <x v="8"/>
    <x v="0"/>
    <n v="455"/>
    <x v="5"/>
    <x v="4"/>
  </r>
  <r>
    <x v="2"/>
    <x v="8"/>
    <x v="1"/>
    <n v="213"/>
    <x v="5"/>
    <x v="4"/>
  </r>
  <r>
    <x v="2"/>
    <x v="8"/>
    <x v="2"/>
    <n v="194"/>
    <x v="5"/>
    <x v="4"/>
  </r>
  <r>
    <x v="2"/>
    <x v="8"/>
    <x v="3"/>
    <n v="169"/>
    <x v="5"/>
    <x v="4"/>
  </r>
  <r>
    <x v="2"/>
    <x v="8"/>
    <x v="4"/>
    <n v="262"/>
    <x v="5"/>
    <x v="4"/>
  </r>
  <r>
    <x v="2"/>
    <x v="8"/>
    <x v="5"/>
    <n v="335"/>
    <x v="5"/>
    <x v="4"/>
  </r>
  <r>
    <x v="2"/>
    <x v="8"/>
    <x v="6"/>
    <n v="309"/>
    <x v="5"/>
    <x v="4"/>
  </r>
  <r>
    <x v="2"/>
    <x v="8"/>
    <x v="7"/>
    <n v="367"/>
    <x v="5"/>
    <x v="4"/>
  </r>
  <r>
    <x v="2"/>
    <x v="8"/>
    <x v="8"/>
    <n v="549"/>
    <x v="5"/>
    <x v="4"/>
  </r>
  <r>
    <x v="2"/>
    <x v="8"/>
    <x v="9"/>
    <n v="437"/>
    <x v="5"/>
    <x v="4"/>
  </r>
  <r>
    <x v="2"/>
    <x v="8"/>
    <x v="10"/>
    <n v="534"/>
    <x v="5"/>
    <x v="4"/>
  </r>
  <r>
    <x v="2"/>
    <x v="8"/>
    <x v="11"/>
    <n v="488"/>
    <x v="5"/>
    <x v="4"/>
  </r>
  <r>
    <x v="2"/>
    <x v="8"/>
    <x v="12"/>
    <n v="1056"/>
    <x v="5"/>
    <x v="4"/>
  </r>
  <r>
    <x v="2"/>
    <x v="8"/>
    <x v="13"/>
    <n v="1593"/>
    <x v="5"/>
    <x v="4"/>
  </r>
  <r>
    <x v="2"/>
    <x v="8"/>
    <x v="14"/>
    <n v="1623"/>
    <x v="5"/>
    <x v="4"/>
  </r>
  <r>
    <x v="2"/>
    <x v="8"/>
    <x v="15"/>
    <n v="1064"/>
    <x v="5"/>
    <x v="4"/>
  </r>
  <r>
    <x v="2"/>
    <x v="8"/>
    <x v="16"/>
    <n v="1669"/>
    <x v="5"/>
    <x v="4"/>
  </r>
  <r>
    <x v="2"/>
    <x v="8"/>
    <x v="17"/>
    <n v="1319"/>
    <x v="5"/>
    <x v="4"/>
  </r>
  <r>
    <x v="2"/>
    <x v="8"/>
    <x v="18"/>
    <n v="1130"/>
    <x v="5"/>
    <x v="4"/>
  </r>
  <r>
    <x v="2"/>
    <x v="8"/>
    <x v="19"/>
    <n v="1139"/>
    <x v="5"/>
    <x v="4"/>
  </r>
  <r>
    <x v="2"/>
    <x v="8"/>
    <x v="20"/>
    <n v="1433"/>
    <x v="5"/>
    <x v="4"/>
  </r>
  <r>
    <x v="2"/>
    <x v="8"/>
    <x v="21"/>
    <n v="2091"/>
    <x v="5"/>
    <x v="4"/>
  </r>
  <r>
    <x v="2"/>
    <x v="8"/>
    <x v="22"/>
    <n v="1839"/>
    <x v="5"/>
    <x v="4"/>
  </r>
  <r>
    <x v="2"/>
    <x v="8"/>
    <x v="23"/>
    <n v="1273"/>
    <x v="5"/>
    <x v="4"/>
  </r>
  <r>
    <x v="2"/>
    <x v="8"/>
    <x v="24"/>
    <n v="2069"/>
    <x v="5"/>
    <x v="4"/>
  </r>
  <r>
    <x v="2"/>
    <x v="8"/>
    <x v="25"/>
    <n v="1838"/>
    <x v="5"/>
    <x v="4"/>
  </r>
  <r>
    <x v="2"/>
    <x v="8"/>
    <x v="26"/>
    <n v="1493"/>
    <x v="5"/>
    <x v="4"/>
  </r>
  <r>
    <x v="2"/>
    <x v="8"/>
    <x v="27"/>
    <n v="1116"/>
    <x v="5"/>
    <x v="4"/>
  </r>
  <r>
    <x v="2"/>
    <x v="8"/>
    <x v="28"/>
    <n v="1099"/>
    <x v="5"/>
    <x v="4"/>
  </r>
  <r>
    <x v="2"/>
    <x v="1"/>
    <x v="0"/>
    <n v="0"/>
    <x v="5"/>
    <x v="3"/>
  </r>
  <r>
    <x v="2"/>
    <x v="1"/>
    <x v="1"/>
    <n v="0"/>
    <x v="5"/>
    <x v="3"/>
  </r>
  <r>
    <x v="2"/>
    <x v="1"/>
    <x v="2"/>
    <n v="0"/>
    <x v="5"/>
    <x v="3"/>
  </r>
  <r>
    <x v="2"/>
    <x v="1"/>
    <x v="3"/>
    <n v="0"/>
    <x v="5"/>
    <x v="3"/>
  </r>
  <r>
    <x v="2"/>
    <x v="1"/>
    <x v="4"/>
    <n v="0"/>
    <x v="5"/>
    <x v="3"/>
  </r>
  <r>
    <x v="2"/>
    <x v="1"/>
    <x v="5"/>
    <n v="0"/>
    <x v="5"/>
    <x v="3"/>
  </r>
  <r>
    <x v="2"/>
    <x v="1"/>
    <x v="6"/>
    <n v="0"/>
    <x v="5"/>
    <x v="3"/>
  </r>
  <r>
    <x v="2"/>
    <x v="1"/>
    <x v="7"/>
    <n v="0"/>
    <x v="5"/>
    <x v="3"/>
  </r>
  <r>
    <x v="2"/>
    <x v="1"/>
    <x v="8"/>
    <n v="18"/>
    <x v="5"/>
    <x v="3"/>
  </r>
  <r>
    <x v="2"/>
    <x v="1"/>
    <x v="9"/>
    <n v="0"/>
    <x v="5"/>
    <x v="3"/>
  </r>
  <r>
    <x v="2"/>
    <x v="1"/>
    <x v="10"/>
    <n v="0"/>
    <x v="5"/>
    <x v="3"/>
  </r>
  <r>
    <x v="2"/>
    <x v="1"/>
    <x v="11"/>
    <n v="0"/>
    <x v="5"/>
    <x v="3"/>
  </r>
  <r>
    <x v="2"/>
    <x v="1"/>
    <x v="12"/>
    <n v="0"/>
    <x v="5"/>
    <x v="3"/>
  </r>
  <r>
    <x v="2"/>
    <x v="1"/>
    <x v="13"/>
    <n v="0"/>
    <x v="5"/>
    <x v="3"/>
  </r>
  <r>
    <x v="2"/>
    <x v="1"/>
    <x v="14"/>
    <n v="0"/>
    <x v="5"/>
    <x v="3"/>
  </r>
  <r>
    <x v="2"/>
    <x v="1"/>
    <x v="15"/>
    <n v="0"/>
    <x v="5"/>
    <x v="3"/>
  </r>
  <r>
    <x v="2"/>
    <x v="1"/>
    <x v="16"/>
    <n v="117"/>
    <x v="5"/>
    <x v="3"/>
  </r>
  <r>
    <x v="2"/>
    <x v="1"/>
    <x v="17"/>
    <n v="208"/>
    <x v="5"/>
    <x v="3"/>
  </r>
  <r>
    <x v="2"/>
    <x v="1"/>
    <x v="18"/>
    <n v="302"/>
    <x v="5"/>
    <x v="3"/>
  </r>
  <r>
    <x v="2"/>
    <x v="1"/>
    <x v="19"/>
    <n v="141"/>
    <x v="5"/>
    <x v="3"/>
  </r>
  <r>
    <x v="2"/>
    <x v="1"/>
    <x v="20"/>
    <n v="15454"/>
    <x v="5"/>
    <x v="3"/>
  </r>
  <r>
    <x v="2"/>
    <x v="1"/>
    <x v="21"/>
    <n v="29012"/>
    <x v="5"/>
    <x v="3"/>
  </r>
  <r>
    <x v="2"/>
    <x v="1"/>
    <x v="22"/>
    <n v="176"/>
    <x v="5"/>
    <x v="3"/>
  </r>
  <r>
    <x v="2"/>
    <x v="1"/>
    <x v="23"/>
    <n v="13383"/>
    <x v="5"/>
    <x v="3"/>
  </r>
  <r>
    <x v="2"/>
    <x v="1"/>
    <x v="24"/>
    <n v="4527"/>
    <x v="5"/>
    <x v="3"/>
  </r>
  <r>
    <x v="2"/>
    <x v="1"/>
    <x v="25"/>
    <n v="7887"/>
    <x v="5"/>
    <x v="3"/>
  </r>
  <r>
    <x v="2"/>
    <x v="1"/>
    <x v="26"/>
    <n v="28791"/>
    <x v="5"/>
    <x v="3"/>
  </r>
  <r>
    <x v="2"/>
    <x v="1"/>
    <x v="27"/>
    <n v="150"/>
    <x v="5"/>
    <x v="3"/>
  </r>
  <r>
    <x v="2"/>
    <x v="1"/>
    <x v="28"/>
    <n v="164"/>
    <x v="5"/>
    <x v="3"/>
  </r>
  <r>
    <x v="2"/>
    <x v="9"/>
    <x v="0"/>
    <n v="0"/>
    <x v="6"/>
    <x v="3"/>
  </r>
  <r>
    <x v="2"/>
    <x v="9"/>
    <x v="1"/>
    <n v="0"/>
    <x v="6"/>
    <x v="3"/>
  </r>
  <r>
    <x v="2"/>
    <x v="9"/>
    <x v="2"/>
    <n v="0"/>
    <x v="6"/>
    <x v="3"/>
  </r>
  <r>
    <x v="2"/>
    <x v="9"/>
    <x v="3"/>
    <n v="0"/>
    <x v="6"/>
    <x v="3"/>
  </r>
  <r>
    <x v="2"/>
    <x v="9"/>
    <x v="4"/>
    <n v="0"/>
    <x v="6"/>
    <x v="3"/>
  </r>
  <r>
    <x v="2"/>
    <x v="9"/>
    <x v="5"/>
    <n v="0"/>
    <x v="6"/>
    <x v="3"/>
  </r>
  <r>
    <x v="2"/>
    <x v="9"/>
    <x v="6"/>
    <n v="0"/>
    <x v="6"/>
    <x v="3"/>
  </r>
  <r>
    <x v="2"/>
    <x v="9"/>
    <x v="7"/>
    <n v="0"/>
    <x v="6"/>
    <x v="3"/>
  </r>
  <r>
    <x v="2"/>
    <x v="9"/>
    <x v="8"/>
    <n v="0"/>
    <x v="6"/>
    <x v="3"/>
  </r>
  <r>
    <x v="2"/>
    <x v="9"/>
    <x v="9"/>
    <n v="0"/>
    <x v="6"/>
    <x v="3"/>
  </r>
  <r>
    <x v="2"/>
    <x v="9"/>
    <x v="10"/>
    <n v="0"/>
    <x v="6"/>
    <x v="3"/>
  </r>
  <r>
    <x v="2"/>
    <x v="9"/>
    <x v="11"/>
    <n v="0"/>
    <x v="6"/>
    <x v="3"/>
  </r>
  <r>
    <x v="2"/>
    <x v="9"/>
    <x v="12"/>
    <n v="0"/>
    <x v="6"/>
    <x v="3"/>
  </r>
  <r>
    <x v="2"/>
    <x v="9"/>
    <x v="13"/>
    <n v="0"/>
    <x v="6"/>
    <x v="3"/>
  </r>
  <r>
    <x v="2"/>
    <x v="9"/>
    <x v="14"/>
    <n v="0"/>
    <x v="6"/>
    <x v="3"/>
  </r>
  <r>
    <x v="2"/>
    <x v="9"/>
    <x v="15"/>
    <n v="0"/>
    <x v="6"/>
    <x v="3"/>
  </r>
  <r>
    <x v="2"/>
    <x v="9"/>
    <x v="16"/>
    <n v="0"/>
    <x v="6"/>
    <x v="3"/>
  </r>
  <r>
    <x v="2"/>
    <x v="9"/>
    <x v="17"/>
    <n v="0"/>
    <x v="6"/>
    <x v="3"/>
  </r>
  <r>
    <x v="2"/>
    <x v="9"/>
    <x v="18"/>
    <n v="0"/>
    <x v="6"/>
    <x v="3"/>
  </r>
  <r>
    <x v="2"/>
    <x v="9"/>
    <x v="19"/>
    <n v="0"/>
    <x v="6"/>
    <x v="3"/>
  </r>
  <r>
    <x v="2"/>
    <x v="9"/>
    <x v="20"/>
    <n v="0"/>
    <x v="6"/>
    <x v="3"/>
  </r>
  <r>
    <x v="2"/>
    <x v="9"/>
    <x v="21"/>
    <n v="0"/>
    <x v="6"/>
    <x v="3"/>
  </r>
  <r>
    <x v="2"/>
    <x v="9"/>
    <x v="22"/>
    <n v="0"/>
    <x v="6"/>
    <x v="3"/>
  </r>
  <r>
    <x v="2"/>
    <x v="9"/>
    <x v="23"/>
    <n v="0"/>
    <x v="6"/>
    <x v="3"/>
  </r>
  <r>
    <x v="2"/>
    <x v="9"/>
    <x v="24"/>
    <n v="0"/>
    <x v="6"/>
    <x v="3"/>
  </r>
  <r>
    <x v="2"/>
    <x v="9"/>
    <x v="25"/>
    <n v="0"/>
    <x v="6"/>
    <x v="3"/>
  </r>
  <r>
    <x v="2"/>
    <x v="9"/>
    <x v="26"/>
    <n v="0"/>
    <x v="6"/>
    <x v="3"/>
  </r>
  <r>
    <x v="2"/>
    <x v="9"/>
    <x v="27"/>
    <n v="0"/>
    <x v="6"/>
    <x v="3"/>
  </r>
  <r>
    <x v="2"/>
    <x v="9"/>
    <x v="28"/>
    <n v="0"/>
    <x v="6"/>
    <x v="3"/>
  </r>
  <r>
    <x v="2"/>
    <x v="10"/>
    <x v="0"/>
    <n v="0"/>
    <x v="6"/>
    <x v="3"/>
  </r>
  <r>
    <x v="2"/>
    <x v="10"/>
    <x v="1"/>
    <n v="0"/>
    <x v="6"/>
    <x v="3"/>
  </r>
  <r>
    <x v="2"/>
    <x v="10"/>
    <x v="2"/>
    <n v="0"/>
    <x v="6"/>
    <x v="3"/>
  </r>
  <r>
    <x v="2"/>
    <x v="10"/>
    <x v="3"/>
    <n v="0"/>
    <x v="6"/>
    <x v="3"/>
  </r>
  <r>
    <x v="2"/>
    <x v="10"/>
    <x v="4"/>
    <n v="0"/>
    <x v="6"/>
    <x v="3"/>
  </r>
  <r>
    <x v="2"/>
    <x v="10"/>
    <x v="5"/>
    <n v="0"/>
    <x v="6"/>
    <x v="3"/>
  </r>
  <r>
    <x v="2"/>
    <x v="10"/>
    <x v="6"/>
    <n v="0"/>
    <x v="6"/>
    <x v="3"/>
  </r>
  <r>
    <x v="2"/>
    <x v="10"/>
    <x v="7"/>
    <n v="0"/>
    <x v="6"/>
    <x v="3"/>
  </r>
  <r>
    <x v="2"/>
    <x v="10"/>
    <x v="8"/>
    <n v="0"/>
    <x v="6"/>
    <x v="3"/>
  </r>
  <r>
    <x v="2"/>
    <x v="10"/>
    <x v="9"/>
    <n v="0"/>
    <x v="6"/>
    <x v="3"/>
  </r>
  <r>
    <x v="2"/>
    <x v="10"/>
    <x v="10"/>
    <n v="0"/>
    <x v="6"/>
    <x v="3"/>
  </r>
  <r>
    <x v="2"/>
    <x v="10"/>
    <x v="11"/>
    <n v="0"/>
    <x v="6"/>
    <x v="3"/>
  </r>
  <r>
    <x v="2"/>
    <x v="10"/>
    <x v="12"/>
    <n v="0"/>
    <x v="6"/>
    <x v="3"/>
  </r>
  <r>
    <x v="2"/>
    <x v="10"/>
    <x v="13"/>
    <n v="0"/>
    <x v="6"/>
    <x v="3"/>
  </r>
  <r>
    <x v="2"/>
    <x v="10"/>
    <x v="14"/>
    <n v="0"/>
    <x v="6"/>
    <x v="3"/>
  </r>
  <r>
    <x v="2"/>
    <x v="10"/>
    <x v="15"/>
    <n v="0"/>
    <x v="6"/>
    <x v="3"/>
  </r>
  <r>
    <x v="2"/>
    <x v="10"/>
    <x v="16"/>
    <n v="0"/>
    <x v="6"/>
    <x v="3"/>
  </r>
  <r>
    <x v="2"/>
    <x v="10"/>
    <x v="17"/>
    <n v="0"/>
    <x v="6"/>
    <x v="3"/>
  </r>
  <r>
    <x v="2"/>
    <x v="10"/>
    <x v="18"/>
    <n v="0"/>
    <x v="6"/>
    <x v="3"/>
  </r>
  <r>
    <x v="2"/>
    <x v="10"/>
    <x v="19"/>
    <n v="0"/>
    <x v="6"/>
    <x v="3"/>
  </r>
  <r>
    <x v="2"/>
    <x v="10"/>
    <x v="20"/>
    <n v="0"/>
    <x v="6"/>
    <x v="3"/>
  </r>
  <r>
    <x v="2"/>
    <x v="10"/>
    <x v="21"/>
    <n v="0"/>
    <x v="6"/>
    <x v="3"/>
  </r>
  <r>
    <x v="2"/>
    <x v="10"/>
    <x v="22"/>
    <n v="0"/>
    <x v="6"/>
    <x v="3"/>
  </r>
  <r>
    <x v="2"/>
    <x v="10"/>
    <x v="23"/>
    <n v="0"/>
    <x v="6"/>
    <x v="3"/>
  </r>
  <r>
    <x v="2"/>
    <x v="10"/>
    <x v="24"/>
    <n v="0"/>
    <x v="6"/>
    <x v="3"/>
  </r>
  <r>
    <x v="2"/>
    <x v="10"/>
    <x v="25"/>
    <n v="0"/>
    <x v="6"/>
    <x v="3"/>
  </r>
  <r>
    <x v="2"/>
    <x v="10"/>
    <x v="26"/>
    <n v="0"/>
    <x v="6"/>
    <x v="3"/>
  </r>
  <r>
    <x v="2"/>
    <x v="10"/>
    <x v="27"/>
    <n v="0"/>
    <x v="6"/>
    <x v="3"/>
  </r>
  <r>
    <x v="2"/>
    <x v="10"/>
    <x v="28"/>
    <n v="0"/>
    <x v="6"/>
    <x v="3"/>
  </r>
  <r>
    <x v="2"/>
    <x v="11"/>
    <x v="0"/>
    <n v="0"/>
    <x v="6"/>
    <x v="3"/>
  </r>
  <r>
    <x v="2"/>
    <x v="11"/>
    <x v="1"/>
    <n v="0"/>
    <x v="6"/>
    <x v="3"/>
  </r>
  <r>
    <x v="2"/>
    <x v="11"/>
    <x v="2"/>
    <n v="0"/>
    <x v="6"/>
    <x v="3"/>
  </r>
  <r>
    <x v="2"/>
    <x v="11"/>
    <x v="3"/>
    <n v="0"/>
    <x v="6"/>
    <x v="3"/>
  </r>
  <r>
    <x v="2"/>
    <x v="11"/>
    <x v="4"/>
    <n v="0"/>
    <x v="6"/>
    <x v="3"/>
  </r>
  <r>
    <x v="2"/>
    <x v="11"/>
    <x v="5"/>
    <n v="0"/>
    <x v="6"/>
    <x v="3"/>
  </r>
  <r>
    <x v="2"/>
    <x v="11"/>
    <x v="6"/>
    <n v="0"/>
    <x v="6"/>
    <x v="3"/>
  </r>
  <r>
    <x v="2"/>
    <x v="11"/>
    <x v="7"/>
    <n v="0"/>
    <x v="6"/>
    <x v="3"/>
  </r>
  <r>
    <x v="2"/>
    <x v="11"/>
    <x v="8"/>
    <n v="0"/>
    <x v="6"/>
    <x v="3"/>
  </r>
  <r>
    <x v="2"/>
    <x v="11"/>
    <x v="9"/>
    <n v="0"/>
    <x v="6"/>
    <x v="3"/>
  </r>
  <r>
    <x v="2"/>
    <x v="11"/>
    <x v="10"/>
    <n v="0"/>
    <x v="6"/>
    <x v="3"/>
  </r>
  <r>
    <x v="2"/>
    <x v="11"/>
    <x v="11"/>
    <n v="0"/>
    <x v="6"/>
    <x v="3"/>
  </r>
  <r>
    <x v="2"/>
    <x v="11"/>
    <x v="12"/>
    <n v="0"/>
    <x v="6"/>
    <x v="3"/>
  </r>
  <r>
    <x v="2"/>
    <x v="11"/>
    <x v="13"/>
    <n v="0"/>
    <x v="6"/>
    <x v="3"/>
  </r>
  <r>
    <x v="2"/>
    <x v="11"/>
    <x v="14"/>
    <n v="0"/>
    <x v="6"/>
    <x v="3"/>
  </r>
  <r>
    <x v="2"/>
    <x v="11"/>
    <x v="15"/>
    <n v="0"/>
    <x v="6"/>
    <x v="3"/>
  </r>
  <r>
    <x v="2"/>
    <x v="11"/>
    <x v="16"/>
    <n v="0"/>
    <x v="6"/>
    <x v="3"/>
  </r>
  <r>
    <x v="2"/>
    <x v="11"/>
    <x v="17"/>
    <n v="0"/>
    <x v="6"/>
    <x v="3"/>
  </r>
  <r>
    <x v="2"/>
    <x v="11"/>
    <x v="18"/>
    <n v="0"/>
    <x v="6"/>
    <x v="3"/>
  </r>
  <r>
    <x v="2"/>
    <x v="11"/>
    <x v="19"/>
    <n v="0"/>
    <x v="6"/>
    <x v="3"/>
  </r>
  <r>
    <x v="2"/>
    <x v="11"/>
    <x v="20"/>
    <n v="0"/>
    <x v="6"/>
    <x v="3"/>
  </r>
  <r>
    <x v="2"/>
    <x v="11"/>
    <x v="21"/>
    <n v="0"/>
    <x v="6"/>
    <x v="3"/>
  </r>
  <r>
    <x v="2"/>
    <x v="11"/>
    <x v="22"/>
    <n v="0"/>
    <x v="6"/>
    <x v="3"/>
  </r>
  <r>
    <x v="2"/>
    <x v="11"/>
    <x v="23"/>
    <n v="0"/>
    <x v="6"/>
    <x v="3"/>
  </r>
  <r>
    <x v="2"/>
    <x v="11"/>
    <x v="24"/>
    <n v="0"/>
    <x v="6"/>
    <x v="3"/>
  </r>
  <r>
    <x v="2"/>
    <x v="11"/>
    <x v="25"/>
    <n v="0"/>
    <x v="6"/>
    <x v="3"/>
  </r>
  <r>
    <x v="2"/>
    <x v="11"/>
    <x v="26"/>
    <n v="0"/>
    <x v="6"/>
    <x v="3"/>
  </r>
  <r>
    <x v="2"/>
    <x v="11"/>
    <x v="27"/>
    <n v="0"/>
    <x v="6"/>
    <x v="3"/>
  </r>
  <r>
    <x v="2"/>
    <x v="11"/>
    <x v="28"/>
    <n v="0"/>
    <x v="6"/>
    <x v="3"/>
  </r>
  <r>
    <x v="2"/>
    <x v="12"/>
    <x v="0"/>
    <n v="0"/>
    <x v="6"/>
    <x v="3"/>
  </r>
  <r>
    <x v="2"/>
    <x v="12"/>
    <x v="1"/>
    <n v="0"/>
    <x v="6"/>
    <x v="3"/>
  </r>
  <r>
    <x v="2"/>
    <x v="12"/>
    <x v="2"/>
    <n v="0"/>
    <x v="6"/>
    <x v="3"/>
  </r>
  <r>
    <x v="2"/>
    <x v="12"/>
    <x v="3"/>
    <n v="0"/>
    <x v="6"/>
    <x v="3"/>
  </r>
  <r>
    <x v="2"/>
    <x v="12"/>
    <x v="4"/>
    <n v="0"/>
    <x v="6"/>
    <x v="3"/>
  </r>
  <r>
    <x v="2"/>
    <x v="12"/>
    <x v="5"/>
    <n v="0"/>
    <x v="6"/>
    <x v="3"/>
  </r>
  <r>
    <x v="2"/>
    <x v="12"/>
    <x v="6"/>
    <n v="0"/>
    <x v="6"/>
    <x v="3"/>
  </r>
  <r>
    <x v="2"/>
    <x v="12"/>
    <x v="7"/>
    <n v="0"/>
    <x v="6"/>
    <x v="3"/>
  </r>
  <r>
    <x v="2"/>
    <x v="12"/>
    <x v="8"/>
    <n v="0"/>
    <x v="6"/>
    <x v="3"/>
  </r>
  <r>
    <x v="2"/>
    <x v="12"/>
    <x v="9"/>
    <n v="0"/>
    <x v="6"/>
    <x v="3"/>
  </r>
  <r>
    <x v="2"/>
    <x v="12"/>
    <x v="10"/>
    <n v="0"/>
    <x v="6"/>
    <x v="3"/>
  </r>
  <r>
    <x v="2"/>
    <x v="12"/>
    <x v="11"/>
    <n v="0"/>
    <x v="6"/>
    <x v="3"/>
  </r>
  <r>
    <x v="2"/>
    <x v="12"/>
    <x v="12"/>
    <n v="0"/>
    <x v="6"/>
    <x v="3"/>
  </r>
  <r>
    <x v="2"/>
    <x v="12"/>
    <x v="13"/>
    <n v="0"/>
    <x v="6"/>
    <x v="3"/>
  </r>
  <r>
    <x v="2"/>
    <x v="12"/>
    <x v="14"/>
    <n v="0"/>
    <x v="6"/>
    <x v="3"/>
  </r>
  <r>
    <x v="2"/>
    <x v="12"/>
    <x v="15"/>
    <n v="0"/>
    <x v="6"/>
    <x v="3"/>
  </r>
  <r>
    <x v="2"/>
    <x v="12"/>
    <x v="16"/>
    <n v="0"/>
    <x v="6"/>
    <x v="3"/>
  </r>
  <r>
    <x v="2"/>
    <x v="12"/>
    <x v="17"/>
    <n v="0"/>
    <x v="6"/>
    <x v="3"/>
  </r>
  <r>
    <x v="2"/>
    <x v="12"/>
    <x v="18"/>
    <n v="0"/>
    <x v="6"/>
    <x v="3"/>
  </r>
  <r>
    <x v="2"/>
    <x v="12"/>
    <x v="19"/>
    <n v="0"/>
    <x v="6"/>
    <x v="3"/>
  </r>
  <r>
    <x v="2"/>
    <x v="12"/>
    <x v="20"/>
    <n v="0"/>
    <x v="6"/>
    <x v="3"/>
  </r>
  <r>
    <x v="2"/>
    <x v="12"/>
    <x v="21"/>
    <n v="0"/>
    <x v="6"/>
    <x v="3"/>
  </r>
  <r>
    <x v="2"/>
    <x v="12"/>
    <x v="22"/>
    <n v="0"/>
    <x v="6"/>
    <x v="3"/>
  </r>
  <r>
    <x v="2"/>
    <x v="12"/>
    <x v="23"/>
    <n v="0"/>
    <x v="6"/>
    <x v="3"/>
  </r>
  <r>
    <x v="2"/>
    <x v="12"/>
    <x v="24"/>
    <n v="0"/>
    <x v="6"/>
    <x v="3"/>
  </r>
  <r>
    <x v="2"/>
    <x v="12"/>
    <x v="25"/>
    <n v="0"/>
    <x v="6"/>
    <x v="3"/>
  </r>
  <r>
    <x v="2"/>
    <x v="12"/>
    <x v="26"/>
    <n v="0"/>
    <x v="6"/>
    <x v="3"/>
  </r>
  <r>
    <x v="2"/>
    <x v="12"/>
    <x v="27"/>
    <n v="0"/>
    <x v="6"/>
    <x v="3"/>
  </r>
  <r>
    <x v="2"/>
    <x v="12"/>
    <x v="28"/>
    <n v="0"/>
    <x v="6"/>
    <x v="3"/>
  </r>
  <r>
    <x v="2"/>
    <x v="15"/>
    <x v="0"/>
    <n v="0"/>
    <x v="2"/>
    <x v="3"/>
  </r>
  <r>
    <x v="2"/>
    <x v="15"/>
    <x v="1"/>
    <n v="1516"/>
    <x v="2"/>
    <x v="3"/>
  </r>
  <r>
    <x v="2"/>
    <x v="15"/>
    <x v="2"/>
    <n v="2383"/>
    <x v="2"/>
    <x v="3"/>
  </r>
  <r>
    <x v="2"/>
    <x v="15"/>
    <x v="3"/>
    <n v="0"/>
    <x v="2"/>
    <x v="3"/>
  </r>
  <r>
    <x v="2"/>
    <x v="15"/>
    <x v="4"/>
    <n v="0"/>
    <x v="2"/>
    <x v="3"/>
  </r>
  <r>
    <x v="2"/>
    <x v="15"/>
    <x v="5"/>
    <n v="8226"/>
    <x v="2"/>
    <x v="3"/>
  </r>
  <r>
    <x v="2"/>
    <x v="15"/>
    <x v="6"/>
    <n v="0"/>
    <x v="2"/>
    <x v="3"/>
  </r>
  <r>
    <x v="2"/>
    <x v="15"/>
    <x v="7"/>
    <n v="0"/>
    <x v="2"/>
    <x v="3"/>
  </r>
  <r>
    <x v="2"/>
    <x v="15"/>
    <x v="8"/>
    <n v="292"/>
    <x v="2"/>
    <x v="3"/>
  </r>
  <r>
    <x v="2"/>
    <x v="15"/>
    <x v="9"/>
    <n v="0"/>
    <x v="2"/>
    <x v="3"/>
  </r>
  <r>
    <x v="2"/>
    <x v="15"/>
    <x v="10"/>
    <n v="0"/>
    <x v="2"/>
    <x v="3"/>
  </r>
  <r>
    <x v="2"/>
    <x v="15"/>
    <x v="11"/>
    <n v="3765"/>
    <x v="2"/>
    <x v="3"/>
  </r>
  <r>
    <x v="2"/>
    <x v="15"/>
    <x v="12"/>
    <n v="0"/>
    <x v="2"/>
    <x v="3"/>
  </r>
  <r>
    <x v="2"/>
    <x v="15"/>
    <x v="13"/>
    <n v="388"/>
    <x v="2"/>
    <x v="3"/>
  </r>
  <r>
    <x v="2"/>
    <x v="15"/>
    <x v="14"/>
    <n v="354"/>
    <x v="2"/>
    <x v="3"/>
  </r>
  <r>
    <x v="2"/>
    <x v="15"/>
    <x v="15"/>
    <n v="4915"/>
    <x v="2"/>
    <x v="3"/>
  </r>
  <r>
    <x v="2"/>
    <x v="15"/>
    <x v="16"/>
    <n v="106"/>
    <x v="2"/>
    <x v="3"/>
  </r>
  <r>
    <x v="2"/>
    <x v="15"/>
    <x v="17"/>
    <n v="3"/>
    <x v="2"/>
    <x v="3"/>
  </r>
  <r>
    <x v="2"/>
    <x v="15"/>
    <x v="18"/>
    <n v="6032"/>
    <x v="2"/>
    <x v="3"/>
  </r>
  <r>
    <x v="2"/>
    <x v="15"/>
    <x v="19"/>
    <n v="1252"/>
    <x v="2"/>
    <x v="3"/>
  </r>
  <r>
    <x v="2"/>
    <x v="15"/>
    <x v="20"/>
    <n v="1528"/>
    <x v="2"/>
    <x v="3"/>
  </r>
  <r>
    <x v="2"/>
    <x v="15"/>
    <x v="21"/>
    <n v="22"/>
    <x v="2"/>
    <x v="3"/>
  </r>
  <r>
    <x v="2"/>
    <x v="15"/>
    <x v="22"/>
    <n v="259"/>
    <x v="2"/>
    <x v="3"/>
  </r>
  <r>
    <x v="2"/>
    <x v="15"/>
    <x v="23"/>
    <n v="1640"/>
    <x v="2"/>
    <x v="3"/>
  </r>
  <r>
    <x v="2"/>
    <x v="15"/>
    <x v="24"/>
    <n v="5681"/>
    <x v="2"/>
    <x v="3"/>
  </r>
  <r>
    <x v="2"/>
    <x v="15"/>
    <x v="25"/>
    <n v="232"/>
    <x v="2"/>
    <x v="3"/>
  </r>
  <r>
    <x v="2"/>
    <x v="15"/>
    <x v="26"/>
    <n v="3642"/>
    <x v="2"/>
    <x v="3"/>
  </r>
  <r>
    <x v="2"/>
    <x v="15"/>
    <x v="27"/>
    <n v="25"/>
    <x v="2"/>
    <x v="3"/>
  </r>
  <r>
    <x v="2"/>
    <x v="15"/>
    <x v="28"/>
    <n v="0"/>
    <x v="2"/>
    <x v="3"/>
  </r>
  <r>
    <x v="2"/>
    <x v="16"/>
    <x v="0"/>
    <n v="0"/>
    <x v="2"/>
    <x v="3"/>
  </r>
  <r>
    <x v="2"/>
    <x v="16"/>
    <x v="1"/>
    <n v="0"/>
    <x v="2"/>
    <x v="3"/>
  </r>
  <r>
    <x v="2"/>
    <x v="16"/>
    <x v="2"/>
    <n v="0"/>
    <x v="2"/>
    <x v="3"/>
  </r>
  <r>
    <x v="2"/>
    <x v="16"/>
    <x v="3"/>
    <n v="0"/>
    <x v="2"/>
    <x v="3"/>
  </r>
  <r>
    <x v="2"/>
    <x v="16"/>
    <x v="4"/>
    <n v="0"/>
    <x v="2"/>
    <x v="3"/>
  </r>
  <r>
    <x v="2"/>
    <x v="16"/>
    <x v="5"/>
    <n v="0"/>
    <x v="2"/>
    <x v="3"/>
  </r>
  <r>
    <x v="2"/>
    <x v="16"/>
    <x v="6"/>
    <n v="0"/>
    <x v="2"/>
    <x v="3"/>
  </r>
  <r>
    <x v="2"/>
    <x v="16"/>
    <x v="7"/>
    <n v="0"/>
    <x v="2"/>
    <x v="3"/>
  </r>
  <r>
    <x v="2"/>
    <x v="16"/>
    <x v="8"/>
    <n v="0"/>
    <x v="2"/>
    <x v="3"/>
  </r>
  <r>
    <x v="2"/>
    <x v="16"/>
    <x v="9"/>
    <n v="0"/>
    <x v="2"/>
    <x v="3"/>
  </r>
  <r>
    <x v="2"/>
    <x v="16"/>
    <x v="10"/>
    <n v="0"/>
    <x v="2"/>
    <x v="3"/>
  </r>
  <r>
    <x v="2"/>
    <x v="16"/>
    <x v="11"/>
    <n v="0"/>
    <x v="2"/>
    <x v="3"/>
  </r>
  <r>
    <x v="2"/>
    <x v="16"/>
    <x v="12"/>
    <n v="0"/>
    <x v="2"/>
    <x v="3"/>
  </r>
  <r>
    <x v="2"/>
    <x v="16"/>
    <x v="13"/>
    <n v="0"/>
    <x v="2"/>
    <x v="3"/>
  </r>
  <r>
    <x v="2"/>
    <x v="16"/>
    <x v="14"/>
    <n v="0"/>
    <x v="2"/>
    <x v="3"/>
  </r>
  <r>
    <x v="2"/>
    <x v="16"/>
    <x v="15"/>
    <n v="0"/>
    <x v="2"/>
    <x v="3"/>
  </r>
  <r>
    <x v="2"/>
    <x v="16"/>
    <x v="16"/>
    <n v="4"/>
    <x v="2"/>
    <x v="3"/>
  </r>
  <r>
    <x v="2"/>
    <x v="16"/>
    <x v="17"/>
    <n v="0"/>
    <x v="2"/>
    <x v="3"/>
  </r>
  <r>
    <x v="2"/>
    <x v="16"/>
    <x v="18"/>
    <n v="0"/>
    <x v="2"/>
    <x v="3"/>
  </r>
  <r>
    <x v="2"/>
    <x v="16"/>
    <x v="19"/>
    <n v="0"/>
    <x v="2"/>
    <x v="3"/>
  </r>
  <r>
    <x v="2"/>
    <x v="16"/>
    <x v="20"/>
    <n v="0"/>
    <x v="2"/>
    <x v="3"/>
  </r>
  <r>
    <x v="2"/>
    <x v="16"/>
    <x v="21"/>
    <n v="0"/>
    <x v="2"/>
    <x v="3"/>
  </r>
  <r>
    <x v="2"/>
    <x v="16"/>
    <x v="22"/>
    <n v="0"/>
    <x v="2"/>
    <x v="3"/>
  </r>
  <r>
    <x v="2"/>
    <x v="16"/>
    <x v="23"/>
    <n v="0"/>
    <x v="2"/>
    <x v="3"/>
  </r>
  <r>
    <x v="2"/>
    <x v="16"/>
    <x v="24"/>
    <n v="0"/>
    <x v="2"/>
    <x v="3"/>
  </r>
  <r>
    <x v="2"/>
    <x v="16"/>
    <x v="25"/>
    <n v="0"/>
    <x v="2"/>
    <x v="3"/>
  </r>
  <r>
    <x v="2"/>
    <x v="16"/>
    <x v="26"/>
    <n v="0"/>
    <x v="2"/>
    <x v="3"/>
  </r>
  <r>
    <x v="2"/>
    <x v="16"/>
    <x v="27"/>
    <n v="0"/>
    <x v="2"/>
    <x v="3"/>
  </r>
  <r>
    <x v="2"/>
    <x v="16"/>
    <x v="28"/>
    <n v="28"/>
    <x v="2"/>
    <x v="3"/>
  </r>
  <r>
    <x v="2"/>
    <x v="17"/>
    <x v="0"/>
    <n v="0"/>
    <x v="2"/>
    <x v="3"/>
  </r>
  <r>
    <x v="2"/>
    <x v="17"/>
    <x v="1"/>
    <n v="1817"/>
    <x v="2"/>
    <x v="3"/>
  </r>
  <r>
    <x v="2"/>
    <x v="17"/>
    <x v="2"/>
    <n v="1447"/>
    <x v="2"/>
    <x v="3"/>
  </r>
  <r>
    <x v="2"/>
    <x v="17"/>
    <x v="3"/>
    <n v="2771"/>
    <x v="2"/>
    <x v="3"/>
  </r>
  <r>
    <x v="2"/>
    <x v="17"/>
    <x v="4"/>
    <n v="7370"/>
    <x v="2"/>
    <x v="3"/>
  </r>
  <r>
    <x v="2"/>
    <x v="17"/>
    <x v="5"/>
    <n v="2800"/>
    <x v="2"/>
    <x v="3"/>
  </r>
  <r>
    <x v="2"/>
    <x v="17"/>
    <x v="6"/>
    <n v="3123"/>
    <x v="2"/>
    <x v="3"/>
  </r>
  <r>
    <x v="2"/>
    <x v="17"/>
    <x v="7"/>
    <n v="3653"/>
    <x v="2"/>
    <x v="3"/>
  </r>
  <r>
    <x v="2"/>
    <x v="17"/>
    <x v="8"/>
    <n v="3494"/>
    <x v="2"/>
    <x v="3"/>
  </r>
  <r>
    <x v="2"/>
    <x v="17"/>
    <x v="9"/>
    <n v="2984"/>
    <x v="2"/>
    <x v="3"/>
  </r>
  <r>
    <x v="2"/>
    <x v="17"/>
    <x v="10"/>
    <n v="5393"/>
    <x v="2"/>
    <x v="3"/>
  </r>
  <r>
    <x v="2"/>
    <x v="17"/>
    <x v="11"/>
    <n v="3490"/>
    <x v="2"/>
    <x v="3"/>
  </r>
  <r>
    <x v="2"/>
    <x v="17"/>
    <x v="12"/>
    <n v="4010"/>
    <x v="2"/>
    <x v="3"/>
  </r>
  <r>
    <x v="2"/>
    <x v="17"/>
    <x v="13"/>
    <n v="8574"/>
    <x v="2"/>
    <x v="3"/>
  </r>
  <r>
    <x v="2"/>
    <x v="17"/>
    <x v="14"/>
    <n v="11085"/>
    <x v="2"/>
    <x v="3"/>
  </r>
  <r>
    <x v="2"/>
    <x v="17"/>
    <x v="15"/>
    <n v="1691"/>
    <x v="2"/>
    <x v="3"/>
  </r>
  <r>
    <x v="2"/>
    <x v="17"/>
    <x v="16"/>
    <n v="1334"/>
    <x v="2"/>
    <x v="3"/>
  </r>
  <r>
    <x v="2"/>
    <x v="17"/>
    <x v="17"/>
    <n v="0"/>
    <x v="2"/>
    <x v="3"/>
  </r>
  <r>
    <x v="2"/>
    <x v="17"/>
    <x v="18"/>
    <n v="4652"/>
    <x v="2"/>
    <x v="3"/>
  </r>
  <r>
    <x v="2"/>
    <x v="17"/>
    <x v="19"/>
    <n v="3455"/>
    <x v="2"/>
    <x v="3"/>
  </r>
  <r>
    <x v="2"/>
    <x v="17"/>
    <x v="20"/>
    <n v="149"/>
    <x v="2"/>
    <x v="3"/>
  </r>
  <r>
    <x v="2"/>
    <x v="17"/>
    <x v="21"/>
    <n v="89"/>
    <x v="2"/>
    <x v="3"/>
  </r>
  <r>
    <x v="2"/>
    <x v="17"/>
    <x v="22"/>
    <n v="2854"/>
    <x v="2"/>
    <x v="3"/>
  </r>
  <r>
    <x v="2"/>
    <x v="17"/>
    <x v="23"/>
    <n v="860"/>
    <x v="2"/>
    <x v="3"/>
  </r>
  <r>
    <x v="2"/>
    <x v="17"/>
    <x v="24"/>
    <n v="651"/>
    <x v="2"/>
    <x v="3"/>
  </r>
  <r>
    <x v="2"/>
    <x v="17"/>
    <x v="25"/>
    <n v="127"/>
    <x v="2"/>
    <x v="3"/>
  </r>
  <r>
    <x v="2"/>
    <x v="17"/>
    <x v="26"/>
    <n v="2953"/>
    <x v="2"/>
    <x v="3"/>
  </r>
  <r>
    <x v="2"/>
    <x v="17"/>
    <x v="27"/>
    <n v="2868"/>
    <x v="2"/>
    <x v="3"/>
  </r>
  <r>
    <x v="2"/>
    <x v="17"/>
    <x v="28"/>
    <n v="0"/>
    <x v="2"/>
    <x v="3"/>
  </r>
  <r>
    <x v="2"/>
    <x v="18"/>
    <x v="0"/>
    <n v="0"/>
    <x v="2"/>
    <x v="3"/>
  </r>
  <r>
    <x v="2"/>
    <x v="18"/>
    <x v="1"/>
    <n v="480"/>
    <x v="2"/>
    <x v="3"/>
  </r>
  <r>
    <x v="2"/>
    <x v="18"/>
    <x v="2"/>
    <n v="2618"/>
    <x v="2"/>
    <x v="3"/>
  </r>
  <r>
    <x v="2"/>
    <x v="18"/>
    <x v="3"/>
    <n v="905"/>
    <x v="2"/>
    <x v="3"/>
  </r>
  <r>
    <x v="2"/>
    <x v="18"/>
    <x v="4"/>
    <n v="3234"/>
    <x v="2"/>
    <x v="3"/>
  </r>
  <r>
    <x v="2"/>
    <x v="18"/>
    <x v="5"/>
    <n v="2470"/>
    <x v="2"/>
    <x v="3"/>
  </r>
  <r>
    <x v="2"/>
    <x v="18"/>
    <x v="6"/>
    <n v="12273"/>
    <x v="2"/>
    <x v="3"/>
  </r>
  <r>
    <x v="2"/>
    <x v="18"/>
    <x v="7"/>
    <n v="17390"/>
    <x v="2"/>
    <x v="3"/>
  </r>
  <r>
    <x v="2"/>
    <x v="18"/>
    <x v="8"/>
    <n v="203"/>
    <x v="2"/>
    <x v="3"/>
  </r>
  <r>
    <x v="2"/>
    <x v="18"/>
    <x v="9"/>
    <n v="0"/>
    <x v="2"/>
    <x v="3"/>
  </r>
  <r>
    <x v="2"/>
    <x v="18"/>
    <x v="10"/>
    <n v="10"/>
    <x v="2"/>
    <x v="3"/>
  </r>
  <r>
    <x v="2"/>
    <x v="18"/>
    <x v="11"/>
    <n v="206"/>
    <x v="2"/>
    <x v="3"/>
  </r>
  <r>
    <x v="2"/>
    <x v="18"/>
    <x v="12"/>
    <n v="282"/>
    <x v="2"/>
    <x v="3"/>
  </r>
  <r>
    <x v="2"/>
    <x v="18"/>
    <x v="13"/>
    <n v="9"/>
    <x v="2"/>
    <x v="3"/>
  </r>
  <r>
    <x v="2"/>
    <x v="18"/>
    <x v="14"/>
    <n v="4"/>
    <x v="2"/>
    <x v="3"/>
  </r>
  <r>
    <x v="2"/>
    <x v="18"/>
    <x v="15"/>
    <n v="0"/>
    <x v="2"/>
    <x v="3"/>
  </r>
  <r>
    <x v="2"/>
    <x v="18"/>
    <x v="16"/>
    <n v="0"/>
    <x v="2"/>
    <x v="3"/>
  </r>
  <r>
    <x v="2"/>
    <x v="18"/>
    <x v="17"/>
    <n v="0"/>
    <x v="2"/>
    <x v="3"/>
  </r>
  <r>
    <x v="2"/>
    <x v="18"/>
    <x v="18"/>
    <n v="788"/>
    <x v="2"/>
    <x v="3"/>
  </r>
  <r>
    <x v="2"/>
    <x v="18"/>
    <x v="19"/>
    <n v="0"/>
    <x v="2"/>
    <x v="3"/>
  </r>
  <r>
    <x v="2"/>
    <x v="18"/>
    <x v="20"/>
    <n v="0"/>
    <x v="2"/>
    <x v="3"/>
  </r>
  <r>
    <x v="2"/>
    <x v="18"/>
    <x v="21"/>
    <n v="0"/>
    <x v="2"/>
    <x v="3"/>
  </r>
  <r>
    <x v="2"/>
    <x v="18"/>
    <x v="22"/>
    <n v="0"/>
    <x v="2"/>
    <x v="3"/>
  </r>
  <r>
    <x v="2"/>
    <x v="18"/>
    <x v="23"/>
    <n v="0"/>
    <x v="2"/>
    <x v="3"/>
  </r>
  <r>
    <x v="2"/>
    <x v="18"/>
    <x v="24"/>
    <n v="0"/>
    <x v="2"/>
    <x v="3"/>
  </r>
  <r>
    <x v="2"/>
    <x v="18"/>
    <x v="25"/>
    <n v="0"/>
    <x v="2"/>
    <x v="3"/>
  </r>
  <r>
    <x v="2"/>
    <x v="18"/>
    <x v="26"/>
    <n v="0"/>
    <x v="2"/>
    <x v="3"/>
  </r>
  <r>
    <x v="2"/>
    <x v="18"/>
    <x v="27"/>
    <n v="0"/>
    <x v="2"/>
    <x v="3"/>
  </r>
  <r>
    <x v="2"/>
    <x v="18"/>
    <x v="28"/>
    <n v="0"/>
    <x v="2"/>
    <x v="3"/>
  </r>
  <r>
    <x v="2"/>
    <x v="19"/>
    <x v="0"/>
    <n v="0"/>
    <x v="4"/>
    <x v="3"/>
  </r>
  <r>
    <x v="2"/>
    <x v="19"/>
    <x v="1"/>
    <n v="0"/>
    <x v="4"/>
    <x v="3"/>
  </r>
  <r>
    <x v="2"/>
    <x v="19"/>
    <x v="2"/>
    <n v="0"/>
    <x v="4"/>
    <x v="3"/>
  </r>
  <r>
    <x v="2"/>
    <x v="19"/>
    <x v="3"/>
    <n v="0"/>
    <x v="4"/>
    <x v="3"/>
  </r>
  <r>
    <x v="2"/>
    <x v="19"/>
    <x v="4"/>
    <n v="0"/>
    <x v="4"/>
    <x v="3"/>
  </r>
  <r>
    <x v="2"/>
    <x v="19"/>
    <x v="5"/>
    <n v="0"/>
    <x v="4"/>
    <x v="3"/>
  </r>
  <r>
    <x v="2"/>
    <x v="19"/>
    <x v="6"/>
    <n v="0"/>
    <x v="4"/>
    <x v="3"/>
  </r>
  <r>
    <x v="2"/>
    <x v="19"/>
    <x v="7"/>
    <n v="0"/>
    <x v="4"/>
    <x v="3"/>
  </r>
  <r>
    <x v="2"/>
    <x v="19"/>
    <x v="8"/>
    <n v="0"/>
    <x v="4"/>
    <x v="3"/>
  </r>
  <r>
    <x v="2"/>
    <x v="19"/>
    <x v="9"/>
    <n v="0"/>
    <x v="4"/>
    <x v="3"/>
  </r>
  <r>
    <x v="2"/>
    <x v="19"/>
    <x v="10"/>
    <n v="0"/>
    <x v="4"/>
    <x v="3"/>
  </r>
  <r>
    <x v="2"/>
    <x v="19"/>
    <x v="11"/>
    <n v="0"/>
    <x v="4"/>
    <x v="3"/>
  </r>
  <r>
    <x v="2"/>
    <x v="19"/>
    <x v="12"/>
    <n v="0"/>
    <x v="4"/>
    <x v="3"/>
  </r>
  <r>
    <x v="2"/>
    <x v="19"/>
    <x v="13"/>
    <n v="0"/>
    <x v="4"/>
    <x v="3"/>
  </r>
  <r>
    <x v="2"/>
    <x v="19"/>
    <x v="14"/>
    <n v="0"/>
    <x v="4"/>
    <x v="3"/>
  </r>
  <r>
    <x v="2"/>
    <x v="19"/>
    <x v="15"/>
    <n v="0"/>
    <x v="4"/>
    <x v="3"/>
  </r>
  <r>
    <x v="2"/>
    <x v="19"/>
    <x v="16"/>
    <n v="0"/>
    <x v="4"/>
    <x v="3"/>
  </r>
  <r>
    <x v="2"/>
    <x v="19"/>
    <x v="17"/>
    <n v="0"/>
    <x v="4"/>
    <x v="3"/>
  </r>
  <r>
    <x v="2"/>
    <x v="19"/>
    <x v="18"/>
    <n v="0"/>
    <x v="4"/>
    <x v="3"/>
  </r>
  <r>
    <x v="2"/>
    <x v="19"/>
    <x v="19"/>
    <n v="0"/>
    <x v="4"/>
    <x v="3"/>
  </r>
  <r>
    <x v="2"/>
    <x v="19"/>
    <x v="20"/>
    <n v="0"/>
    <x v="4"/>
    <x v="3"/>
  </r>
  <r>
    <x v="2"/>
    <x v="19"/>
    <x v="21"/>
    <n v="0"/>
    <x v="4"/>
    <x v="3"/>
  </r>
  <r>
    <x v="2"/>
    <x v="19"/>
    <x v="22"/>
    <n v="0"/>
    <x v="4"/>
    <x v="3"/>
  </r>
  <r>
    <x v="2"/>
    <x v="19"/>
    <x v="23"/>
    <n v="0"/>
    <x v="4"/>
    <x v="3"/>
  </r>
  <r>
    <x v="2"/>
    <x v="19"/>
    <x v="24"/>
    <n v="0"/>
    <x v="4"/>
    <x v="3"/>
  </r>
  <r>
    <x v="2"/>
    <x v="19"/>
    <x v="25"/>
    <n v="0"/>
    <x v="4"/>
    <x v="3"/>
  </r>
  <r>
    <x v="2"/>
    <x v="19"/>
    <x v="26"/>
    <n v="0"/>
    <x v="4"/>
    <x v="3"/>
  </r>
  <r>
    <x v="2"/>
    <x v="19"/>
    <x v="27"/>
    <n v="0"/>
    <x v="4"/>
    <x v="3"/>
  </r>
  <r>
    <x v="2"/>
    <x v="19"/>
    <x v="28"/>
    <n v="0"/>
    <x v="4"/>
    <x v="3"/>
  </r>
  <r>
    <x v="2"/>
    <x v="20"/>
    <x v="0"/>
    <n v="0"/>
    <x v="4"/>
    <x v="3"/>
  </r>
  <r>
    <x v="2"/>
    <x v="20"/>
    <x v="1"/>
    <n v="0"/>
    <x v="4"/>
    <x v="3"/>
  </r>
  <r>
    <x v="2"/>
    <x v="20"/>
    <x v="2"/>
    <n v="0"/>
    <x v="4"/>
    <x v="3"/>
  </r>
  <r>
    <x v="2"/>
    <x v="20"/>
    <x v="3"/>
    <n v="0"/>
    <x v="4"/>
    <x v="3"/>
  </r>
  <r>
    <x v="2"/>
    <x v="20"/>
    <x v="4"/>
    <n v="0"/>
    <x v="4"/>
    <x v="3"/>
  </r>
  <r>
    <x v="2"/>
    <x v="20"/>
    <x v="5"/>
    <n v="0"/>
    <x v="4"/>
    <x v="3"/>
  </r>
  <r>
    <x v="2"/>
    <x v="20"/>
    <x v="6"/>
    <n v="0"/>
    <x v="4"/>
    <x v="3"/>
  </r>
  <r>
    <x v="2"/>
    <x v="20"/>
    <x v="7"/>
    <n v="0"/>
    <x v="4"/>
    <x v="3"/>
  </r>
  <r>
    <x v="2"/>
    <x v="20"/>
    <x v="8"/>
    <n v="0"/>
    <x v="4"/>
    <x v="3"/>
  </r>
  <r>
    <x v="2"/>
    <x v="20"/>
    <x v="9"/>
    <n v="0"/>
    <x v="4"/>
    <x v="3"/>
  </r>
  <r>
    <x v="2"/>
    <x v="20"/>
    <x v="10"/>
    <n v="0"/>
    <x v="4"/>
    <x v="3"/>
  </r>
  <r>
    <x v="2"/>
    <x v="20"/>
    <x v="11"/>
    <n v="0"/>
    <x v="4"/>
    <x v="3"/>
  </r>
  <r>
    <x v="2"/>
    <x v="20"/>
    <x v="12"/>
    <n v="0"/>
    <x v="4"/>
    <x v="3"/>
  </r>
  <r>
    <x v="2"/>
    <x v="20"/>
    <x v="13"/>
    <n v="0"/>
    <x v="4"/>
    <x v="3"/>
  </r>
  <r>
    <x v="2"/>
    <x v="20"/>
    <x v="14"/>
    <n v="0"/>
    <x v="4"/>
    <x v="3"/>
  </r>
  <r>
    <x v="2"/>
    <x v="20"/>
    <x v="15"/>
    <n v="0"/>
    <x v="4"/>
    <x v="3"/>
  </r>
  <r>
    <x v="2"/>
    <x v="20"/>
    <x v="16"/>
    <n v="0"/>
    <x v="4"/>
    <x v="3"/>
  </r>
  <r>
    <x v="2"/>
    <x v="20"/>
    <x v="17"/>
    <n v="0"/>
    <x v="4"/>
    <x v="3"/>
  </r>
  <r>
    <x v="2"/>
    <x v="20"/>
    <x v="18"/>
    <n v="0"/>
    <x v="4"/>
    <x v="3"/>
  </r>
  <r>
    <x v="2"/>
    <x v="20"/>
    <x v="19"/>
    <n v="0"/>
    <x v="4"/>
    <x v="3"/>
  </r>
  <r>
    <x v="2"/>
    <x v="20"/>
    <x v="20"/>
    <n v="0"/>
    <x v="4"/>
    <x v="3"/>
  </r>
  <r>
    <x v="2"/>
    <x v="20"/>
    <x v="21"/>
    <n v="0"/>
    <x v="4"/>
    <x v="3"/>
  </r>
  <r>
    <x v="2"/>
    <x v="20"/>
    <x v="22"/>
    <n v="0"/>
    <x v="4"/>
    <x v="3"/>
  </r>
  <r>
    <x v="2"/>
    <x v="20"/>
    <x v="23"/>
    <n v="0"/>
    <x v="4"/>
    <x v="3"/>
  </r>
  <r>
    <x v="2"/>
    <x v="20"/>
    <x v="24"/>
    <n v="0"/>
    <x v="4"/>
    <x v="3"/>
  </r>
  <r>
    <x v="2"/>
    <x v="20"/>
    <x v="25"/>
    <n v="0"/>
    <x v="4"/>
    <x v="3"/>
  </r>
  <r>
    <x v="2"/>
    <x v="20"/>
    <x v="26"/>
    <n v="0"/>
    <x v="4"/>
    <x v="3"/>
  </r>
  <r>
    <x v="2"/>
    <x v="20"/>
    <x v="27"/>
    <n v="0"/>
    <x v="4"/>
    <x v="3"/>
  </r>
  <r>
    <x v="2"/>
    <x v="20"/>
    <x v="28"/>
    <n v="3"/>
    <x v="4"/>
    <x v="3"/>
  </r>
  <r>
    <x v="2"/>
    <x v="21"/>
    <x v="0"/>
    <n v="104547"/>
    <x v="7"/>
    <x v="4"/>
  </r>
  <r>
    <x v="2"/>
    <x v="21"/>
    <x v="1"/>
    <n v="91755"/>
    <x v="7"/>
    <x v="4"/>
  </r>
  <r>
    <x v="2"/>
    <x v="21"/>
    <x v="2"/>
    <n v="105333"/>
    <x v="7"/>
    <x v="4"/>
  </r>
  <r>
    <x v="2"/>
    <x v="21"/>
    <x v="3"/>
    <n v="89375"/>
    <x v="7"/>
    <x v="4"/>
  </r>
  <r>
    <x v="2"/>
    <x v="21"/>
    <x v="4"/>
    <n v="81068"/>
    <x v="7"/>
    <x v="4"/>
  </r>
  <r>
    <x v="2"/>
    <x v="21"/>
    <x v="5"/>
    <n v="108298"/>
    <x v="7"/>
    <x v="4"/>
  </r>
  <r>
    <x v="2"/>
    <x v="21"/>
    <x v="6"/>
    <n v="122947"/>
    <x v="7"/>
    <x v="4"/>
  </r>
  <r>
    <x v="2"/>
    <x v="21"/>
    <x v="7"/>
    <n v="109770"/>
    <x v="7"/>
    <x v="4"/>
  </r>
  <r>
    <x v="2"/>
    <x v="21"/>
    <x v="8"/>
    <n v="122722"/>
    <x v="7"/>
    <x v="4"/>
  </r>
  <r>
    <x v="2"/>
    <x v="21"/>
    <x v="9"/>
    <n v="152102"/>
    <x v="7"/>
    <x v="4"/>
  </r>
  <r>
    <x v="2"/>
    <x v="21"/>
    <x v="10"/>
    <n v="148748"/>
    <x v="7"/>
    <x v="4"/>
  </r>
  <r>
    <x v="2"/>
    <x v="21"/>
    <x v="11"/>
    <n v="141307"/>
    <x v="7"/>
    <x v="4"/>
  </r>
  <r>
    <x v="2"/>
    <x v="21"/>
    <x v="12"/>
    <n v="155569"/>
    <x v="7"/>
    <x v="4"/>
  </r>
  <r>
    <x v="2"/>
    <x v="21"/>
    <x v="13"/>
    <n v="165206"/>
    <x v="7"/>
    <x v="4"/>
  </r>
  <r>
    <x v="2"/>
    <x v="21"/>
    <x v="14"/>
    <n v="167815"/>
    <x v="7"/>
    <x v="4"/>
  </r>
  <r>
    <x v="2"/>
    <x v="21"/>
    <x v="15"/>
    <n v="168167"/>
    <x v="7"/>
    <x v="4"/>
  </r>
  <r>
    <x v="2"/>
    <x v="21"/>
    <x v="16"/>
    <n v="189739"/>
    <x v="7"/>
    <x v="4"/>
  </r>
  <r>
    <x v="2"/>
    <x v="21"/>
    <x v="17"/>
    <n v="150464"/>
    <x v="7"/>
    <x v="4"/>
  </r>
  <r>
    <x v="2"/>
    <x v="21"/>
    <x v="18"/>
    <n v="219530"/>
    <x v="7"/>
    <x v="4"/>
  </r>
  <r>
    <x v="2"/>
    <x v="21"/>
    <x v="19"/>
    <n v="177531"/>
    <x v="7"/>
    <x v="4"/>
  </r>
  <r>
    <x v="2"/>
    <x v="21"/>
    <x v="20"/>
    <n v="228093"/>
    <x v="7"/>
    <x v="4"/>
  </r>
  <r>
    <x v="2"/>
    <x v="21"/>
    <x v="21"/>
    <n v="233036"/>
    <x v="7"/>
    <x v="4"/>
  </r>
  <r>
    <x v="2"/>
    <x v="21"/>
    <x v="22"/>
    <n v="267312"/>
    <x v="7"/>
    <x v="4"/>
  </r>
  <r>
    <x v="2"/>
    <x v="21"/>
    <x v="23"/>
    <n v="227430"/>
    <x v="7"/>
    <x v="4"/>
  </r>
  <r>
    <x v="2"/>
    <x v="21"/>
    <x v="24"/>
    <n v="282883"/>
    <x v="7"/>
    <x v="4"/>
  </r>
  <r>
    <x v="2"/>
    <x v="21"/>
    <x v="25"/>
    <n v="298597"/>
    <x v="7"/>
    <x v="4"/>
  </r>
  <r>
    <x v="2"/>
    <x v="21"/>
    <x v="26"/>
    <n v="320135"/>
    <x v="7"/>
    <x v="4"/>
  </r>
  <r>
    <x v="2"/>
    <x v="21"/>
    <x v="27"/>
    <n v="323479"/>
    <x v="7"/>
    <x v="4"/>
  </r>
  <r>
    <x v="2"/>
    <x v="21"/>
    <x v="28"/>
    <n v="339735"/>
    <x v="7"/>
    <x v="4"/>
  </r>
  <r>
    <x v="2"/>
    <x v="22"/>
    <x v="0"/>
    <n v="484"/>
    <x v="7"/>
    <x v="4"/>
  </r>
  <r>
    <x v="2"/>
    <x v="22"/>
    <x v="1"/>
    <n v="414"/>
    <x v="7"/>
    <x v="4"/>
  </r>
  <r>
    <x v="2"/>
    <x v="22"/>
    <x v="2"/>
    <n v="451"/>
    <x v="7"/>
    <x v="4"/>
  </r>
  <r>
    <x v="2"/>
    <x v="22"/>
    <x v="3"/>
    <n v="387"/>
    <x v="7"/>
    <x v="4"/>
  </r>
  <r>
    <x v="2"/>
    <x v="22"/>
    <x v="4"/>
    <n v="823"/>
    <x v="7"/>
    <x v="4"/>
  </r>
  <r>
    <x v="2"/>
    <x v="22"/>
    <x v="5"/>
    <n v="1039"/>
    <x v="7"/>
    <x v="4"/>
  </r>
  <r>
    <x v="2"/>
    <x v="22"/>
    <x v="6"/>
    <n v="1360"/>
    <x v="7"/>
    <x v="4"/>
  </r>
  <r>
    <x v="2"/>
    <x v="22"/>
    <x v="7"/>
    <n v="1037"/>
    <x v="7"/>
    <x v="4"/>
  </r>
  <r>
    <x v="2"/>
    <x v="22"/>
    <x v="8"/>
    <n v="2325"/>
    <x v="7"/>
    <x v="4"/>
  </r>
  <r>
    <x v="2"/>
    <x v="22"/>
    <x v="9"/>
    <n v="2519"/>
    <x v="7"/>
    <x v="4"/>
  </r>
  <r>
    <x v="2"/>
    <x v="22"/>
    <x v="10"/>
    <n v="2359"/>
    <x v="7"/>
    <x v="4"/>
  </r>
  <r>
    <x v="2"/>
    <x v="22"/>
    <x v="11"/>
    <n v="1816"/>
    <x v="7"/>
    <x v="4"/>
  </r>
  <r>
    <x v="2"/>
    <x v="22"/>
    <x v="12"/>
    <n v="3929"/>
    <x v="7"/>
    <x v="4"/>
  </r>
  <r>
    <x v="2"/>
    <x v="22"/>
    <x v="13"/>
    <n v="4353"/>
    <x v="7"/>
    <x v="4"/>
  </r>
  <r>
    <x v="2"/>
    <x v="22"/>
    <x v="14"/>
    <n v="3916"/>
    <x v="7"/>
    <x v="4"/>
  </r>
  <r>
    <x v="2"/>
    <x v="22"/>
    <x v="15"/>
    <n v="3907"/>
    <x v="7"/>
    <x v="4"/>
  </r>
  <r>
    <x v="2"/>
    <x v="22"/>
    <x v="16"/>
    <n v="5726"/>
    <x v="7"/>
    <x v="4"/>
  </r>
  <r>
    <x v="2"/>
    <x v="22"/>
    <x v="17"/>
    <n v="5009"/>
    <x v="7"/>
    <x v="4"/>
  </r>
  <r>
    <x v="2"/>
    <x v="22"/>
    <x v="18"/>
    <n v="5411"/>
    <x v="7"/>
    <x v="4"/>
  </r>
  <r>
    <x v="2"/>
    <x v="22"/>
    <x v="19"/>
    <n v="5339"/>
    <x v="7"/>
    <x v="4"/>
  </r>
  <r>
    <x v="2"/>
    <x v="22"/>
    <x v="20"/>
    <n v="7283"/>
    <x v="7"/>
    <x v="4"/>
  </r>
  <r>
    <x v="2"/>
    <x v="22"/>
    <x v="21"/>
    <n v="8313"/>
    <x v="7"/>
    <x v="4"/>
  </r>
  <r>
    <x v="2"/>
    <x v="22"/>
    <x v="22"/>
    <n v="8371"/>
    <x v="7"/>
    <x v="4"/>
  </r>
  <r>
    <x v="2"/>
    <x v="22"/>
    <x v="23"/>
    <n v="7379"/>
    <x v="7"/>
    <x v="4"/>
  </r>
  <r>
    <x v="2"/>
    <x v="22"/>
    <x v="24"/>
    <n v="10141"/>
    <x v="7"/>
    <x v="4"/>
  </r>
  <r>
    <x v="2"/>
    <x v="22"/>
    <x v="25"/>
    <n v="10283"/>
    <x v="7"/>
    <x v="4"/>
  </r>
  <r>
    <x v="2"/>
    <x v="22"/>
    <x v="26"/>
    <n v="10398"/>
    <x v="7"/>
    <x v="4"/>
  </r>
  <r>
    <x v="2"/>
    <x v="22"/>
    <x v="27"/>
    <n v="8804"/>
    <x v="7"/>
    <x v="4"/>
  </r>
  <r>
    <x v="2"/>
    <x v="22"/>
    <x v="28"/>
    <n v="6116"/>
    <x v="7"/>
    <x v="4"/>
  </r>
  <r>
    <x v="2"/>
    <x v="23"/>
    <x v="0"/>
    <n v="0"/>
    <x v="8"/>
    <x v="3"/>
  </r>
  <r>
    <x v="2"/>
    <x v="23"/>
    <x v="1"/>
    <n v="0"/>
    <x v="8"/>
    <x v="3"/>
  </r>
  <r>
    <x v="2"/>
    <x v="23"/>
    <x v="2"/>
    <n v="0"/>
    <x v="8"/>
    <x v="3"/>
  </r>
  <r>
    <x v="2"/>
    <x v="23"/>
    <x v="3"/>
    <n v="0"/>
    <x v="8"/>
    <x v="3"/>
  </r>
  <r>
    <x v="2"/>
    <x v="23"/>
    <x v="4"/>
    <n v="0"/>
    <x v="8"/>
    <x v="3"/>
  </r>
  <r>
    <x v="2"/>
    <x v="23"/>
    <x v="5"/>
    <n v="0"/>
    <x v="8"/>
    <x v="3"/>
  </r>
  <r>
    <x v="2"/>
    <x v="23"/>
    <x v="6"/>
    <n v="0"/>
    <x v="8"/>
    <x v="3"/>
  </r>
  <r>
    <x v="2"/>
    <x v="23"/>
    <x v="7"/>
    <n v="0"/>
    <x v="8"/>
    <x v="3"/>
  </r>
  <r>
    <x v="2"/>
    <x v="23"/>
    <x v="8"/>
    <n v="0"/>
    <x v="8"/>
    <x v="3"/>
  </r>
  <r>
    <x v="2"/>
    <x v="23"/>
    <x v="9"/>
    <n v="0"/>
    <x v="8"/>
    <x v="3"/>
  </r>
  <r>
    <x v="2"/>
    <x v="23"/>
    <x v="10"/>
    <n v="0"/>
    <x v="8"/>
    <x v="3"/>
  </r>
  <r>
    <x v="2"/>
    <x v="23"/>
    <x v="11"/>
    <n v="0"/>
    <x v="8"/>
    <x v="3"/>
  </r>
  <r>
    <x v="2"/>
    <x v="23"/>
    <x v="12"/>
    <n v="0"/>
    <x v="8"/>
    <x v="3"/>
  </r>
  <r>
    <x v="2"/>
    <x v="23"/>
    <x v="13"/>
    <n v="0"/>
    <x v="8"/>
    <x v="3"/>
  </r>
  <r>
    <x v="2"/>
    <x v="23"/>
    <x v="14"/>
    <n v="0"/>
    <x v="8"/>
    <x v="3"/>
  </r>
  <r>
    <x v="2"/>
    <x v="23"/>
    <x v="15"/>
    <n v="0"/>
    <x v="8"/>
    <x v="3"/>
  </r>
  <r>
    <x v="2"/>
    <x v="23"/>
    <x v="16"/>
    <n v="0"/>
    <x v="8"/>
    <x v="3"/>
  </r>
  <r>
    <x v="2"/>
    <x v="23"/>
    <x v="17"/>
    <n v="0"/>
    <x v="8"/>
    <x v="3"/>
  </r>
  <r>
    <x v="2"/>
    <x v="23"/>
    <x v="18"/>
    <n v="0"/>
    <x v="8"/>
    <x v="3"/>
  </r>
  <r>
    <x v="2"/>
    <x v="23"/>
    <x v="19"/>
    <n v="0"/>
    <x v="8"/>
    <x v="3"/>
  </r>
  <r>
    <x v="2"/>
    <x v="23"/>
    <x v="20"/>
    <n v="0"/>
    <x v="8"/>
    <x v="3"/>
  </r>
  <r>
    <x v="2"/>
    <x v="23"/>
    <x v="21"/>
    <n v="0"/>
    <x v="8"/>
    <x v="3"/>
  </r>
  <r>
    <x v="2"/>
    <x v="23"/>
    <x v="22"/>
    <n v="0"/>
    <x v="8"/>
    <x v="3"/>
  </r>
  <r>
    <x v="2"/>
    <x v="23"/>
    <x v="23"/>
    <n v="0"/>
    <x v="8"/>
    <x v="3"/>
  </r>
  <r>
    <x v="2"/>
    <x v="23"/>
    <x v="24"/>
    <n v="0"/>
    <x v="8"/>
    <x v="3"/>
  </r>
  <r>
    <x v="2"/>
    <x v="23"/>
    <x v="25"/>
    <n v="0"/>
    <x v="8"/>
    <x v="3"/>
  </r>
  <r>
    <x v="2"/>
    <x v="23"/>
    <x v="26"/>
    <n v="0"/>
    <x v="8"/>
    <x v="3"/>
  </r>
  <r>
    <x v="2"/>
    <x v="23"/>
    <x v="27"/>
    <n v="0"/>
    <x v="8"/>
    <x v="3"/>
  </r>
  <r>
    <x v="2"/>
    <x v="23"/>
    <x v="28"/>
    <n v="0"/>
    <x v="8"/>
    <x v="3"/>
  </r>
  <r>
    <x v="2"/>
    <x v="24"/>
    <x v="0"/>
    <n v="0"/>
    <x v="9"/>
    <x v="3"/>
  </r>
  <r>
    <x v="2"/>
    <x v="24"/>
    <x v="1"/>
    <n v="0"/>
    <x v="9"/>
    <x v="3"/>
  </r>
  <r>
    <x v="2"/>
    <x v="24"/>
    <x v="2"/>
    <n v="0"/>
    <x v="9"/>
    <x v="3"/>
  </r>
  <r>
    <x v="2"/>
    <x v="24"/>
    <x v="3"/>
    <n v="0"/>
    <x v="9"/>
    <x v="3"/>
  </r>
  <r>
    <x v="2"/>
    <x v="24"/>
    <x v="4"/>
    <n v="0"/>
    <x v="9"/>
    <x v="3"/>
  </r>
  <r>
    <x v="2"/>
    <x v="24"/>
    <x v="5"/>
    <n v="0"/>
    <x v="9"/>
    <x v="3"/>
  </r>
  <r>
    <x v="2"/>
    <x v="24"/>
    <x v="6"/>
    <n v="0"/>
    <x v="9"/>
    <x v="3"/>
  </r>
  <r>
    <x v="2"/>
    <x v="24"/>
    <x v="7"/>
    <n v="0"/>
    <x v="9"/>
    <x v="3"/>
  </r>
  <r>
    <x v="2"/>
    <x v="24"/>
    <x v="8"/>
    <n v="0"/>
    <x v="9"/>
    <x v="3"/>
  </r>
  <r>
    <x v="2"/>
    <x v="24"/>
    <x v="9"/>
    <n v="0"/>
    <x v="9"/>
    <x v="3"/>
  </r>
  <r>
    <x v="2"/>
    <x v="24"/>
    <x v="10"/>
    <n v="0"/>
    <x v="9"/>
    <x v="3"/>
  </r>
  <r>
    <x v="2"/>
    <x v="24"/>
    <x v="11"/>
    <n v="0"/>
    <x v="9"/>
    <x v="3"/>
  </r>
  <r>
    <x v="2"/>
    <x v="24"/>
    <x v="12"/>
    <n v="0"/>
    <x v="9"/>
    <x v="3"/>
  </r>
  <r>
    <x v="2"/>
    <x v="24"/>
    <x v="13"/>
    <n v="0"/>
    <x v="9"/>
    <x v="3"/>
  </r>
  <r>
    <x v="2"/>
    <x v="24"/>
    <x v="14"/>
    <n v="0"/>
    <x v="9"/>
    <x v="3"/>
  </r>
  <r>
    <x v="2"/>
    <x v="24"/>
    <x v="15"/>
    <n v="0"/>
    <x v="9"/>
    <x v="3"/>
  </r>
  <r>
    <x v="2"/>
    <x v="24"/>
    <x v="16"/>
    <n v="0"/>
    <x v="9"/>
    <x v="3"/>
  </r>
  <r>
    <x v="2"/>
    <x v="24"/>
    <x v="17"/>
    <n v="0"/>
    <x v="9"/>
    <x v="3"/>
  </r>
  <r>
    <x v="2"/>
    <x v="24"/>
    <x v="18"/>
    <n v="0"/>
    <x v="9"/>
    <x v="3"/>
  </r>
  <r>
    <x v="2"/>
    <x v="24"/>
    <x v="19"/>
    <n v="0"/>
    <x v="9"/>
    <x v="3"/>
  </r>
  <r>
    <x v="2"/>
    <x v="24"/>
    <x v="20"/>
    <n v="0"/>
    <x v="9"/>
    <x v="3"/>
  </r>
  <r>
    <x v="2"/>
    <x v="24"/>
    <x v="21"/>
    <n v="0"/>
    <x v="9"/>
    <x v="3"/>
  </r>
  <r>
    <x v="2"/>
    <x v="24"/>
    <x v="22"/>
    <n v="0"/>
    <x v="9"/>
    <x v="3"/>
  </r>
  <r>
    <x v="2"/>
    <x v="24"/>
    <x v="23"/>
    <n v="0"/>
    <x v="9"/>
    <x v="3"/>
  </r>
  <r>
    <x v="2"/>
    <x v="24"/>
    <x v="24"/>
    <n v="0"/>
    <x v="9"/>
    <x v="3"/>
  </r>
  <r>
    <x v="2"/>
    <x v="24"/>
    <x v="25"/>
    <n v="0"/>
    <x v="9"/>
    <x v="3"/>
  </r>
  <r>
    <x v="2"/>
    <x v="24"/>
    <x v="26"/>
    <n v="0"/>
    <x v="9"/>
    <x v="3"/>
  </r>
  <r>
    <x v="2"/>
    <x v="24"/>
    <x v="27"/>
    <n v="0"/>
    <x v="9"/>
    <x v="3"/>
  </r>
  <r>
    <x v="2"/>
    <x v="24"/>
    <x v="28"/>
    <n v="0"/>
    <x v="9"/>
    <x v="3"/>
  </r>
  <r>
    <x v="2"/>
    <x v="25"/>
    <x v="0"/>
    <n v="0"/>
    <x v="9"/>
    <x v="3"/>
  </r>
  <r>
    <x v="2"/>
    <x v="25"/>
    <x v="1"/>
    <n v="0"/>
    <x v="9"/>
    <x v="3"/>
  </r>
  <r>
    <x v="2"/>
    <x v="25"/>
    <x v="2"/>
    <n v="0"/>
    <x v="9"/>
    <x v="3"/>
  </r>
  <r>
    <x v="2"/>
    <x v="25"/>
    <x v="3"/>
    <n v="0"/>
    <x v="9"/>
    <x v="3"/>
  </r>
  <r>
    <x v="2"/>
    <x v="25"/>
    <x v="4"/>
    <n v="0"/>
    <x v="9"/>
    <x v="3"/>
  </r>
  <r>
    <x v="2"/>
    <x v="25"/>
    <x v="5"/>
    <n v="0"/>
    <x v="9"/>
    <x v="3"/>
  </r>
  <r>
    <x v="2"/>
    <x v="25"/>
    <x v="6"/>
    <n v="0"/>
    <x v="9"/>
    <x v="3"/>
  </r>
  <r>
    <x v="2"/>
    <x v="25"/>
    <x v="7"/>
    <n v="0"/>
    <x v="9"/>
    <x v="3"/>
  </r>
  <r>
    <x v="2"/>
    <x v="25"/>
    <x v="8"/>
    <n v="0"/>
    <x v="9"/>
    <x v="3"/>
  </r>
  <r>
    <x v="2"/>
    <x v="25"/>
    <x v="9"/>
    <n v="0"/>
    <x v="9"/>
    <x v="3"/>
  </r>
  <r>
    <x v="2"/>
    <x v="25"/>
    <x v="10"/>
    <n v="0"/>
    <x v="9"/>
    <x v="3"/>
  </r>
  <r>
    <x v="2"/>
    <x v="25"/>
    <x v="11"/>
    <n v="0"/>
    <x v="9"/>
    <x v="3"/>
  </r>
  <r>
    <x v="2"/>
    <x v="25"/>
    <x v="12"/>
    <n v="0"/>
    <x v="9"/>
    <x v="3"/>
  </r>
  <r>
    <x v="2"/>
    <x v="25"/>
    <x v="13"/>
    <n v="0"/>
    <x v="9"/>
    <x v="3"/>
  </r>
  <r>
    <x v="2"/>
    <x v="25"/>
    <x v="14"/>
    <n v="0"/>
    <x v="9"/>
    <x v="3"/>
  </r>
  <r>
    <x v="2"/>
    <x v="25"/>
    <x v="15"/>
    <n v="0"/>
    <x v="9"/>
    <x v="3"/>
  </r>
  <r>
    <x v="2"/>
    <x v="25"/>
    <x v="16"/>
    <n v="0"/>
    <x v="9"/>
    <x v="3"/>
  </r>
  <r>
    <x v="2"/>
    <x v="25"/>
    <x v="17"/>
    <n v="0"/>
    <x v="9"/>
    <x v="3"/>
  </r>
  <r>
    <x v="2"/>
    <x v="25"/>
    <x v="18"/>
    <n v="0"/>
    <x v="9"/>
    <x v="3"/>
  </r>
  <r>
    <x v="2"/>
    <x v="25"/>
    <x v="19"/>
    <n v="0"/>
    <x v="9"/>
    <x v="3"/>
  </r>
  <r>
    <x v="2"/>
    <x v="25"/>
    <x v="20"/>
    <n v="0"/>
    <x v="9"/>
    <x v="3"/>
  </r>
  <r>
    <x v="2"/>
    <x v="25"/>
    <x v="21"/>
    <n v="0"/>
    <x v="9"/>
    <x v="3"/>
  </r>
  <r>
    <x v="2"/>
    <x v="25"/>
    <x v="22"/>
    <n v="0"/>
    <x v="9"/>
    <x v="3"/>
  </r>
  <r>
    <x v="2"/>
    <x v="25"/>
    <x v="23"/>
    <n v="0"/>
    <x v="9"/>
    <x v="3"/>
  </r>
  <r>
    <x v="2"/>
    <x v="25"/>
    <x v="24"/>
    <n v="0"/>
    <x v="9"/>
    <x v="3"/>
  </r>
  <r>
    <x v="2"/>
    <x v="25"/>
    <x v="25"/>
    <n v="0"/>
    <x v="9"/>
    <x v="3"/>
  </r>
  <r>
    <x v="2"/>
    <x v="25"/>
    <x v="26"/>
    <n v="0"/>
    <x v="9"/>
    <x v="3"/>
  </r>
  <r>
    <x v="2"/>
    <x v="25"/>
    <x v="27"/>
    <n v="0"/>
    <x v="9"/>
    <x v="3"/>
  </r>
  <r>
    <x v="2"/>
    <x v="25"/>
    <x v="28"/>
    <n v="0"/>
    <x v="9"/>
    <x v="3"/>
  </r>
  <r>
    <x v="3"/>
    <x v="3"/>
    <x v="0"/>
    <n v="0"/>
    <x v="3"/>
    <x v="3"/>
  </r>
  <r>
    <x v="3"/>
    <x v="3"/>
    <x v="1"/>
    <n v="0"/>
    <x v="3"/>
    <x v="3"/>
  </r>
  <r>
    <x v="3"/>
    <x v="3"/>
    <x v="2"/>
    <n v="0"/>
    <x v="3"/>
    <x v="3"/>
  </r>
  <r>
    <x v="3"/>
    <x v="3"/>
    <x v="3"/>
    <n v="0"/>
    <x v="3"/>
    <x v="3"/>
  </r>
  <r>
    <x v="3"/>
    <x v="3"/>
    <x v="4"/>
    <n v="0"/>
    <x v="3"/>
    <x v="3"/>
  </r>
  <r>
    <x v="3"/>
    <x v="3"/>
    <x v="5"/>
    <n v="0"/>
    <x v="3"/>
    <x v="3"/>
  </r>
  <r>
    <x v="3"/>
    <x v="3"/>
    <x v="6"/>
    <n v="0"/>
    <x v="3"/>
    <x v="3"/>
  </r>
  <r>
    <x v="3"/>
    <x v="3"/>
    <x v="7"/>
    <n v="0"/>
    <x v="3"/>
    <x v="3"/>
  </r>
  <r>
    <x v="3"/>
    <x v="3"/>
    <x v="8"/>
    <n v="0"/>
    <x v="3"/>
    <x v="3"/>
  </r>
  <r>
    <x v="3"/>
    <x v="3"/>
    <x v="9"/>
    <n v="0"/>
    <x v="3"/>
    <x v="3"/>
  </r>
  <r>
    <x v="3"/>
    <x v="3"/>
    <x v="10"/>
    <n v="0"/>
    <x v="3"/>
    <x v="3"/>
  </r>
  <r>
    <x v="3"/>
    <x v="3"/>
    <x v="11"/>
    <n v="0"/>
    <x v="3"/>
    <x v="3"/>
  </r>
  <r>
    <x v="3"/>
    <x v="3"/>
    <x v="12"/>
    <n v="0"/>
    <x v="3"/>
    <x v="3"/>
  </r>
  <r>
    <x v="3"/>
    <x v="3"/>
    <x v="13"/>
    <n v="0"/>
    <x v="3"/>
    <x v="3"/>
  </r>
  <r>
    <x v="3"/>
    <x v="3"/>
    <x v="14"/>
    <n v="0"/>
    <x v="3"/>
    <x v="3"/>
  </r>
  <r>
    <x v="3"/>
    <x v="3"/>
    <x v="15"/>
    <n v="0"/>
    <x v="3"/>
    <x v="3"/>
  </r>
  <r>
    <x v="3"/>
    <x v="3"/>
    <x v="16"/>
    <n v="0"/>
    <x v="3"/>
    <x v="3"/>
  </r>
  <r>
    <x v="3"/>
    <x v="3"/>
    <x v="17"/>
    <n v="0"/>
    <x v="3"/>
    <x v="3"/>
  </r>
  <r>
    <x v="3"/>
    <x v="3"/>
    <x v="18"/>
    <n v="0"/>
    <x v="3"/>
    <x v="3"/>
  </r>
  <r>
    <x v="3"/>
    <x v="3"/>
    <x v="19"/>
    <n v="0"/>
    <x v="3"/>
    <x v="3"/>
  </r>
  <r>
    <x v="3"/>
    <x v="3"/>
    <x v="20"/>
    <n v="0"/>
    <x v="3"/>
    <x v="3"/>
  </r>
  <r>
    <x v="3"/>
    <x v="3"/>
    <x v="21"/>
    <n v="0"/>
    <x v="3"/>
    <x v="3"/>
  </r>
  <r>
    <x v="3"/>
    <x v="3"/>
    <x v="22"/>
    <n v="0"/>
    <x v="3"/>
    <x v="3"/>
  </r>
  <r>
    <x v="3"/>
    <x v="3"/>
    <x v="23"/>
    <n v="0"/>
    <x v="3"/>
    <x v="3"/>
  </r>
  <r>
    <x v="3"/>
    <x v="3"/>
    <x v="24"/>
    <n v="0"/>
    <x v="3"/>
    <x v="3"/>
  </r>
  <r>
    <x v="3"/>
    <x v="3"/>
    <x v="25"/>
    <n v="0"/>
    <x v="3"/>
    <x v="3"/>
  </r>
  <r>
    <x v="3"/>
    <x v="3"/>
    <x v="26"/>
    <n v="0"/>
    <x v="3"/>
    <x v="3"/>
  </r>
  <r>
    <x v="3"/>
    <x v="3"/>
    <x v="27"/>
    <n v="0"/>
    <x v="3"/>
    <x v="3"/>
  </r>
  <r>
    <x v="3"/>
    <x v="3"/>
    <x v="28"/>
    <n v="0"/>
    <x v="3"/>
    <x v="3"/>
  </r>
  <r>
    <x v="3"/>
    <x v="4"/>
    <x v="0"/>
    <n v="0"/>
    <x v="4"/>
    <x v="3"/>
  </r>
  <r>
    <x v="3"/>
    <x v="4"/>
    <x v="1"/>
    <n v="0"/>
    <x v="4"/>
    <x v="3"/>
  </r>
  <r>
    <x v="3"/>
    <x v="4"/>
    <x v="2"/>
    <n v="218045"/>
    <x v="4"/>
    <x v="3"/>
  </r>
  <r>
    <x v="3"/>
    <x v="4"/>
    <x v="3"/>
    <n v="336127"/>
    <x v="4"/>
    <x v="3"/>
  </r>
  <r>
    <x v="3"/>
    <x v="4"/>
    <x v="4"/>
    <n v="319232"/>
    <x v="4"/>
    <x v="3"/>
  </r>
  <r>
    <x v="3"/>
    <x v="4"/>
    <x v="5"/>
    <n v="423939"/>
    <x v="4"/>
    <x v="3"/>
  </r>
  <r>
    <x v="3"/>
    <x v="4"/>
    <x v="6"/>
    <n v="362447"/>
    <x v="4"/>
    <x v="3"/>
  </r>
  <r>
    <x v="3"/>
    <x v="4"/>
    <x v="7"/>
    <n v="402283"/>
    <x v="4"/>
    <x v="3"/>
  </r>
  <r>
    <x v="3"/>
    <x v="4"/>
    <x v="8"/>
    <n v="187421"/>
    <x v="4"/>
    <x v="3"/>
  </r>
  <r>
    <x v="3"/>
    <x v="4"/>
    <x v="9"/>
    <n v="322942"/>
    <x v="4"/>
    <x v="3"/>
  </r>
  <r>
    <x v="3"/>
    <x v="4"/>
    <x v="10"/>
    <n v="368794"/>
    <x v="4"/>
    <x v="3"/>
  </r>
  <r>
    <x v="3"/>
    <x v="4"/>
    <x v="11"/>
    <n v="457503"/>
    <x v="4"/>
    <x v="3"/>
  </r>
  <r>
    <x v="3"/>
    <x v="4"/>
    <x v="12"/>
    <n v="429380"/>
    <x v="4"/>
    <x v="3"/>
  </r>
  <r>
    <x v="3"/>
    <x v="4"/>
    <x v="13"/>
    <n v="471796"/>
    <x v="4"/>
    <x v="3"/>
  </r>
  <r>
    <x v="3"/>
    <x v="4"/>
    <x v="14"/>
    <n v="495990"/>
    <x v="4"/>
    <x v="3"/>
  </r>
  <r>
    <x v="3"/>
    <x v="4"/>
    <x v="15"/>
    <n v="532362"/>
    <x v="4"/>
    <x v="3"/>
  </r>
  <r>
    <x v="3"/>
    <x v="4"/>
    <x v="16"/>
    <n v="593515"/>
    <x v="4"/>
    <x v="3"/>
  </r>
  <r>
    <x v="3"/>
    <x v="4"/>
    <x v="17"/>
    <n v="641800"/>
    <x v="4"/>
    <x v="3"/>
  </r>
  <r>
    <x v="3"/>
    <x v="4"/>
    <x v="18"/>
    <n v="674289"/>
    <x v="4"/>
    <x v="3"/>
  </r>
  <r>
    <x v="3"/>
    <x v="4"/>
    <x v="19"/>
    <n v="720233"/>
    <x v="4"/>
    <x v="3"/>
  </r>
  <r>
    <x v="3"/>
    <x v="4"/>
    <x v="20"/>
    <n v="748636"/>
    <x v="4"/>
    <x v="3"/>
  </r>
  <r>
    <x v="3"/>
    <x v="4"/>
    <x v="21"/>
    <n v="818595"/>
    <x v="4"/>
    <x v="3"/>
  </r>
  <r>
    <x v="3"/>
    <x v="4"/>
    <x v="22"/>
    <n v="945323"/>
    <x v="4"/>
    <x v="3"/>
  </r>
  <r>
    <x v="3"/>
    <x v="4"/>
    <x v="23"/>
    <n v="971286"/>
    <x v="4"/>
    <x v="3"/>
  </r>
  <r>
    <x v="3"/>
    <x v="4"/>
    <x v="24"/>
    <n v="920224"/>
    <x v="4"/>
    <x v="3"/>
  </r>
  <r>
    <x v="3"/>
    <x v="4"/>
    <x v="25"/>
    <n v="906922"/>
    <x v="4"/>
    <x v="3"/>
  </r>
  <r>
    <x v="3"/>
    <x v="4"/>
    <x v="26"/>
    <n v="957071"/>
    <x v="4"/>
    <x v="3"/>
  </r>
  <r>
    <x v="3"/>
    <x v="4"/>
    <x v="27"/>
    <n v="935563"/>
    <x v="4"/>
    <x v="3"/>
  </r>
  <r>
    <x v="3"/>
    <x v="4"/>
    <x v="28"/>
    <n v="985392"/>
    <x v="4"/>
    <x v="3"/>
  </r>
  <r>
    <x v="3"/>
    <x v="5"/>
    <x v="0"/>
    <n v="88727"/>
    <x v="4"/>
    <x v="3"/>
  </r>
  <r>
    <x v="3"/>
    <x v="5"/>
    <x v="1"/>
    <n v="81346"/>
    <x v="4"/>
    <x v="3"/>
  </r>
  <r>
    <x v="3"/>
    <x v="5"/>
    <x v="2"/>
    <n v="98006"/>
    <x v="4"/>
    <x v="3"/>
  </r>
  <r>
    <x v="3"/>
    <x v="5"/>
    <x v="3"/>
    <n v="92354"/>
    <x v="4"/>
    <x v="3"/>
  </r>
  <r>
    <x v="3"/>
    <x v="5"/>
    <x v="4"/>
    <n v="99904"/>
    <x v="4"/>
    <x v="3"/>
  </r>
  <r>
    <x v="3"/>
    <x v="5"/>
    <x v="5"/>
    <n v="115353"/>
    <x v="4"/>
    <x v="3"/>
  </r>
  <r>
    <x v="3"/>
    <x v="5"/>
    <x v="6"/>
    <n v="104296"/>
    <x v="4"/>
    <x v="3"/>
  </r>
  <r>
    <x v="3"/>
    <x v="5"/>
    <x v="7"/>
    <n v="33816"/>
    <x v="4"/>
    <x v="3"/>
  </r>
  <r>
    <x v="3"/>
    <x v="5"/>
    <x v="8"/>
    <n v="84406"/>
    <x v="4"/>
    <x v="3"/>
  </r>
  <r>
    <x v="3"/>
    <x v="5"/>
    <x v="9"/>
    <n v="111748"/>
    <x v="4"/>
    <x v="3"/>
  </r>
  <r>
    <x v="3"/>
    <x v="5"/>
    <x v="10"/>
    <n v="105494"/>
    <x v="4"/>
    <x v="3"/>
  </r>
  <r>
    <x v="3"/>
    <x v="5"/>
    <x v="11"/>
    <n v="81027"/>
    <x v="4"/>
    <x v="3"/>
  </r>
  <r>
    <x v="3"/>
    <x v="5"/>
    <x v="12"/>
    <n v="74326"/>
    <x v="4"/>
    <x v="3"/>
  </r>
  <r>
    <x v="3"/>
    <x v="5"/>
    <x v="13"/>
    <n v="83726"/>
    <x v="4"/>
    <x v="3"/>
  </r>
  <r>
    <x v="3"/>
    <x v="5"/>
    <x v="14"/>
    <n v="60935"/>
    <x v="4"/>
    <x v="3"/>
  </r>
  <r>
    <x v="3"/>
    <x v="5"/>
    <x v="15"/>
    <n v="75549"/>
    <x v="4"/>
    <x v="3"/>
  </r>
  <r>
    <x v="3"/>
    <x v="5"/>
    <x v="16"/>
    <n v="61614"/>
    <x v="4"/>
    <x v="3"/>
  </r>
  <r>
    <x v="3"/>
    <x v="5"/>
    <x v="17"/>
    <n v="67090"/>
    <x v="4"/>
    <x v="3"/>
  </r>
  <r>
    <x v="3"/>
    <x v="5"/>
    <x v="18"/>
    <n v="86146"/>
    <x v="4"/>
    <x v="3"/>
  </r>
  <r>
    <x v="3"/>
    <x v="5"/>
    <x v="19"/>
    <n v="74656"/>
    <x v="4"/>
    <x v="3"/>
  </r>
  <r>
    <x v="3"/>
    <x v="5"/>
    <x v="20"/>
    <n v="0"/>
    <x v="4"/>
    <x v="3"/>
  </r>
  <r>
    <x v="3"/>
    <x v="5"/>
    <x v="21"/>
    <n v="0"/>
    <x v="4"/>
    <x v="3"/>
  </r>
  <r>
    <x v="3"/>
    <x v="5"/>
    <x v="22"/>
    <n v="0"/>
    <x v="4"/>
    <x v="3"/>
  </r>
  <r>
    <x v="3"/>
    <x v="5"/>
    <x v="23"/>
    <n v="0"/>
    <x v="4"/>
    <x v="3"/>
  </r>
  <r>
    <x v="3"/>
    <x v="5"/>
    <x v="24"/>
    <n v="0"/>
    <x v="4"/>
    <x v="3"/>
  </r>
  <r>
    <x v="3"/>
    <x v="5"/>
    <x v="25"/>
    <n v="0"/>
    <x v="4"/>
    <x v="3"/>
  </r>
  <r>
    <x v="3"/>
    <x v="5"/>
    <x v="26"/>
    <n v="0"/>
    <x v="4"/>
    <x v="3"/>
  </r>
  <r>
    <x v="3"/>
    <x v="5"/>
    <x v="27"/>
    <n v="0"/>
    <x v="4"/>
    <x v="3"/>
  </r>
  <r>
    <x v="3"/>
    <x v="5"/>
    <x v="28"/>
    <n v="0"/>
    <x v="4"/>
    <x v="3"/>
  </r>
  <r>
    <x v="3"/>
    <x v="0"/>
    <x v="0"/>
    <n v="11353817"/>
    <x v="5"/>
    <x v="3"/>
  </r>
  <r>
    <x v="3"/>
    <x v="0"/>
    <x v="1"/>
    <n v="11119753"/>
    <x v="5"/>
    <x v="3"/>
  </r>
  <r>
    <x v="3"/>
    <x v="0"/>
    <x v="2"/>
    <n v="13040561"/>
    <x v="5"/>
    <x v="3"/>
  </r>
  <r>
    <x v="3"/>
    <x v="0"/>
    <x v="3"/>
    <n v="11380628"/>
    <x v="5"/>
    <x v="3"/>
  </r>
  <r>
    <x v="3"/>
    <x v="0"/>
    <x v="4"/>
    <n v="9024384"/>
    <x v="5"/>
    <x v="3"/>
  </r>
  <r>
    <x v="3"/>
    <x v="0"/>
    <x v="5"/>
    <n v="13381643"/>
    <x v="5"/>
    <x v="3"/>
  </r>
  <r>
    <x v="3"/>
    <x v="0"/>
    <x v="6"/>
    <n v="14467683"/>
    <x v="5"/>
    <x v="3"/>
  </r>
  <r>
    <x v="3"/>
    <x v="0"/>
    <x v="7"/>
    <n v="14095269"/>
    <x v="5"/>
    <x v="3"/>
  </r>
  <r>
    <x v="3"/>
    <x v="0"/>
    <x v="8"/>
    <n v="10797938"/>
    <x v="5"/>
    <x v="3"/>
  </r>
  <r>
    <x v="3"/>
    <x v="0"/>
    <x v="9"/>
    <n v="13219212"/>
    <x v="5"/>
    <x v="3"/>
  </r>
  <r>
    <x v="3"/>
    <x v="0"/>
    <x v="10"/>
    <n v="14939801"/>
    <x v="5"/>
    <x v="3"/>
  </r>
  <r>
    <x v="3"/>
    <x v="0"/>
    <x v="11"/>
    <n v="13234476"/>
    <x v="5"/>
    <x v="3"/>
  </r>
  <r>
    <x v="3"/>
    <x v="0"/>
    <x v="12"/>
    <n v="11226878"/>
    <x v="5"/>
    <x v="3"/>
  </r>
  <r>
    <x v="3"/>
    <x v="0"/>
    <x v="13"/>
    <n v="16376995"/>
    <x v="5"/>
    <x v="3"/>
  </r>
  <r>
    <x v="3"/>
    <x v="0"/>
    <x v="14"/>
    <n v="16836304"/>
    <x v="5"/>
    <x v="3"/>
  </r>
  <r>
    <x v="3"/>
    <x v="0"/>
    <x v="15"/>
    <n v="15256559"/>
    <x v="5"/>
    <x v="3"/>
  </r>
  <r>
    <x v="3"/>
    <x v="0"/>
    <x v="16"/>
    <n v="15477625"/>
    <x v="5"/>
    <x v="3"/>
  </r>
  <r>
    <x v="3"/>
    <x v="0"/>
    <x v="17"/>
    <n v="16370864"/>
    <x v="5"/>
    <x v="3"/>
  </r>
  <r>
    <x v="3"/>
    <x v="0"/>
    <x v="18"/>
    <n v="18513397"/>
    <x v="5"/>
    <x v="3"/>
  </r>
  <r>
    <x v="3"/>
    <x v="0"/>
    <x v="19"/>
    <n v="18868338"/>
    <x v="5"/>
    <x v="3"/>
  </r>
  <r>
    <x v="3"/>
    <x v="0"/>
    <x v="20"/>
    <n v="15348621"/>
    <x v="5"/>
    <x v="3"/>
  </r>
  <r>
    <x v="3"/>
    <x v="0"/>
    <x v="21"/>
    <n v="20412041"/>
    <x v="5"/>
    <x v="3"/>
  </r>
  <r>
    <x v="3"/>
    <x v="0"/>
    <x v="22"/>
    <n v="21240995"/>
    <x v="5"/>
    <x v="3"/>
  </r>
  <r>
    <x v="3"/>
    <x v="0"/>
    <x v="23"/>
    <n v="19666822"/>
    <x v="5"/>
    <x v="3"/>
  </r>
  <r>
    <x v="3"/>
    <x v="0"/>
    <x v="24"/>
    <n v="17881781"/>
    <x v="5"/>
    <x v="3"/>
  </r>
  <r>
    <x v="3"/>
    <x v="0"/>
    <x v="25"/>
    <n v="23968070"/>
    <x v="5"/>
    <x v="3"/>
  </r>
  <r>
    <x v="3"/>
    <x v="0"/>
    <x v="26"/>
    <n v="16999715"/>
    <x v="5"/>
    <x v="3"/>
  </r>
  <r>
    <x v="3"/>
    <x v="0"/>
    <x v="27"/>
    <n v="23526297"/>
    <x v="5"/>
    <x v="3"/>
  </r>
  <r>
    <x v="3"/>
    <x v="0"/>
    <x v="28"/>
    <n v="17967191"/>
    <x v="5"/>
    <x v="3"/>
  </r>
  <r>
    <x v="3"/>
    <x v="6"/>
    <x v="0"/>
    <n v="190787754"/>
    <x v="5"/>
    <x v="4"/>
  </r>
  <r>
    <x v="3"/>
    <x v="6"/>
    <x v="1"/>
    <n v="157566921"/>
    <x v="5"/>
    <x v="4"/>
  </r>
  <r>
    <x v="3"/>
    <x v="6"/>
    <x v="2"/>
    <n v="184886343"/>
    <x v="5"/>
    <x v="4"/>
  </r>
  <r>
    <x v="3"/>
    <x v="6"/>
    <x v="3"/>
    <n v="163486021"/>
    <x v="5"/>
    <x v="4"/>
  </r>
  <r>
    <x v="3"/>
    <x v="6"/>
    <x v="4"/>
    <n v="139086543"/>
    <x v="5"/>
    <x v="4"/>
  </r>
  <r>
    <x v="3"/>
    <x v="6"/>
    <x v="5"/>
    <n v="184749867"/>
    <x v="5"/>
    <x v="4"/>
  </r>
  <r>
    <x v="3"/>
    <x v="6"/>
    <x v="6"/>
    <n v="193087164"/>
    <x v="5"/>
    <x v="4"/>
  </r>
  <r>
    <x v="3"/>
    <x v="6"/>
    <x v="7"/>
    <n v="161636376"/>
    <x v="5"/>
    <x v="4"/>
  </r>
  <r>
    <x v="3"/>
    <x v="6"/>
    <x v="8"/>
    <n v="162000728"/>
    <x v="5"/>
    <x v="4"/>
  </r>
  <r>
    <x v="3"/>
    <x v="6"/>
    <x v="9"/>
    <n v="184700513"/>
    <x v="5"/>
    <x v="4"/>
  </r>
  <r>
    <x v="3"/>
    <x v="6"/>
    <x v="10"/>
    <n v="208472910"/>
    <x v="5"/>
    <x v="4"/>
  </r>
  <r>
    <x v="3"/>
    <x v="6"/>
    <x v="11"/>
    <n v="172121556"/>
    <x v="5"/>
    <x v="4"/>
  </r>
  <r>
    <x v="3"/>
    <x v="6"/>
    <x v="12"/>
    <n v="173067446"/>
    <x v="5"/>
    <x v="4"/>
  </r>
  <r>
    <x v="3"/>
    <x v="6"/>
    <x v="13"/>
    <n v="167000751"/>
    <x v="5"/>
    <x v="4"/>
  </r>
  <r>
    <x v="3"/>
    <x v="6"/>
    <x v="14"/>
    <n v="188320552"/>
    <x v="5"/>
    <x v="4"/>
  </r>
  <r>
    <x v="3"/>
    <x v="6"/>
    <x v="15"/>
    <n v="182188128"/>
    <x v="5"/>
    <x v="4"/>
  </r>
  <r>
    <x v="3"/>
    <x v="6"/>
    <x v="16"/>
    <n v="144363444"/>
    <x v="5"/>
    <x v="4"/>
  </r>
  <r>
    <x v="3"/>
    <x v="6"/>
    <x v="17"/>
    <n v="182674337"/>
    <x v="5"/>
    <x v="4"/>
  </r>
  <r>
    <x v="3"/>
    <x v="6"/>
    <x v="18"/>
    <n v="174916666"/>
    <x v="5"/>
    <x v="4"/>
  </r>
  <r>
    <x v="3"/>
    <x v="6"/>
    <x v="19"/>
    <n v="178080356"/>
    <x v="5"/>
    <x v="4"/>
  </r>
  <r>
    <x v="3"/>
    <x v="6"/>
    <x v="20"/>
    <n v="187136760"/>
    <x v="5"/>
    <x v="4"/>
  </r>
  <r>
    <x v="3"/>
    <x v="6"/>
    <x v="21"/>
    <n v="186857551"/>
    <x v="5"/>
    <x v="4"/>
  </r>
  <r>
    <x v="3"/>
    <x v="6"/>
    <x v="22"/>
    <n v="205598495"/>
    <x v="5"/>
    <x v="4"/>
  </r>
  <r>
    <x v="3"/>
    <x v="6"/>
    <x v="23"/>
    <n v="173067964"/>
    <x v="5"/>
    <x v="4"/>
  </r>
  <r>
    <x v="3"/>
    <x v="6"/>
    <x v="24"/>
    <n v="200717184"/>
    <x v="5"/>
    <x v="4"/>
  </r>
  <r>
    <x v="3"/>
    <x v="6"/>
    <x v="25"/>
    <n v="179682851"/>
    <x v="5"/>
    <x v="4"/>
  </r>
  <r>
    <x v="3"/>
    <x v="6"/>
    <x v="26"/>
    <n v="201037082"/>
    <x v="5"/>
    <x v="4"/>
  </r>
  <r>
    <x v="3"/>
    <x v="6"/>
    <x v="27"/>
    <n v="193011439"/>
    <x v="5"/>
    <x v="4"/>
  </r>
  <r>
    <x v="3"/>
    <x v="6"/>
    <x v="28"/>
    <n v="159462788"/>
    <x v="5"/>
    <x v="4"/>
  </r>
  <r>
    <x v="3"/>
    <x v="7"/>
    <x v="0"/>
    <n v="0"/>
    <x v="5"/>
    <x v="4"/>
  </r>
  <r>
    <x v="3"/>
    <x v="7"/>
    <x v="1"/>
    <n v="0"/>
    <x v="5"/>
    <x v="4"/>
  </r>
  <r>
    <x v="3"/>
    <x v="7"/>
    <x v="2"/>
    <n v="0"/>
    <x v="5"/>
    <x v="4"/>
  </r>
  <r>
    <x v="3"/>
    <x v="7"/>
    <x v="3"/>
    <n v="0"/>
    <x v="5"/>
    <x v="4"/>
  </r>
  <r>
    <x v="3"/>
    <x v="7"/>
    <x v="4"/>
    <n v="0"/>
    <x v="5"/>
    <x v="4"/>
  </r>
  <r>
    <x v="3"/>
    <x v="7"/>
    <x v="5"/>
    <n v="0"/>
    <x v="5"/>
    <x v="4"/>
  </r>
  <r>
    <x v="3"/>
    <x v="7"/>
    <x v="6"/>
    <n v="0"/>
    <x v="5"/>
    <x v="4"/>
  </r>
  <r>
    <x v="3"/>
    <x v="7"/>
    <x v="7"/>
    <n v="0"/>
    <x v="5"/>
    <x v="4"/>
  </r>
  <r>
    <x v="3"/>
    <x v="7"/>
    <x v="8"/>
    <n v="0"/>
    <x v="5"/>
    <x v="4"/>
  </r>
  <r>
    <x v="3"/>
    <x v="7"/>
    <x v="9"/>
    <n v="16659"/>
    <x v="5"/>
    <x v="4"/>
  </r>
  <r>
    <x v="3"/>
    <x v="7"/>
    <x v="10"/>
    <n v="0"/>
    <x v="5"/>
    <x v="4"/>
  </r>
  <r>
    <x v="3"/>
    <x v="7"/>
    <x v="11"/>
    <n v="0"/>
    <x v="5"/>
    <x v="4"/>
  </r>
  <r>
    <x v="3"/>
    <x v="7"/>
    <x v="12"/>
    <n v="-1915"/>
    <x v="5"/>
    <x v="4"/>
  </r>
  <r>
    <x v="3"/>
    <x v="7"/>
    <x v="13"/>
    <n v="-6563"/>
    <x v="5"/>
    <x v="4"/>
  </r>
  <r>
    <x v="3"/>
    <x v="7"/>
    <x v="14"/>
    <n v="-7587"/>
    <x v="5"/>
    <x v="4"/>
  </r>
  <r>
    <x v="3"/>
    <x v="7"/>
    <x v="15"/>
    <n v="-5258"/>
    <x v="5"/>
    <x v="4"/>
  </r>
  <r>
    <x v="3"/>
    <x v="7"/>
    <x v="16"/>
    <n v="-29358"/>
    <x v="5"/>
    <x v="4"/>
  </r>
  <r>
    <x v="3"/>
    <x v="7"/>
    <x v="17"/>
    <n v="-11347"/>
    <x v="5"/>
    <x v="4"/>
  </r>
  <r>
    <x v="3"/>
    <x v="7"/>
    <x v="18"/>
    <n v="-12518"/>
    <x v="5"/>
    <x v="4"/>
  </r>
  <r>
    <x v="3"/>
    <x v="7"/>
    <x v="19"/>
    <n v="-24341"/>
    <x v="5"/>
    <x v="4"/>
  </r>
  <r>
    <x v="3"/>
    <x v="7"/>
    <x v="20"/>
    <n v="-59049"/>
    <x v="5"/>
    <x v="4"/>
  </r>
  <r>
    <x v="3"/>
    <x v="7"/>
    <x v="21"/>
    <n v="-130131"/>
    <x v="5"/>
    <x v="4"/>
  </r>
  <r>
    <x v="3"/>
    <x v="7"/>
    <x v="22"/>
    <n v="-81532"/>
    <x v="5"/>
    <x v="4"/>
  </r>
  <r>
    <x v="3"/>
    <x v="7"/>
    <x v="23"/>
    <n v="-71870"/>
    <x v="5"/>
    <x v="4"/>
  </r>
  <r>
    <x v="3"/>
    <x v="7"/>
    <x v="24"/>
    <n v="-70738"/>
    <x v="5"/>
    <x v="4"/>
  </r>
  <r>
    <x v="3"/>
    <x v="7"/>
    <x v="25"/>
    <n v="-264861"/>
    <x v="5"/>
    <x v="4"/>
  </r>
  <r>
    <x v="3"/>
    <x v="7"/>
    <x v="26"/>
    <n v="-475858"/>
    <x v="5"/>
    <x v="4"/>
  </r>
  <r>
    <x v="3"/>
    <x v="7"/>
    <x v="27"/>
    <n v="-171343"/>
    <x v="5"/>
    <x v="4"/>
  </r>
  <r>
    <x v="3"/>
    <x v="7"/>
    <x v="28"/>
    <n v="-303649"/>
    <x v="5"/>
    <x v="4"/>
  </r>
  <r>
    <x v="3"/>
    <x v="8"/>
    <x v="0"/>
    <n v="10272272"/>
    <x v="5"/>
    <x v="4"/>
  </r>
  <r>
    <x v="3"/>
    <x v="8"/>
    <x v="1"/>
    <n v="921340"/>
    <x v="5"/>
    <x v="4"/>
  </r>
  <r>
    <x v="3"/>
    <x v="8"/>
    <x v="2"/>
    <n v="-556919"/>
    <x v="5"/>
    <x v="4"/>
  </r>
  <r>
    <x v="3"/>
    <x v="8"/>
    <x v="3"/>
    <n v="2169583"/>
    <x v="5"/>
    <x v="4"/>
  </r>
  <r>
    <x v="3"/>
    <x v="8"/>
    <x v="4"/>
    <n v="1604260"/>
    <x v="5"/>
    <x v="4"/>
  </r>
  <r>
    <x v="3"/>
    <x v="8"/>
    <x v="5"/>
    <n v="369644"/>
    <x v="5"/>
    <x v="4"/>
  </r>
  <r>
    <x v="3"/>
    <x v="8"/>
    <x v="6"/>
    <n v="71965"/>
    <x v="5"/>
    <x v="4"/>
  </r>
  <r>
    <x v="3"/>
    <x v="8"/>
    <x v="7"/>
    <n v="2358476"/>
    <x v="5"/>
    <x v="4"/>
  </r>
  <r>
    <x v="3"/>
    <x v="8"/>
    <x v="8"/>
    <n v="-76495"/>
    <x v="5"/>
    <x v="4"/>
  </r>
  <r>
    <x v="3"/>
    <x v="8"/>
    <x v="9"/>
    <n v="-3232199"/>
    <x v="5"/>
    <x v="4"/>
  </r>
  <r>
    <x v="3"/>
    <x v="8"/>
    <x v="10"/>
    <n v="-3865648"/>
    <x v="5"/>
    <x v="4"/>
  </r>
  <r>
    <x v="3"/>
    <x v="8"/>
    <x v="11"/>
    <n v="-4155248"/>
    <x v="5"/>
    <x v="4"/>
  </r>
  <r>
    <x v="3"/>
    <x v="8"/>
    <x v="12"/>
    <n v="1815092"/>
    <x v="5"/>
    <x v="4"/>
  </r>
  <r>
    <x v="3"/>
    <x v="8"/>
    <x v="13"/>
    <n v="2970595"/>
    <x v="5"/>
    <x v="4"/>
  </r>
  <r>
    <x v="3"/>
    <x v="8"/>
    <x v="14"/>
    <n v="3828923"/>
    <x v="5"/>
    <x v="4"/>
  </r>
  <r>
    <x v="3"/>
    <x v="8"/>
    <x v="15"/>
    <n v="1063480"/>
    <x v="5"/>
    <x v="4"/>
  </r>
  <r>
    <x v="3"/>
    <x v="8"/>
    <x v="16"/>
    <n v="-3595701"/>
    <x v="5"/>
    <x v="4"/>
  </r>
  <r>
    <x v="3"/>
    <x v="8"/>
    <x v="17"/>
    <n v="-4419614"/>
    <x v="5"/>
    <x v="4"/>
  </r>
  <r>
    <x v="3"/>
    <x v="8"/>
    <x v="18"/>
    <n v="-5639152"/>
    <x v="5"/>
    <x v="4"/>
  </r>
  <r>
    <x v="3"/>
    <x v="8"/>
    <x v="19"/>
    <n v="-4955786"/>
    <x v="5"/>
    <x v="4"/>
  </r>
  <r>
    <x v="3"/>
    <x v="8"/>
    <x v="20"/>
    <n v="-4866175"/>
    <x v="5"/>
    <x v="4"/>
  </r>
  <r>
    <x v="3"/>
    <x v="8"/>
    <x v="21"/>
    <n v="-3138844"/>
    <x v="5"/>
    <x v="4"/>
  </r>
  <r>
    <x v="3"/>
    <x v="8"/>
    <x v="22"/>
    <n v="-4277246"/>
    <x v="5"/>
    <x v="4"/>
  </r>
  <r>
    <x v="3"/>
    <x v="8"/>
    <x v="23"/>
    <n v="-4805022"/>
    <x v="5"/>
    <x v="4"/>
  </r>
  <r>
    <x v="3"/>
    <x v="8"/>
    <x v="24"/>
    <n v="-2864283"/>
    <x v="5"/>
    <x v="4"/>
  </r>
  <r>
    <x v="3"/>
    <x v="8"/>
    <x v="25"/>
    <n v="-2260403"/>
    <x v="5"/>
    <x v="4"/>
  </r>
  <r>
    <x v="3"/>
    <x v="8"/>
    <x v="26"/>
    <n v="-7078291"/>
    <x v="5"/>
    <x v="4"/>
  </r>
  <r>
    <x v="3"/>
    <x v="8"/>
    <x v="27"/>
    <n v="-7105738"/>
    <x v="5"/>
    <x v="4"/>
  </r>
  <r>
    <x v="3"/>
    <x v="8"/>
    <x v="28"/>
    <n v="-7140239"/>
    <x v="5"/>
    <x v="4"/>
  </r>
  <r>
    <x v="3"/>
    <x v="1"/>
    <x v="0"/>
    <n v="0"/>
    <x v="5"/>
    <x v="3"/>
  </r>
  <r>
    <x v="3"/>
    <x v="1"/>
    <x v="1"/>
    <n v="0"/>
    <x v="5"/>
    <x v="3"/>
  </r>
  <r>
    <x v="3"/>
    <x v="1"/>
    <x v="2"/>
    <n v="0"/>
    <x v="5"/>
    <x v="3"/>
  </r>
  <r>
    <x v="3"/>
    <x v="1"/>
    <x v="3"/>
    <n v="0"/>
    <x v="5"/>
    <x v="3"/>
  </r>
  <r>
    <x v="3"/>
    <x v="1"/>
    <x v="4"/>
    <n v="0"/>
    <x v="5"/>
    <x v="3"/>
  </r>
  <r>
    <x v="3"/>
    <x v="1"/>
    <x v="5"/>
    <n v="0"/>
    <x v="5"/>
    <x v="3"/>
  </r>
  <r>
    <x v="3"/>
    <x v="1"/>
    <x v="6"/>
    <n v="0"/>
    <x v="5"/>
    <x v="3"/>
  </r>
  <r>
    <x v="3"/>
    <x v="1"/>
    <x v="7"/>
    <n v="337496"/>
    <x v="5"/>
    <x v="3"/>
  </r>
  <r>
    <x v="3"/>
    <x v="1"/>
    <x v="8"/>
    <n v="301585"/>
    <x v="5"/>
    <x v="3"/>
  </r>
  <r>
    <x v="3"/>
    <x v="1"/>
    <x v="9"/>
    <n v="202848"/>
    <x v="5"/>
    <x v="3"/>
  </r>
  <r>
    <x v="3"/>
    <x v="1"/>
    <x v="10"/>
    <n v="226799"/>
    <x v="5"/>
    <x v="3"/>
  </r>
  <r>
    <x v="3"/>
    <x v="1"/>
    <x v="11"/>
    <n v="488983"/>
    <x v="5"/>
    <x v="3"/>
  </r>
  <r>
    <x v="3"/>
    <x v="1"/>
    <x v="12"/>
    <n v="161527"/>
    <x v="5"/>
    <x v="3"/>
  </r>
  <r>
    <x v="3"/>
    <x v="1"/>
    <x v="13"/>
    <n v="455869"/>
    <x v="5"/>
    <x v="3"/>
  </r>
  <r>
    <x v="3"/>
    <x v="1"/>
    <x v="14"/>
    <n v="11311233"/>
    <x v="5"/>
    <x v="3"/>
  </r>
  <r>
    <x v="3"/>
    <x v="1"/>
    <x v="15"/>
    <n v="4290785"/>
    <x v="5"/>
    <x v="3"/>
  </r>
  <r>
    <x v="3"/>
    <x v="1"/>
    <x v="16"/>
    <n v="7187193"/>
    <x v="5"/>
    <x v="3"/>
  </r>
  <r>
    <x v="3"/>
    <x v="1"/>
    <x v="17"/>
    <n v="6251613"/>
    <x v="5"/>
    <x v="3"/>
  </r>
  <r>
    <x v="3"/>
    <x v="1"/>
    <x v="18"/>
    <n v="206541"/>
    <x v="5"/>
    <x v="3"/>
  </r>
  <r>
    <x v="3"/>
    <x v="1"/>
    <x v="19"/>
    <n v="3942228"/>
    <x v="5"/>
    <x v="3"/>
  </r>
  <r>
    <x v="3"/>
    <x v="1"/>
    <x v="20"/>
    <n v="6937535"/>
    <x v="5"/>
    <x v="3"/>
  </r>
  <r>
    <x v="3"/>
    <x v="1"/>
    <x v="21"/>
    <n v="-458422"/>
    <x v="5"/>
    <x v="3"/>
  </r>
  <r>
    <x v="3"/>
    <x v="1"/>
    <x v="22"/>
    <n v="3338045"/>
    <x v="5"/>
    <x v="3"/>
  </r>
  <r>
    <x v="3"/>
    <x v="1"/>
    <x v="23"/>
    <n v="66684"/>
    <x v="5"/>
    <x v="3"/>
  </r>
  <r>
    <x v="3"/>
    <x v="1"/>
    <x v="24"/>
    <n v="14182521"/>
    <x v="5"/>
    <x v="3"/>
  </r>
  <r>
    <x v="3"/>
    <x v="1"/>
    <x v="25"/>
    <n v="5088086"/>
    <x v="5"/>
    <x v="3"/>
  </r>
  <r>
    <x v="3"/>
    <x v="1"/>
    <x v="26"/>
    <n v="8691920"/>
    <x v="5"/>
    <x v="3"/>
  </r>
  <r>
    <x v="3"/>
    <x v="1"/>
    <x v="27"/>
    <n v="19071444"/>
    <x v="5"/>
    <x v="3"/>
  </r>
  <r>
    <x v="3"/>
    <x v="1"/>
    <x v="28"/>
    <n v="24023579"/>
    <x v="5"/>
    <x v="3"/>
  </r>
  <r>
    <x v="3"/>
    <x v="9"/>
    <x v="0"/>
    <n v="0"/>
    <x v="6"/>
    <x v="3"/>
  </r>
  <r>
    <x v="3"/>
    <x v="9"/>
    <x v="1"/>
    <n v="0"/>
    <x v="6"/>
    <x v="3"/>
  </r>
  <r>
    <x v="3"/>
    <x v="9"/>
    <x v="2"/>
    <n v="0"/>
    <x v="6"/>
    <x v="3"/>
  </r>
  <r>
    <x v="3"/>
    <x v="9"/>
    <x v="3"/>
    <n v="0"/>
    <x v="6"/>
    <x v="3"/>
  </r>
  <r>
    <x v="3"/>
    <x v="9"/>
    <x v="4"/>
    <n v="0"/>
    <x v="6"/>
    <x v="3"/>
  </r>
  <r>
    <x v="3"/>
    <x v="9"/>
    <x v="5"/>
    <n v="0"/>
    <x v="6"/>
    <x v="3"/>
  </r>
  <r>
    <x v="3"/>
    <x v="9"/>
    <x v="6"/>
    <n v="0"/>
    <x v="6"/>
    <x v="3"/>
  </r>
  <r>
    <x v="3"/>
    <x v="9"/>
    <x v="7"/>
    <n v="0"/>
    <x v="6"/>
    <x v="3"/>
  </r>
  <r>
    <x v="3"/>
    <x v="9"/>
    <x v="8"/>
    <n v="431079"/>
    <x v="6"/>
    <x v="3"/>
  </r>
  <r>
    <x v="3"/>
    <x v="9"/>
    <x v="9"/>
    <n v="422832"/>
    <x v="6"/>
    <x v="3"/>
  </r>
  <r>
    <x v="3"/>
    <x v="9"/>
    <x v="10"/>
    <n v="440204"/>
    <x v="6"/>
    <x v="3"/>
  </r>
  <r>
    <x v="3"/>
    <x v="9"/>
    <x v="11"/>
    <n v="433671"/>
    <x v="6"/>
    <x v="3"/>
  </r>
  <r>
    <x v="3"/>
    <x v="9"/>
    <x v="12"/>
    <n v="440040"/>
    <x v="6"/>
    <x v="3"/>
  </r>
  <r>
    <x v="3"/>
    <x v="9"/>
    <x v="13"/>
    <n v="421603"/>
    <x v="6"/>
    <x v="3"/>
  </r>
  <r>
    <x v="3"/>
    <x v="9"/>
    <x v="14"/>
    <n v="418545"/>
    <x v="6"/>
    <x v="3"/>
  </r>
  <r>
    <x v="3"/>
    <x v="9"/>
    <x v="15"/>
    <n v="443104"/>
    <x v="6"/>
    <x v="3"/>
  </r>
  <r>
    <x v="3"/>
    <x v="9"/>
    <x v="16"/>
    <n v="430759"/>
    <x v="6"/>
    <x v="3"/>
  </r>
  <r>
    <x v="3"/>
    <x v="9"/>
    <x v="17"/>
    <n v="360119"/>
    <x v="6"/>
    <x v="3"/>
  </r>
  <r>
    <x v="3"/>
    <x v="9"/>
    <x v="18"/>
    <n v="362929"/>
    <x v="6"/>
    <x v="3"/>
  </r>
  <r>
    <x v="3"/>
    <x v="9"/>
    <x v="19"/>
    <n v="388137"/>
    <x v="6"/>
    <x v="3"/>
  </r>
  <r>
    <x v="3"/>
    <x v="9"/>
    <x v="20"/>
    <n v="376080"/>
    <x v="6"/>
    <x v="3"/>
  </r>
  <r>
    <x v="3"/>
    <x v="9"/>
    <x v="21"/>
    <n v="391958"/>
    <x v="6"/>
    <x v="3"/>
  </r>
  <r>
    <x v="3"/>
    <x v="9"/>
    <x v="22"/>
    <n v="393256"/>
    <x v="6"/>
    <x v="3"/>
  </r>
  <r>
    <x v="3"/>
    <x v="9"/>
    <x v="23"/>
    <n v="383894"/>
    <x v="6"/>
    <x v="3"/>
  </r>
  <r>
    <x v="3"/>
    <x v="9"/>
    <x v="24"/>
    <n v="384134"/>
    <x v="6"/>
    <x v="3"/>
  </r>
  <r>
    <x v="3"/>
    <x v="9"/>
    <x v="25"/>
    <n v="388993"/>
    <x v="6"/>
    <x v="3"/>
  </r>
  <r>
    <x v="3"/>
    <x v="9"/>
    <x v="26"/>
    <n v="391137"/>
    <x v="6"/>
    <x v="3"/>
  </r>
  <r>
    <x v="3"/>
    <x v="9"/>
    <x v="27"/>
    <n v="401883"/>
    <x v="6"/>
    <x v="3"/>
  </r>
  <r>
    <x v="3"/>
    <x v="9"/>
    <x v="28"/>
    <n v="418195"/>
    <x v="6"/>
    <x v="3"/>
  </r>
  <r>
    <x v="3"/>
    <x v="10"/>
    <x v="0"/>
    <n v="0"/>
    <x v="6"/>
    <x v="3"/>
  </r>
  <r>
    <x v="3"/>
    <x v="10"/>
    <x v="1"/>
    <n v="0"/>
    <x v="6"/>
    <x v="3"/>
  </r>
  <r>
    <x v="3"/>
    <x v="10"/>
    <x v="2"/>
    <n v="0"/>
    <x v="6"/>
    <x v="3"/>
  </r>
  <r>
    <x v="3"/>
    <x v="10"/>
    <x v="3"/>
    <n v="0"/>
    <x v="6"/>
    <x v="3"/>
  </r>
  <r>
    <x v="3"/>
    <x v="10"/>
    <x v="4"/>
    <n v="0"/>
    <x v="6"/>
    <x v="3"/>
  </r>
  <r>
    <x v="3"/>
    <x v="10"/>
    <x v="5"/>
    <n v="0"/>
    <x v="6"/>
    <x v="3"/>
  </r>
  <r>
    <x v="3"/>
    <x v="10"/>
    <x v="6"/>
    <n v="0"/>
    <x v="6"/>
    <x v="3"/>
  </r>
  <r>
    <x v="3"/>
    <x v="10"/>
    <x v="7"/>
    <n v="0"/>
    <x v="6"/>
    <x v="3"/>
  </r>
  <r>
    <x v="3"/>
    <x v="10"/>
    <x v="8"/>
    <n v="0"/>
    <x v="6"/>
    <x v="3"/>
  </r>
  <r>
    <x v="3"/>
    <x v="10"/>
    <x v="9"/>
    <n v="0"/>
    <x v="6"/>
    <x v="3"/>
  </r>
  <r>
    <x v="3"/>
    <x v="10"/>
    <x v="10"/>
    <n v="0"/>
    <x v="6"/>
    <x v="3"/>
  </r>
  <r>
    <x v="3"/>
    <x v="10"/>
    <x v="11"/>
    <n v="0"/>
    <x v="6"/>
    <x v="3"/>
  </r>
  <r>
    <x v="3"/>
    <x v="10"/>
    <x v="12"/>
    <n v="37585"/>
    <x v="6"/>
    <x v="3"/>
  </r>
  <r>
    <x v="3"/>
    <x v="10"/>
    <x v="13"/>
    <n v="68849"/>
    <x v="6"/>
    <x v="3"/>
  </r>
  <r>
    <x v="3"/>
    <x v="10"/>
    <x v="14"/>
    <n v="186923"/>
    <x v="6"/>
    <x v="3"/>
  </r>
  <r>
    <x v="3"/>
    <x v="10"/>
    <x v="15"/>
    <n v="203933"/>
    <x v="6"/>
    <x v="3"/>
  </r>
  <r>
    <x v="3"/>
    <x v="10"/>
    <x v="16"/>
    <n v="260107"/>
    <x v="6"/>
    <x v="3"/>
  </r>
  <r>
    <x v="3"/>
    <x v="10"/>
    <x v="17"/>
    <n v="349435"/>
    <x v="6"/>
    <x v="3"/>
  </r>
  <r>
    <x v="3"/>
    <x v="10"/>
    <x v="18"/>
    <n v="507688"/>
    <x v="6"/>
    <x v="3"/>
  </r>
  <r>
    <x v="3"/>
    <x v="10"/>
    <x v="19"/>
    <n v="572715"/>
    <x v="6"/>
    <x v="3"/>
  </r>
  <r>
    <x v="3"/>
    <x v="10"/>
    <x v="20"/>
    <n v="588469"/>
    <x v="6"/>
    <x v="3"/>
  </r>
  <r>
    <x v="3"/>
    <x v="10"/>
    <x v="21"/>
    <n v="729918"/>
    <x v="6"/>
    <x v="3"/>
  </r>
  <r>
    <x v="3"/>
    <x v="10"/>
    <x v="22"/>
    <n v="802173"/>
    <x v="6"/>
    <x v="3"/>
  </r>
  <r>
    <x v="3"/>
    <x v="10"/>
    <x v="23"/>
    <n v="857000"/>
    <x v="6"/>
    <x v="3"/>
  </r>
  <r>
    <x v="3"/>
    <x v="10"/>
    <x v="24"/>
    <n v="934092"/>
    <x v="6"/>
    <x v="3"/>
  </r>
  <r>
    <x v="3"/>
    <x v="10"/>
    <x v="25"/>
    <n v="981467"/>
    <x v="6"/>
    <x v="3"/>
  </r>
  <r>
    <x v="3"/>
    <x v="10"/>
    <x v="26"/>
    <n v="988890"/>
    <x v="6"/>
    <x v="3"/>
  </r>
  <r>
    <x v="3"/>
    <x v="10"/>
    <x v="27"/>
    <n v="997800"/>
    <x v="6"/>
    <x v="3"/>
  </r>
  <r>
    <x v="3"/>
    <x v="10"/>
    <x v="28"/>
    <n v="244120"/>
    <x v="6"/>
    <x v="3"/>
  </r>
  <r>
    <x v="3"/>
    <x v="11"/>
    <x v="0"/>
    <n v="0"/>
    <x v="6"/>
    <x v="3"/>
  </r>
  <r>
    <x v="3"/>
    <x v="11"/>
    <x v="1"/>
    <n v="0"/>
    <x v="6"/>
    <x v="3"/>
  </r>
  <r>
    <x v="3"/>
    <x v="11"/>
    <x v="2"/>
    <n v="0"/>
    <x v="6"/>
    <x v="3"/>
  </r>
  <r>
    <x v="3"/>
    <x v="11"/>
    <x v="3"/>
    <n v="0"/>
    <x v="6"/>
    <x v="3"/>
  </r>
  <r>
    <x v="3"/>
    <x v="11"/>
    <x v="4"/>
    <n v="0"/>
    <x v="6"/>
    <x v="3"/>
  </r>
  <r>
    <x v="3"/>
    <x v="11"/>
    <x v="5"/>
    <n v="0"/>
    <x v="6"/>
    <x v="3"/>
  </r>
  <r>
    <x v="3"/>
    <x v="11"/>
    <x v="6"/>
    <n v="0"/>
    <x v="6"/>
    <x v="3"/>
  </r>
  <r>
    <x v="3"/>
    <x v="11"/>
    <x v="7"/>
    <n v="0"/>
    <x v="6"/>
    <x v="3"/>
  </r>
  <r>
    <x v="3"/>
    <x v="11"/>
    <x v="8"/>
    <n v="0"/>
    <x v="6"/>
    <x v="3"/>
  </r>
  <r>
    <x v="3"/>
    <x v="11"/>
    <x v="9"/>
    <n v="0"/>
    <x v="6"/>
    <x v="3"/>
  </r>
  <r>
    <x v="3"/>
    <x v="11"/>
    <x v="10"/>
    <n v="0"/>
    <x v="6"/>
    <x v="3"/>
  </r>
  <r>
    <x v="3"/>
    <x v="11"/>
    <x v="11"/>
    <n v="0"/>
    <x v="6"/>
    <x v="3"/>
  </r>
  <r>
    <x v="3"/>
    <x v="11"/>
    <x v="12"/>
    <n v="0"/>
    <x v="6"/>
    <x v="3"/>
  </r>
  <r>
    <x v="3"/>
    <x v="11"/>
    <x v="13"/>
    <n v="0"/>
    <x v="6"/>
    <x v="3"/>
  </r>
  <r>
    <x v="3"/>
    <x v="11"/>
    <x v="14"/>
    <n v="0"/>
    <x v="6"/>
    <x v="3"/>
  </r>
  <r>
    <x v="3"/>
    <x v="11"/>
    <x v="15"/>
    <n v="0"/>
    <x v="6"/>
    <x v="3"/>
  </r>
  <r>
    <x v="3"/>
    <x v="11"/>
    <x v="16"/>
    <n v="67"/>
    <x v="6"/>
    <x v="3"/>
  </r>
  <r>
    <x v="3"/>
    <x v="11"/>
    <x v="17"/>
    <n v="580"/>
    <x v="6"/>
    <x v="3"/>
  </r>
  <r>
    <x v="3"/>
    <x v="11"/>
    <x v="18"/>
    <n v="895"/>
    <x v="6"/>
    <x v="3"/>
  </r>
  <r>
    <x v="3"/>
    <x v="11"/>
    <x v="19"/>
    <n v="625"/>
    <x v="6"/>
    <x v="3"/>
  </r>
  <r>
    <x v="3"/>
    <x v="11"/>
    <x v="20"/>
    <n v="5161"/>
    <x v="6"/>
    <x v="3"/>
  </r>
  <r>
    <x v="3"/>
    <x v="11"/>
    <x v="21"/>
    <n v="158788"/>
    <x v="6"/>
    <x v="3"/>
  </r>
  <r>
    <x v="3"/>
    <x v="11"/>
    <x v="22"/>
    <n v="117356"/>
    <x v="6"/>
    <x v="3"/>
  </r>
  <r>
    <x v="3"/>
    <x v="11"/>
    <x v="23"/>
    <n v="172091"/>
    <x v="6"/>
    <x v="3"/>
  </r>
  <r>
    <x v="3"/>
    <x v="11"/>
    <x v="24"/>
    <n v="239057"/>
    <x v="6"/>
    <x v="3"/>
  </r>
  <r>
    <x v="3"/>
    <x v="11"/>
    <x v="25"/>
    <n v="186660"/>
    <x v="6"/>
    <x v="3"/>
  </r>
  <r>
    <x v="3"/>
    <x v="11"/>
    <x v="26"/>
    <n v="144174"/>
    <x v="6"/>
    <x v="3"/>
  </r>
  <r>
    <x v="3"/>
    <x v="11"/>
    <x v="27"/>
    <n v="302250"/>
    <x v="6"/>
    <x v="3"/>
  </r>
  <r>
    <x v="3"/>
    <x v="11"/>
    <x v="28"/>
    <n v="282283"/>
    <x v="6"/>
    <x v="3"/>
  </r>
  <r>
    <x v="3"/>
    <x v="12"/>
    <x v="0"/>
    <n v="7061"/>
    <x v="6"/>
    <x v="3"/>
  </r>
  <r>
    <x v="3"/>
    <x v="12"/>
    <x v="1"/>
    <n v="10979"/>
    <x v="6"/>
    <x v="3"/>
  </r>
  <r>
    <x v="3"/>
    <x v="12"/>
    <x v="2"/>
    <n v="15031"/>
    <x v="6"/>
    <x v="3"/>
  </r>
  <r>
    <x v="3"/>
    <x v="12"/>
    <x v="3"/>
    <n v="14084"/>
    <x v="6"/>
    <x v="3"/>
  </r>
  <r>
    <x v="3"/>
    <x v="12"/>
    <x v="4"/>
    <n v="14322"/>
    <x v="6"/>
    <x v="3"/>
  </r>
  <r>
    <x v="3"/>
    <x v="12"/>
    <x v="5"/>
    <n v="18144"/>
    <x v="6"/>
    <x v="3"/>
  </r>
  <r>
    <x v="3"/>
    <x v="12"/>
    <x v="6"/>
    <n v="24117"/>
    <x v="6"/>
    <x v="3"/>
  </r>
  <r>
    <x v="3"/>
    <x v="12"/>
    <x v="7"/>
    <n v="22967"/>
    <x v="6"/>
    <x v="3"/>
  </r>
  <r>
    <x v="3"/>
    <x v="12"/>
    <x v="8"/>
    <n v="18643"/>
    <x v="6"/>
    <x v="3"/>
  </r>
  <r>
    <x v="3"/>
    <x v="12"/>
    <x v="9"/>
    <n v="26424"/>
    <x v="6"/>
    <x v="3"/>
  </r>
  <r>
    <x v="3"/>
    <x v="12"/>
    <x v="10"/>
    <n v="34852"/>
    <x v="6"/>
    <x v="3"/>
  </r>
  <r>
    <x v="3"/>
    <x v="12"/>
    <x v="11"/>
    <n v="43869"/>
    <x v="6"/>
    <x v="3"/>
  </r>
  <r>
    <x v="3"/>
    <x v="12"/>
    <x v="12"/>
    <n v="43384"/>
    <x v="6"/>
    <x v="3"/>
  </r>
  <r>
    <x v="3"/>
    <x v="12"/>
    <x v="13"/>
    <n v="54052"/>
    <x v="6"/>
    <x v="3"/>
  </r>
  <r>
    <x v="3"/>
    <x v="12"/>
    <x v="14"/>
    <n v="70193"/>
    <x v="6"/>
    <x v="3"/>
  </r>
  <r>
    <x v="3"/>
    <x v="12"/>
    <x v="15"/>
    <n v="69198"/>
    <x v="6"/>
    <x v="3"/>
  </r>
  <r>
    <x v="3"/>
    <x v="12"/>
    <x v="16"/>
    <n v="54300"/>
    <x v="6"/>
    <x v="3"/>
  </r>
  <r>
    <x v="3"/>
    <x v="12"/>
    <x v="17"/>
    <n v="37633"/>
    <x v="6"/>
    <x v="3"/>
  </r>
  <r>
    <x v="3"/>
    <x v="12"/>
    <x v="18"/>
    <n v="72090"/>
    <x v="6"/>
    <x v="3"/>
  </r>
  <r>
    <x v="3"/>
    <x v="12"/>
    <x v="19"/>
    <n v="67128"/>
    <x v="6"/>
    <x v="3"/>
  </r>
  <r>
    <x v="3"/>
    <x v="12"/>
    <x v="20"/>
    <n v="70162"/>
    <x v="6"/>
    <x v="3"/>
  </r>
  <r>
    <x v="3"/>
    <x v="12"/>
    <x v="21"/>
    <n v="108611"/>
    <x v="6"/>
    <x v="3"/>
  </r>
  <r>
    <x v="3"/>
    <x v="12"/>
    <x v="22"/>
    <n v="141880"/>
    <x v="6"/>
    <x v="3"/>
  </r>
  <r>
    <x v="3"/>
    <x v="12"/>
    <x v="23"/>
    <n v="139929"/>
    <x v="6"/>
    <x v="3"/>
  </r>
  <r>
    <x v="3"/>
    <x v="12"/>
    <x v="24"/>
    <n v="144219"/>
    <x v="6"/>
    <x v="3"/>
  </r>
  <r>
    <x v="3"/>
    <x v="12"/>
    <x v="25"/>
    <n v="205827"/>
    <x v="6"/>
    <x v="3"/>
  </r>
  <r>
    <x v="3"/>
    <x v="12"/>
    <x v="26"/>
    <n v="264249"/>
    <x v="6"/>
    <x v="3"/>
  </r>
  <r>
    <x v="3"/>
    <x v="12"/>
    <x v="27"/>
    <n v="264419"/>
    <x v="6"/>
    <x v="3"/>
  </r>
  <r>
    <x v="3"/>
    <x v="12"/>
    <x v="28"/>
    <n v="241448"/>
    <x v="6"/>
    <x v="3"/>
  </r>
  <r>
    <x v="3"/>
    <x v="15"/>
    <x v="0"/>
    <n v="10084584"/>
    <x v="2"/>
    <x v="3"/>
  </r>
  <r>
    <x v="3"/>
    <x v="15"/>
    <x v="1"/>
    <n v="10636624"/>
    <x v="2"/>
    <x v="3"/>
  </r>
  <r>
    <x v="3"/>
    <x v="15"/>
    <x v="2"/>
    <n v="9704693"/>
    <x v="2"/>
    <x v="3"/>
  </r>
  <r>
    <x v="3"/>
    <x v="15"/>
    <x v="3"/>
    <n v="10227805"/>
    <x v="2"/>
    <x v="3"/>
  </r>
  <r>
    <x v="3"/>
    <x v="15"/>
    <x v="4"/>
    <n v="9776863"/>
    <x v="2"/>
    <x v="3"/>
  </r>
  <r>
    <x v="3"/>
    <x v="15"/>
    <x v="5"/>
    <n v="9310276"/>
    <x v="2"/>
    <x v="3"/>
  </r>
  <r>
    <x v="3"/>
    <x v="15"/>
    <x v="6"/>
    <n v="9212448"/>
    <x v="2"/>
    <x v="3"/>
  </r>
  <r>
    <x v="3"/>
    <x v="15"/>
    <x v="7"/>
    <n v="8937202"/>
    <x v="2"/>
    <x v="3"/>
  </r>
  <r>
    <x v="3"/>
    <x v="15"/>
    <x v="8"/>
    <n v="8411434"/>
    <x v="2"/>
    <x v="3"/>
  </r>
  <r>
    <x v="3"/>
    <x v="15"/>
    <x v="9"/>
    <n v="8861240"/>
    <x v="2"/>
    <x v="3"/>
  </r>
  <r>
    <x v="3"/>
    <x v="15"/>
    <x v="10"/>
    <n v="9273634"/>
    <x v="2"/>
    <x v="3"/>
  </r>
  <r>
    <x v="3"/>
    <x v="15"/>
    <x v="11"/>
    <n v="8795011"/>
    <x v="2"/>
    <x v="3"/>
  </r>
  <r>
    <x v="3"/>
    <x v="15"/>
    <x v="12"/>
    <n v="7797055"/>
    <x v="2"/>
    <x v="3"/>
  </r>
  <r>
    <x v="3"/>
    <x v="15"/>
    <x v="13"/>
    <n v="9379218"/>
    <x v="2"/>
    <x v="3"/>
  </r>
  <r>
    <x v="3"/>
    <x v="15"/>
    <x v="14"/>
    <n v="14044376"/>
    <x v="2"/>
    <x v="3"/>
  </r>
  <r>
    <x v="3"/>
    <x v="15"/>
    <x v="15"/>
    <n v="13891154"/>
    <x v="2"/>
    <x v="3"/>
  </r>
  <r>
    <x v="3"/>
    <x v="15"/>
    <x v="16"/>
    <n v="12854775"/>
    <x v="2"/>
    <x v="3"/>
  </r>
  <r>
    <x v="3"/>
    <x v="15"/>
    <x v="17"/>
    <n v="13932401"/>
    <x v="2"/>
    <x v="3"/>
  </r>
  <r>
    <x v="3"/>
    <x v="15"/>
    <x v="18"/>
    <n v="19053482"/>
    <x v="2"/>
    <x v="3"/>
  </r>
  <r>
    <x v="3"/>
    <x v="15"/>
    <x v="19"/>
    <n v="27292139"/>
    <x v="2"/>
    <x v="3"/>
  </r>
  <r>
    <x v="3"/>
    <x v="15"/>
    <x v="20"/>
    <n v="22584196"/>
    <x v="2"/>
    <x v="3"/>
  </r>
  <r>
    <x v="3"/>
    <x v="15"/>
    <x v="21"/>
    <n v="35493502"/>
    <x v="2"/>
    <x v="3"/>
  </r>
  <r>
    <x v="3"/>
    <x v="15"/>
    <x v="22"/>
    <n v="34468597"/>
    <x v="2"/>
    <x v="3"/>
  </r>
  <r>
    <x v="3"/>
    <x v="15"/>
    <x v="23"/>
    <n v="28661261"/>
    <x v="2"/>
    <x v="3"/>
  </r>
  <r>
    <x v="3"/>
    <x v="15"/>
    <x v="24"/>
    <n v="25250064"/>
    <x v="2"/>
    <x v="3"/>
  </r>
  <r>
    <x v="3"/>
    <x v="15"/>
    <x v="25"/>
    <n v="32001986"/>
    <x v="2"/>
    <x v="3"/>
  </r>
  <r>
    <x v="3"/>
    <x v="15"/>
    <x v="26"/>
    <n v="28346134"/>
    <x v="2"/>
    <x v="3"/>
  </r>
  <r>
    <x v="3"/>
    <x v="15"/>
    <x v="27"/>
    <n v="28895213"/>
    <x v="2"/>
    <x v="3"/>
  </r>
  <r>
    <x v="3"/>
    <x v="15"/>
    <x v="28"/>
    <n v="28979394"/>
    <x v="2"/>
    <x v="3"/>
  </r>
  <r>
    <x v="3"/>
    <x v="16"/>
    <x v="0"/>
    <n v="1219304"/>
    <x v="2"/>
    <x v="3"/>
  </r>
  <r>
    <x v="3"/>
    <x v="16"/>
    <x v="1"/>
    <n v="0"/>
    <x v="2"/>
    <x v="3"/>
  </r>
  <r>
    <x v="3"/>
    <x v="16"/>
    <x v="2"/>
    <n v="341382"/>
    <x v="2"/>
    <x v="3"/>
  </r>
  <r>
    <x v="3"/>
    <x v="16"/>
    <x v="3"/>
    <n v="0"/>
    <x v="2"/>
    <x v="3"/>
  </r>
  <r>
    <x v="3"/>
    <x v="16"/>
    <x v="4"/>
    <n v="0"/>
    <x v="2"/>
    <x v="3"/>
  </r>
  <r>
    <x v="3"/>
    <x v="16"/>
    <x v="5"/>
    <n v="0"/>
    <x v="2"/>
    <x v="3"/>
  </r>
  <r>
    <x v="3"/>
    <x v="16"/>
    <x v="6"/>
    <n v="0"/>
    <x v="2"/>
    <x v="3"/>
  </r>
  <r>
    <x v="3"/>
    <x v="16"/>
    <x v="7"/>
    <n v="0"/>
    <x v="2"/>
    <x v="3"/>
  </r>
  <r>
    <x v="3"/>
    <x v="16"/>
    <x v="8"/>
    <n v="0"/>
    <x v="2"/>
    <x v="3"/>
  </r>
  <r>
    <x v="3"/>
    <x v="16"/>
    <x v="9"/>
    <n v="0"/>
    <x v="2"/>
    <x v="3"/>
  </r>
  <r>
    <x v="3"/>
    <x v="16"/>
    <x v="10"/>
    <n v="0"/>
    <x v="2"/>
    <x v="3"/>
  </r>
  <r>
    <x v="3"/>
    <x v="16"/>
    <x v="11"/>
    <n v="0"/>
    <x v="2"/>
    <x v="3"/>
  </r>
  <r>
    <x v="3"/>
    <x v="16"/>
    <x v="12"/>
    <n v="0"/>
    <x v="2"/>
    <x v="3"/>
  </r>
  <r>
    <x v="3"/>
    <x v="16"/>
    <x v="13"/>
    <n v="298937"/>
    <x v="2"/>
    <x v="3"/>
  </r>
  <r>
    <x v="3"/>
    <x v="16"/>
    <x v="14"/>
    <n v="0"/>
    <x v="2"/>
    <x v="3"/>
  </r>
  <r>
    <x v="3"/>
    <x v="16"/>
    <x v="15"/>
    <n v="172797"/>
    <x v="2"/>
    <x v="3"/>
  </r>
  <r>
    <x v="3"/>
    <x v="16"/>
    <x v="16"/>
    <n v="9787"/>
    <x v="2"/>
    <x v="3"/>
  </r>
  <r>
    <x v="3"/>
    <x v="16"/>
    <x v="17"/>
    <n v="53494"/>
    <x v="2"/>
    <x v="3"/>
  </r>
  <r>
    <x v="3"/>
    <x v="16"/>
    <x v="18"/>
    <n v="-312"/>
    <x v="2"/>
    <x v="3"/>
  </r>
  <r>
    <x v="3"/>
    <x v="16"/>
    <x v="19"/>
    <n v="0"/>
    <x v="2"/>
    <x v="3"/>
  </r>
  <r>
    <x v="3"/>
    <x v="16"/>
    <x v="20"/>
    <n v="0"/>
    <x v="2"/>
    <x v="3"/>
  </r>
  <r>
    <x v="3"/>
    <x v="16"/>
    <x v="21"/>
    <n v="0"/>
    <x v="2"/>
    <x v="3"/>
  </r>
  <r>
    <x v="3"/>
    <x v="16"/>
    <x v="22"/>
    <n v="0"/>
    <x v="2"/>
    <x v="3"/>
  </r>
  <r>
    <x v="3"/>
    <x v="16"/>
    <x v="23"/>
    <n v="0"/>
    <x v="2"/>
    <x v="3"/>
  </r>
  <r>
    <x v="3"/>
    <x v="16"/>
    <x v="24"/>
    <n v="0"/>
    <x v="2"/>
    <x v="3"/>
  </r>
  <r>
    <x v="3"/>
    <x v="16"/>
    <x v="25"/>
    <n v="0"/>
    <x v="2"/>
    <x v="3"/>
  </r>
  <r>
    <x v="3"/>
    <x v="16"/>
    <x v="26"/>
    <n v="0"/>
    <x v="2"/>
    <x v="3"/>
  </r>
  <r>
    <x v="3"/>
    <x v="16"/>
    <x v="27"/>
    <n v="0"/>
    <x v="2"/>
    <x v="3"/>
  </r>
  <r>
    <x v="3"/>
    <x v="16"/>
    <x v="28"/>
    <n v="40197"/>
    <x v="2"/>
    <x v="3"/>
  </r>
  <r>
    <x v="3"/>
    <x v="17"/>
    <x v="0"/>
    <n v="14139186"/>
    <x v="2"/>
    <x v="3"/>
  </r>
  <r>
    <x v="3"/>
    <x v="17"/>
    <x v="1"/>
    <n v="13543571"/>
    <x v="2"/>
    <x v="3"/>
  </r>
  <r>
    <x v="3"/>
    <x v="17"/>
    <x v="2"/>
    <n v="16763834"/>
    <x v="2"/>
    <x v="3"/>
  </r>
  <r>
    <x v="3"/>
    <x v="17"/>
    <x v="3"/>
    <n v="11612820"/>
    <x v="2"/>
    <x v="3"/>
  </r>
  <r>
    <x v="3"/>
    <x v="17"/>
    <x v="4"/>
    <n v="12743468"/>
    <x v="2"/>
    <x v="3"/>
  </r>
  <r>
    <x v="3"/>
    <x v="17"/>
    <x v="5"/>
    <n v="17354390"/>
    <x v="2"/>
    <x v="3"/>
  </r>
  <r>
    <x v="3"/>
    <x v="17"/>
    <x v="6"/>
    <n v="15301245"/>
    <x v="2"/>
    <x v="3"/>
  </r>
  <r>
    <x v="3"/>
    <x v="17"/>
    <x v="7"/>
    <n v="22286606"/>
    <x v="2"/>
    <x v="3"/>
  </r>
  <r>
    <x v="3"/>
    <x v="17"/>
    <x v="8"/>
    <n v="23044585"/>
    <x v="2"/>
    <x v="3"/>
  </r>
  <r>
    <x v="3"/>
    <x v="17"/>
    <x v="9"/>
    <n v="24546488"/>
    <x v="2"/>
    <x v="3"/>
  </r>
  <r>
    <x v="3"/>
    <x v="17"/>
    <x v="10"/>
    <n v="29679739"/>
    <x v="2"/>
    <x v="3"/>
  </r>
  <r>
    <x v="3"/>
    <x v="17"/>
    <x v="11"/>
    <n v="30617772"/>
    <x v="2"/>
    <x v="3"/>
  </r>
  <r>
    <x v="3"/>
    <x v="17"/>
    <x v="12"/>
    <n v="26435068"/>
    <x v="2"/>
    <x v="3"/>
  </r>
  <r>
    <x v="3"/>
    <x v="17"/>
    <x v="13"/>
    <n v="27263997"/>
    <x v="2"/>
    <x v="3"/>
  </r>
  <r>
    <x v="3"/>
    <x v="17"/>
    <x v="14"/>
    <n v="30484265"/>
    <x v="2"/>
    <x v="3"/>
  </r>
  <r>
    <x v="3"/>
    <x v="17"/>
    <x v="15"/>
    <n v="27523886"/>
    <x v="2"/>
    <x v="3"/>
  </r>
  <r>
    <x v="3"/>
    <x v="17"/>
    <x v="16"/>
    <n v="24578817"/>
    <x v="2"/>
    <x v="3"/>
  </r>
  <r>
    <x v="3"/>
    <x v="17"/>
    <x v="17"/>
    <n v="19132482"/>
    <x v="2"/>
    <x v="3"/>
  </r>
  <r>
    <x v="3"/>
    <x v="17"/>
    <x v="18"/>
    <n v="21871120"/>
    <x v="2"/>
    <x v="3"/>
  </r>
  <r>
    <x v="3"/>
    <x v="17"/>
    <x v="19"/>
    <n v="8254879"/>
    <x v="2"/>
    <x v="3"/>
  </r>
  <r>
    <x v="3"/>
    <x v="17"/>
    <x v="20"/>
    <n v="9870790"/>
    <x v="2"/>
    <x v="3"/>
  </r>
  <r>
    <x v="3"/>
    <x v="17"/>
    <x v="21"/>
    <n v="9635969"/>
    <x v="2"/>
    <x v="3"/>
  </r>
  <r>
    <x v="3"/>
    <x v="17"/>
    <x v="22"/>
    <n v="11299103"/>
    <x v="2"/>
    <x v="3"/>
  </r>
  <r>
    <x v="3"/>
    <x v="17"/>
    <x v="23"/>
    <n v="10690465"/>
    <x v="2"/>
    <x v="3"/>
  </r>
  <r>
    <x v="3"/>
    <x v="17"/>
    <x v="24"/>
    <n v="10544150"/>
    <x v="2"/>
    <x v="3"/>
  </r>
  <r>
    <x v="3"/>
    <x v="17"/>
    <x v="25"/>
    <n v="10371941"/>
    <x v="2"/>
    <x v="3"/>
  </r>
  <r>
    <x v="3"/>
    <x v="17"/>
    <x v="26"/>
    <n v="14221301"/>
    <x v="2"/>
    <x v="3"/>
  </r>
  <r>
    <x v="3"/>
    <x v="17"/>
    <x v="27"/>
    <n v="6941491"/>
    <x v="2"/>
    <x v="3"/>
  </r>
  <r>
    <x v="3"/>
    <x v="17"/>
    <x v="28"/>
    <n v="10339773"/>
    <x v="2"/>
    <x v="3"/>
  </r>
  <r>
    <x v="3"/>
    <x v="18"/>
    <x v="0"/>
    <n v="24779263"/>
    <x v="2"/>
    <x v="3"/>
  </r>
  <r>
    <x v="3"/>
    <x v="18"/>
    <x v="1"/>
    <n v="16846719"/>
    <x v="2"/>
    <x v="3"/>
  </r>
  <r>
    <x v="3"/>
    <x v="18"/>
    <x v="2"/>
    <n v="19851146"/>
    <x v="2"/>
    <x v="3"/>
  </r>
  <r>
    <x v="3"/>
    <x v="18"/>
    <x v="3"/>
    <n v="15078450"/>
    <x v="2"/>
    <x v="3"/>
  </r>
  <r>
    <x v="3"/>
    <x v="18"/>
    <x v="4"/>
    <n v="15727391"/>
    <x v="2"/>
    <x v="3"/>
  </r>
  <r>
    <x v="3"/>
    <x v="18"/>
    <x v="5"/>
    <n v="14239785"/>
    <x v="2"/>
    <x v="3"/>
  </r>
  <r>
    <x v="3"/>
    <x v="18"/>
    <x v="6"/>
    <n v="21952322"/>
    <x v="2"/>
    <x v="3"/>
  </r>
  <r>
    <x v="3"/>
    <x v="18"/>
    <x v="7"/>
    <n v="9236517"/>
    <x v="2"/>
    <x v="3"/>
  </r>
  <r>
    <x v="3"/>
    <x v="18"/>
    <x v="8"/>
    <n v="8661266"/>
    <x v="2"/>
    <x v="3"/>
  </r>
  <r>
    <x v="3"/>
    <x v="18"/>
    <x v="9"/>
    <n v="4791519"/>
    <x v="2"/>
    <x v="3"/>
  </r>
  <r>
    <x v="3"/>
    <x v="18"/>
    <x v="10"/>
    <n v="5968474"/>
    <x v="2"/>
    <x v="3"/>
  </r>
  <r>
    <x v="3"/>
    <x v="18"/>
    <x v="11"/>
    <n v="2689426"/>
    <x v="2"/>
    <x v="3"/>
  </r>
  <r>
    <x v="3"/>
    <x v="18"/>
    <x v="12"/>
    <n v="2402287"/>
    <x v="2"/>
    <x v="3"/>
  </r>
  <r>
    <x v="3"/>
    <x v="18"/>
    <x v="13"/>
    <n v="5458262"/>
    <x v="2"/>
    <x v="3"/>
  </r>
  <r>
    <x v="3"/>
    <x v="18"/>
    <x v="14"/>
    <n v="962825"/>
    <x v="2"/>
    <x v="3"/>
  </r>
  <r>
    <x v="3"/>
    <x v="18"/>
    <x v="15"/>
    <n v="323008"/>
    <x v="2"/>
    <x v="3"/>
  </r>
  <r>
    <x v="3"/>
    <x v="18"/>
    <x v="16"/>
    <n v="8231"/>
    <x v="2"/>
    <x v="3"/>
  </r>
  <r>
    <x v="3"/>
    <x v="18"/>
    <x v="17"/>
    <n v="347882"/>
    <x v="2"/>
    <x v="3"/>
  </r>
  <r>
    <x v="3"/>
    <x v="18"/>
    <x v="18"/>
    <n v="-316619"/>
    <x v="2"/>
    <x v="3"/>
  </r>
  <r>
    <x v="3"/>
    <x v="18"/>
    <x v="19"/>
    <n v="0"/>
    <x v="2"/>
    <x v="3"/>
  </r>
  <r>
    <x v="3"/>
    <x v="18"/>
    <x v="20"/>
    <n v="0"/>
    <x v="2"/>
    <x v="3"/>
  </r>
  <r>
    <x v="3"/>
    <x v="18"/>
    <x v="21"/>
    <n v="0"/>
    <x v="2"/>
    <x v="3"/>
  </r>
  <r>
    <x v="3"/>
    <x v="18"/>
    <x v="22"/>
    <n v="0"/>
    <x v="2"/>
    <x v="3"/>
  </r>
  <r>
    <x v="3"/>
    <x v="18"/>
    <x v="23"/>
    <n v="0"/>
    <x v="2"/>
    <x v="3"/>
  </r>
  <r>
    <x v="3"/>
    <x v="18"/>
    <x v="24"/>
    <n v="0"/>
    <x v="2"/>
    <x v="3"/>
  </r>
  <r>
    <x v="3"/>
    <x v="18"/>
    <x v="25"/>
    <n v="0"/>
    <x v="2"/>
    <x v="3"/>
  </r>
  <r>
    <x v="3"/>
    <x v="18"/>
    <x v="26"/>
    <n v="0"/>
    <x v="2"/>
    <x v="3"/>
  </r>
  <r>
    <x v="3"/>
    <x v="18"/>
    <x v="27"/>
    <n v="0"/>
    <x v="2"/>
    <x v="3"/>
  </r>
  <r>
    <x v="3"/>
    <x v="18"/>
    <x v="28"/>
    <n v="0"/>
    <x v="2"/>
    <x v="3"/>
  </r>
  <r>
    <x v="3"/>
    <x v="19"/>
    <x v="0"/>
    <n v="47944"/>
    <x v="4"/>
    <x v="3"/>
  </r>
  <r>
    <x v="3"/>
    <x v="19"/>
    <x v="1"/>
    <n v="83529"/>
    <x v="4"/>
    <x v="3"/>
  </r>
  <r>
    <x v="3"/>
    <x v="19"/>
    <x v="2"/>
    <n v="253637"/>
    <x v="4"/>
    <x v="3"/>
  </r>
  <r>
    <x v="3"/>
    <x v="19"/>
    <x v="3"/>
    <n v="212524"/>
    <x v="4"/>
    <x v="3"/>
  </r>
  <r>
    <x v="3"/>
    <x v="19"/>
    <x v="4"/>
    <n v="234492"/>
    <x v="4"/>
    <x v="3"/>
  </r>
  <r>
    <x v="3"/>
    <x v="19"/>
    <x v="5"/>
    <n v="224761"/>
    <x v="4"/>
    <x v="3"/>
  </r>
  <r>
    <x v="3"/>
    <x v="19"/>
    <x v="6"/>
    <n v="249111"/>
    <x v="4"/>
    <x v="3"/>
  </r>
  <r>
    <x v="3"/>
    <x v="19"/>
    <x v="7"/>
    <n v="205210"/>
    <x v="4"/>
    <x v="3"/>
  </r>
  <r>
    <x v="3"/>
    <x v="19"/>
    <x v="8"/>
    <n v="384241"/>
    <x v="4"/>
    <x v="3"/>
  </r>
  <r>
    <x v="3"/>
    <x v="19"/>
    <x v="9"/>
    <n v="347101"/>
    <x v="4"/>
    <x v="3"/>
  </r>
  <r>
    <x v="3"/>
    <x v="19"/>
    <x v="10"/>
    <n v="321762"/>
    <x v="4"/>
    <x v="3"/>
  </r>
  <r>
    <x v="3"/>
    <x v="19"/>
    <x v="11"/>
    <n v="242110"/>
    <x v="4"/>
    <x v="3"/>
  </r>
  <r>
    <x v="3"/>
    <x v="19"/>
    <x v="12"/>
    <n v="263261"/>
    <x v="4"/>
    <x v="3"/>
  </r>
  <r>
    <x v="3"/>
    <x v="19"/>
    <x v="13"/>
    <n v="282897"/>
    <x v="4"/>
    <x v="3"/>
  </r>
  <r>
    <x v="3"/>
    <x v="19"/>
    <x v="14"/>
    <n v="307650"/>
    <x v="4"/>
    <x v="3"/>
  </r>
  <r>
    <x v="3"/>
    <x v="19"/>
    <x v="15"/>
    <n v="208357"/>
    <x v="4"/>
    <x v="3"/>
  </r>
  <r>
    <x v="3"/>
    <x v="19"/>
    <x v="16"/>
    <n v="178452"/>
    <x v="4"/>
    <x v="3"/>
  </r>
  <r>
    <x v="3"/>
    <x v="19"/>
    <x v="17"/>
    <n v="91497"/>
    <x v="4"/>
    <x v="3"/>
  </r>
  <r>
    <x v="3"/>
    <x v="19"/>
    <x v="18"/>
    <n v="47369"/>
    <x v="4"/>
    <x v="3"/>
  </r>
  <r>
    <x v="3"/>
    <x v="19"/>
    <x v="19"/>
    <n v="53691"/>
    <x v="4"/>
    <x v="3"/>
  </r>
  <r>
    <x v="3"/>
    <x v="19"/>
    <x v="20"/>
    <n v="143046"/>
    <x v="4"/>
    <x v="3"/>
  </r>
  <r>
    <x v="3"/>
    <x v="19"/>
    <x v="21"/>
    <n v="136047"/>
    <x v="4"/>
    <x v="3"/>
  </r>
  <r>
    <x v="3"/>
    <x v="19"/>
    <x v="22"/>
    <n v="38773"/>
    <x v="4"/>
    <x v="3"/>
  </r>
  <r>
    <x v="3"/>
    <x v="19"/>
    <x v="23"/>
    <n v="9309"/>
    <x v="4"/>
    <x v="3"/>
  </r>
  <r>
    <x v="3"/>
    <x v="19"/>
    <x v="24"/>
    <n v="2157"/>
    <x v="4"/>
    <x v="3"/>
  </r>
  <r>
    <x v="3"/>
    <x v="19"/>
    <x v="25"/>
    <n v="77472"/>
    <x v="4"/>
    <x v="3"/>
  </r>
  <r>
    <x v="3"/>
    <x v="19"/>
    <x v="26"/>
    <n v="74449"/>
    <x v="4"/>
    <x v="3"/>
  </r>
  <r>
    <x v="3"/>
    <x v="19"/>
    <x v="27"/>
    <n v="84443"/>
    <x v="4"/>
    <x v="3"/>
  </r>
  <r>
    <x v="3"/>
    <x v="19"/>
    <x v="28"/>
    <n v="2967"/>
    <x v="4"/>
    <x v="3"/>
  </r>
  <r>
    <x v="3"/>
    <x v="20"/>
    <x v="0"/>
    <n v="0"/>
    <x v="4"/>
    <x v="3"/>
  </r>
  <r>
    <x v="3"/>
    <x v="20"/>
    <x v="1"/>
    <n v="0"/>
    <x v="4"/>
    <x v="3"/>
  </r>
  <r>
    <x v="3"/>
    <x v="20"/>
    <x v="2"/>
    <n v="0"/>
    <x v="4"/>
    <x v="3"/>
  </r>
  <r>
    <x v="3"/>
    <x v="20"/>
    <x v="3"/>
    <n v="0"/>
    <x v="4"/>
    <x v="3"/>
  </r>
  <r>
    <x v="3"/>
    <x v="20"/>
    <x v="4"/>
    <n v="0"/>
    <x v="4"/>
    <x v="3"/>
  </r>
  <r>
    <x v="3"/>
    <x v="20"/>
    <x v="5"/>
    <n v="0"/>
    <x v="4"/>
    <x v="3"/>
  </r>
  <r>
    <x v="3"/>
    <x v="20"/>
    <x v="6"/>
    <n v="0"/>
    <x v="4"/>
    <x v="3"/>
  </r>
  <r>
    <x v="3"/>
    <x v="20"/>
    <x v="7"/>
    <n v="0"/>
    <x v="4"/>
    <x v="3"/>
  </r>
  <r>
    <x v="3"/>
    <x v="20"/>
    <x v="8"/>
    <n v="0"/>
    <x v="4"/>
    <x v="3"/>
  </r>
  <r>
    <x v="3"/>
    <x v="20"/>
    <x v="9"/>
    <n v="0"/>
    <x v="4"/>
    <x v="3"/>
  </r>
  <r>
    <x v="3"/>
    <x v="20"/>
    <x v="10"/>
    <n v="0"/>
    <x v="4"/>
    <x v="3"/>
  </r>
  <r>
    <x v="3"/>
    <x v="20"/>
    <x v="11"/>
    <n v="76765"/>
    <x v="4"/>
    <x v="3"/>
  </r>
  <r>
    <x v="3"/>
    <x v="20"/>
    <x v="12"/>
    <n v="27631"/>
    <x v="4"/>
    <x v="3"/>
  </r>
  <r>
    <x v="3"/>
    <x v="20"/>
    <x v="13"/>
    <n v="0"/>
    <x v="4"/>
    <x v="3"/>
  </r>
  <r>
    <x v="3"/>
    <x v="20"/>
    <x v="14"/>
    <n v="0"/>
    <x v="4"/>
    <x v="3"/>
  </r>
  <r>
    <x v="3"/>
    <x v="20"/>
    <x v="15"/>
    <n v="0"/>
    <x v="4"/>
    <x v="3"/>
  </r>
  <r>
    <x v="3"/>
    <x v="20"/>
    <x v="16"/>
    <n v="0"/>
    <x v="4"/>
    <x v="3"/>
  </r>
  <r>
    <x v="3"/>
    <x v="20"/>
    <x v="17"/>
    <n v="0"/>
    <x v="4"/>
    <x v="3"/>
  </r>
  <r>
    <x v="3"/>
    <x v="20"/>
    <x v="18"/>
    <n v="0"/>
    <x v="4"/>
    <x v="3"/>
  </r>
  <r>
    <x v="3"/>
    <x v="20"/>
    <x v="19"/>
    <n v="0"/>
    <x v="4"/>
    <x v="3"/>
  </r>
  <r>
    <x v="3"/>
    <x v="20"/>
    <x v="20"/>
    <n v="0"/>
    <x v="4"/>
    <x v="3"/>
  </r>
  <r>
    <x v="3"/>
    <x v="20"/>
    <x v="21"/>
    <n v="0"/>
    <x v="4"/>
    <x v="3"/>
  </r>
  <r>
    <x v="3"/>
    <x v="20"/>
    <x v="22"/>
    <n v="0"/>
    <x v="4"/>
    <x v="3"/>
  </r>
  <r>
    <x v="3"/>
    <x v="20"/>
    <x v="23"/>
    <n v="0"/>
    <x v="4"/>
    <x v="3"/>
  </r>
  <r>
    <x v="3"/>
    <x v="20"/>
    <x v="24"/>
    <n v="0"/>
    <x v="4"/>
    <x v="3"/>
  </r>
  <r>
    <x v="3"/>
    <x v="20"/>
    <x v="25"/>
    <n v="0"/>
    <x v="4"/>
    <x v="3"/>
  </r>
  <r>
    <x v="3"/>
    <x v="20"/>
    <x v="26"/>
    <n v="0"/>
    <x v="4"/>
    <x v="3"/>
  </r>
  <r>
    <x v="3"/>
    <x v="20"/>
    <x v="27"/>
    <n v="0"/>
    <x v="4"/>
    <x v="3"/>
  </r>
  <r>
    <x v="3"/>
    <x v="20"/>
    <x v="28"/>
    <n v="4959"/>
    <x v="4"/>
    <x v="3"/>
  </r>
  <r>
    <x v="3"/>
    <x v="21"/>
    <x v="0"/>
    <n v="375239852"/>
    <x v="7"/>
    <x v="4"/>
  </r>
  <r>
    <x v="3"/>
    <x v="21"/>
    <x v="1"/>
    <n v="326790235"/>
    <x v="7"/>
    <x v="4"/>
  </r>
  <r>
    <x v="3"/>
    <x v="21"/>
    <x v="2"/>
    <n v="377613067"/>
    <x v="7"/>
    <x v="4"/>
  </r>
  <r>
    <x v="3"/>
    <x v="21"/>
    <x v="3"/>
    <n v="320334675"/>
    <x v="7"/>
    <x v="4"/>
  </r>
  <r>
    <x v="3"/>
    <x v="21"/>
    <x v="4"/>
    <n v="263889421"/>
    <x v="7"/>
    <x v="4"/>
  </r>
  <r>
    <x v="3"/>
    <x v="21"/>
    <x v="5"/>
    <n v="350623417"/>
    <x v="7"/>
    <x v="4"/>
  </r>
  <r>
    <x v="3"/>
    <x v="21"/>
    <x v="6"/>
    <n v="398951677"/>
    <x v="7"/>
    <x v="4"/>
  </r>
  <r>
    <x v="3"/>
    <x v="21"/>
    <x v="7"/>
    <n v="357091065"/>
    <x v="7"/>
    <x v="4"/>
  </r>
  <r>
    <x v="3"/>
    <x v="21"/>
    <x v="8"/>
    <n v="321842960"/>
    <x v="7"/>
    <x v="4"/>
  </r>
  <r>
    <x v="3"/>
    <x v="21"/>
    <x v="9"/>
    <n v="396147902"/>
    <x v="7"/>
    <x v="4"/>
  </r>
  <r>
    <x v="3"/>
    <x v="21"/>
    <x v="10"/>
    <n v="389448668"/>
    <x v="7"/>
    <x v="4"/>
  </r>
  <r>
    <x v="3"/>
    <x v="21"/>
    <x v="11"/>
    <n v="366263564"/>
    <x v="7"/>
    <x v="4"/>
  </r>
  <r>
    <x v="3"/>
    <x v="21"/>
    <x v="12"/>
    <n v="354689704"/>
    <x v="7"/>
    <x v="4"/>
  </r>
  <r>
    <x v="3"/>
    <x v="21"/>
    <x v="13"/>
    <n v="375127081"/>
    <x v="7"/>
    <x v="4"/>
  </r>
  <r>
    <x v="3"/>
    <x v="21"/>
    <x v="14"/>
    <n v="380415507"/>
    <x v="7"/>
    <x v="4"/>
  </r>
  <r>
    <x v="3"/>
    <x v="21"/>
    <x v="15"/>
    <n v="386761381"/>
    <x v="7"/>
    <x v="4"/>
  </r>
  <r>
    <x v="3"/>
    <x v="21"/>
    <x v="16"/>
    <n v="338058278"/>
    <x v="7"/>
    <x v="4"/>
  </r>
  <r>
    <x v="3"/>
    <x v="21"/>
    <x v="17"/>
    <n v="262650168"/>
    <x v="7"/>
    <x v="4"/>
  </r>
  <r>
    <x v="3"/>
    <x v="21"/>
    <x v="18"/>
    <n v="393227227"/>
    <x v="7"/>
    <x v="4"/>
  </r>
  <r>
    <x v="3"/>
    <x v="21"/>
    <x v="19"/>
    <n v="319318522"/>
    <x v="7"/>
    <x v="4"/>
  </r>
  <r>
    <x v="3"/>
    <x v="21"/>
    <x v="20"/>
    <n v="337981676"/>
    <x v="7"/>
    <x v="4"/>
  </r>
  <r>
    <x v="3"/>
    <x v="21"/>
    <x v="21"/>
    <n v="335095137"/>
    <x v="7"/>
    <x v="4"/>
  </r>
  <r>
    <x v="3"/>
    <x v="21"/>
    <x v="22"/>
    <n v="395591110"/>
    <x v="7"/>
    <x v="4"/>
  </r>
  <r>
    <x v="3"/>
    <x v="21"/>
    <x v="23"/>
    <n v="334415334"/>
    <x v="7"/>
    <x v="4"/>
  </r>
  <r>
    <x v="3"/>
    <x v="21"/>
    <x v="24"/>
    <n v="326964912"/>
    <x v="7"/>
    <x v="4"/>
  </r>
  <r>
    <x v="3"/>
    <x v="21"/>
    <x v="25"/>
    <n v="343293483"/>
    <x v="7"/>
    <x v="4"/>
  </r>
  <r>
    <x v="3"/>
    <x v="21"/>
    <x v="26"/>
    <n v="372983416"/>
    <x v="7"/>
    <x v="4"/>
  </r>
  <r>
    <x v="3"/>
    <x v="21"/>
    <x v="27"/>
    <n v="377834066"/>
    <x v="7"/>
    <x v="4"/>
  </r>
  <r>
    <x v="3"/>
    <x v="21"/>
    <x v="28"/>
    <n v="326924611"/>
    <x v="7"/>
    <x v="4"/>
  </r>
  <r>
    <x v="3"/>
    <x v="22"/>
    <x v="0"/>
    <n v="6826453"/>
    <x v="7"/>
    <x v="4"/>
  </r>
  <r>
    <x v="3"/>
    <x v="22"/>
    <x v="1"/>
    <n v="1428586"/>
    <x v="7"/>
    <x v="4"/>
  </r>
  <r>
    <x v="3"/>
    <x v="22"/>
    <x v="2"/>
    <n v="1836989"/>
    <x v="7"/>
    <x v="4"/>
  </r>
  <r>
    <x v="3"/>
    <x v="22"/>
    <x v="3"/>
    <n v="17687671"/>
    <x v="7"/>
    <x v="4"/>
  </r>
  <r>
    <x v="3"/>
    <x v="22"/>
    <x v="4"/>
    <n v="15472789"/>
    <x v="7"/>
    <x v="4"/>
  </r>
  <r>
    <x v="3"/>
    <x v="22"/>
    <x v="5"/>
    <n v="19442225"/>
    <x v="7"/>
    <x v="4"/>
  </r>
  <r>
    <x v="3"/>
    <x v="22"/>
    <x v="6"/>
    <n v="26862864"/>
    <x v="7"/>
    <x v="4"/>
  </r>
  <r>
    <x v="3"/>
    <x v="22"/>
    <x v="7"/>
    <n v="20220327"/>
    <x v="7"/>
    <x v="4"/>
  </r>
  <r>
    <x v="3"/>
    <x v="22"/>
    <x v="8"/>
    <n v="18561719"/>
    <x v="7"/>
    <x v="4"/>
  </r>
  <r>
    <x v="3"/>
    <x v="22"/>
    <x v="9"/>
    <n v="20979029"/>
    <x v="7"/>
    <x v="4"/>
  </r>
  <r>
    <x v="3"/>
    <x v="22"/>
    <x v="10"/>
    <n v="19554903"/>
    <x v="7"/>
    <x v="4"/>
  </r>
  <r>
    <x v="3"/>
    <x v="22"/>
    <x v="11"/>
    <n v="13918141"/>
    <x v="7"/>
    <x v="4"/>
  </r>
  <r>
    <x v="3"/>
    <x v="22"/>
    <x v="12"/>
    <n v="19781062"/>
    <x v="7"/>
    <x v="4"/>
  </r>
  <r>
    <x v="3"/>
    <x v="22"/>
    <x v="13"/>
    <n v="20857756"/>
    <x v="7"/>
    <x v="4"/>
  </r>
  <r>
    <x v="3"/>
    <x v="22"/>
    <x v="14"/>
    <n v="18078829"/>
    <x v="7"/>
    <x v="4"/>
  </r>
  <r>
    <x v="3"/>
    <x v="22"/>
    <x v="15"/>
    <n v="17233972"/>
    <x v="7"/>
    <x v="4"/>
  </r>
  <r>
    <x v="3"/>
    <x v="22"/>
    <x v="16"/>
    <n v="-12749274"/>
    <x v="7"/>
    <x v="4"/>
  </r>
  <r>
    <x v="3"/>
    <x v="22"/>
    <x v="17"/>
    <n v="-11222100"/>
    <x v="7"/>
    <x v="4"/>
  </r>
  <r>
    <x v="3"/>
    <x v="22"/>
    <x v="18"/>
    <n v="-14910867"/>
    <x v="7"/>
    <x v="4"/>
  </r>
  <r>
    <x v="3"/>
    <x v="22"/>
    <x v="19"/>
    <n v="-14199456"/>
    <x v="7"/>
    <x v="4"/>
  </r>
  <r>
    <x v="3"/>
    <x v="22"/>
    <x v="20"/>
    <n v="-10843419"/>
    <x v="7"/>
    <x v="4"/>
  </r>
  <r>
    <x v="3"/>
    <x v="22"/>
    <x v="21"/>
    <n v="-14709221"/>
    <x v="7"/>
    <x v="4"/>
  </r>
  <r>
    <x v="3"/>
    <x v="22"/>
    <x v="22"/>
    <n v="-16674099"/>
    <x v="7"/>
    <x v="4"/>
  </r>
  <r>
    <x v="3"/>
    <x v="22"/>
    <x v="23"/>
    <n v="-15181418"/>
    <x v="7"/>
    <x v="4"/>
  </r>
  <r>
    <x v="3"/>
    <x v="22"/>
    <x v="24"/>
    <n v="-13881035"/>
    <x v="7"/>
    <x v="4"/>
  </r>
  <r>
    <x v="3"/>
    <x v="22"/>
    <x v="25"/>
    <n v="-15383726"/>
    <x v="7"/>
    <x v="4"/>
  </r>
  <r>
    <x v="3"/>
    <x v="22"/>
    <x v="26"/>
    <n v="-20156700"/>
    <x v="7"/>
    <x v="4"/>
  </r>
  <r>
    <x v="3"/>
    <x v="22"/>
    <x v="27"/>
    <n v="-19642598"/>
    <x v="7"/>
    <x v="4"/>
  </r>
  <r>
    <x v="3"/>
    <x v="22"/>
    <x v="28"/>
    <n v="-20515516"/>
    <x v="7"/>
    <x v="4"/>
  </r>
  <r>
    <x v="3"/>
    <x v="23"/>
    <x v="0"/>
    <n v="0"/>
    <x v="8"/>
    <x v="3"/>
  </r>
  <r>
    <x v="3"/>
    <x v="23"/>
    <x v="1"/>
    <n v="0"/>
    <x v="8"/>
    <x v="3"/>
  </r>
  <r>
    <x v="3"/>
    <x v="23"/>
    <x v="2"/>
    <n v="0"/>
    <x v="8"/>
    <x v="3"/>
  </r>
  <r>
    <x v="3"/>
    <x v="23"/>
    <x v="3"/>
    <n v="0"/>
    <x v="8"/>
    <x v="3"/>
  </r>
  <r>
    <x v="3"/>
    <x v="23"/>
    <x v="4"/>
    <n v="0"/>
    <x v="8"/>
    <x v="3"/>
  </r>
  <r>
    <x v="3"/>
    <x v="23"/>
    <x v="5"/>
    <n v="0"/>
    <x v="8"/>
    <x v="3"/>
  </r>
  <r>
    <x v="3"/>
    <x v="23"/>
    <x v="6"/>
    <n v="0"/>
    <x v="8"/>
    <x v="3"/>
  </r>
  <r>
    <x v="3"/>
    <x v="23"/>
    <x v="7"/>
    <n v="0"/>
    <x v="8"/>
    <x v="3"/>
  </r>
  <r>
    <x v="3"/>
    <x v="23"/>
    <x v="8"/>
    <n v="0"/>
    <x v="8"/>
    <x v="3"/>
  </r>
  <r>
    <x v="3"/>
    <x v="23"/>
    <x v="9"/>
    <n v="0"/>
    <x v="8"/>
    <x v="3"/>
  </r>
  <r>
    <x v="3"/>
    <x v="23"/>
    <x v="10"/>
    <n v="0"/>
    <x v="8"/>
    <x v="3"/>
  </r>
  <r>
    <x v="3"/>
    <x v="23"/>
    <x v="11"/>
    <n v="0"/>
    <x v="8"/>
    <x v="3"/>
  </r>
  <r>
    <x v="3"/>
    <x v="23"/>
    <x v="12"/>
    <n v="0"/>
    <x v="8"/>
    <x v="3"/>
  </r>
  <r>
    <x v="3"/>
    <x v="23"/>
    <x v="13"/>
    <n v="0"/>
    <x v="8"/>
    <x v="3"/>
  </r>
  <r>
    <x v="3"/>
    <x v="23"/>
    <x v="14"/>
    <n v="0"/>
    <x v="8"/>
    <x v="3"/>
  </r>
  <r>
    <x v="3"/>
    <x v="23"/>
    <x v="15"/>
    <n v="0"/>
    <x v="8"/>
    <x v="3"/>
  </r>
  <r>
    <x v="3"/>
    <x v="23"/>
    <x v="16"/>
    <n v="0"/>
    <x v="8"/>
    <x v="3"/>
  </r>
  <r>
    <x v="3"/>
    <x v="23"/>
    <x v="17"/>
    <n v="0"/>
    <x v="8"/>
    <x v="3"/>
  </r>
  <r>
    <x v="3"/>
    <x v="23"/>
    <x v="18"/>
    <n v="0"/>
    <x v="8"/>
    <x v="3"/>
  </r>
  <r>
    <x v="3"/>
    <x v="23"/>
    <x v="19"/>
    <n v="0"/>
    <x v="8"/>
    <x v="3"/>
  </r>
  <r>
    <x v="3"/>
    <x v="23"/>
    <x v="20"/>
    <n v="21110"/>
    <x v="8"/>
    <x v="3"/>
  </r>
  <r>
    <x v="3"/>
    <x v="23"/>
    <x v="21"/>
    <n v="25066"/>
    <x v="8"/>
    <x v="3"/>
  </r>
  <r>
    <x v="3"/>
    <x v="23"/>
    <x v="22"/>
    <n v="17257"/>
    <x v="8"/>
    <x v="3"/>
  </r>
  <r>
    <x v="3"/>
    <x v="23"/>
    <x v="23"/>
    <n v="16399"/>
    <x v="8"/>
    <x v="3"/>
  </r>
  <r>
    <x v="3"/>
    <x v="23"/>
    <x v="24"/>
    <n v="11975"/>
    <x v="8"/>
    <x v="3"/>
  </r>
  <r>
    <x v="3"/>
    <x v="23"/>
    <x v="25"/>
    <n v="12756"/>
    <x v="8"/>
    <x v="3"/>
  </r>
  <r>
    <x v="3"/>
    <x v="23"/>
    <x v="26"/>
    <n v="12472"/>
    <x v="8"/>
    <x v="3"/>
  </r>
  <r>
    <x v="3"/>
    <x v="23"/>
    <x v="27"/>
    <n v="13764"/>
    <x v="8"/>
    <x v="3"/>
  </r>
  <r>
    <x v="3"/>
    <x v="23"/>
    <x v="28"/>
    <n v="10624"/>
    <x v="8"/>
    <x v="3"/>
  </r>
  <r>
    <x v="3"/>
    <x v="24"/>
    <x v="0"/>
    <n v="0"/>
    <x v="9"/>
    <x v="3"/>
  </r>
  <r>
    <x v="3"/>
    <x v="24"/>
    <x v="1"/>
    <n v="0"/>
    <x v="9"/>
    <x v="3"/>
  </r>
  <r>
    <x v="3"/>
    <x v="24"/>
    <x v="2"/>
    <n v="0"/>
    <x v="9"/>
    <x v="3"/>
  </r>
  <r>
    <x v="3"/>
    <x v="24"/>
    <x v="3"/>
    <n v="0"/>
    <x v="9"/>
    <x v="3"/>
  </r>
  <r>
    <x v="3"/>
    <x v="24"/>
    <x v="4"/>
    <n v="0"/>
    <x v="9"/>
    <x v="3"/>
  </r>
  <r>
    <x v="3"/>
    <x v="24"/>
    <x v="5"/>
    <n v="0"/>
    <x v="9"/>
    <x v="3"/>
  </r>
  <r>
    <x v="3"/>
    <x v="24"/>
    <x v="6"/>
    <n v="0"/>
    <x v="9"/>
    <x v="3"/>
  </r>
  <r>
    <x v="3"/>
    <x v="24"/>
    <x v="7"/>
    <n v="0"/>
    <x v="9"/>
    <x v="3"/>
  </r>
  <r>
    <x v="3"/>
    <x v="24"/>
    <x v="8"/>
    <n v="0"/>
    <x v="9"/>
    <x v="3"/>
  </r>
  <r>
    <x v="3"/>
    <x v="24"/>
    <x v="9"/>
    <n v="0"/>
    <x v="9"/>
    <x v="3"/>
  </r>
  <r>
    <x v="3"/>
    <x v="24"/>
    <x v="10"/>
    <n v="0"/>
    <x v="9"/>
    <x v="3"/>
  </r>
  <r>
    <x v="3"/>
    <x v="24"/>
    <x v="11"/>
    <n v="0"/>
    <x v="9"/>
    <x v="3"/>
  </r>
  <r>
    <x v="3"/>
    <x v="24"/>
    <x v="12"/>
    <n v="0"/>
    <x v="9"/>
    <x v="3"/>
  </r>
  <r>
    <x v="3"/>
    <x v="24"/>
    <x v="13"/>
    <n v="0"/>
    <x v="9"/>
    <x v="3"/>
  </r>
  <r>
    <x v="3"/>
    <x v="24"/>
    <x v="14"/>
    <n v="229264"/>
    <x v="9"/>
    <x v="3"/>
  </r>
  <r>
    <x v="3"/>
    <x v="24"/>
    <x v="15"/>
    <n v="223209"/>
    <x v="9"/>
    <x v="3"/>
  </r>
  <r>
    <x v="3"/>
    <x v="24"/>
    <x v="16"/>
    <n v="217376"/>
    <x v="9"/>
    <x v="3"/>
  </r>
  <r>
    <x v="3"/>
    <x v="24"/>
    <x v="17"/>
    <n v="168376"/>
    <x v="9"/>
    <x v="3"/>
  </r>
  <r>
    <x v="3"/>
    <x v="24"/>
    <x v="18"/>
    <n v="147499"/>
    <x v="9"/>
    <x v="3"/>
  </r>
  <r>
    <x v="3"/>
    <x v="24"/>
    <x v="19"/>
    <n v="191566"/>
    <x v="9"/>
    <x v="3"/>
  </r>
  <r>
    <x v="3"/>
    <x v="24"/>
    <x v="20"/>
    <n v="0"/>
    <x v="9"/>
    <x v="3"/>
  </r>
  <r>
    <x v="3"/>
    <x v="24"/>
    <x v="21"/>
    <n v="0"/>
    <x v="9"/>
    <x v="3"/>
  </r>
  <r>
    <x v="3"/>
    <x v="24"/>
    <x v="22"/>
    <n v="121787"/>
    <x v="9"/>
    <x v="3"/>
  </r>
  <r>
    <x v="3"/>
    <x v="24"/>
    <x v="23"/>
    <n v="167601"/>
    <x v="9"/>
    <x v="3"/>
  </r>
  <r>
    <x v="3"/>
    <x v="24"/>
    <x v="24"/>
    <n v="158979"/>
    <x v="9"/>
    <x v="3"/>
  </r>
  <r>
    <x v="3"/>
    <x v="24"/>
    <x v="25"/>
    <n v="132720"/>
    <x v="9"/>
    <x v="3"/>
  </r>
  <r>
    <x v="3"/>
    <x v="24"/>
    <x v="26"/>
    <n v="205031"/>
    <x v="9"/>
    <x v="3"/>
  </r>
  <r>
    <x v="3"/>
    <x v="24"/>
    <x v="27"/>
    <n v="173512"/>
    <x v="9"/>
    <x v="3"/>
  </r>
  <r>
    <x v="3"/>
    <x v="24"/>
    <x v="28"/>
    <n v="220452"/>
    <x v="9"/>
    <x v="3"/>
  </r>
  <r>
    <x v="3"/>
    <x v="25"/>
    <x v="0"/>
    <n v="18821"/>
    <x v="9"/>
    <x v="3"/>
  </r>
  <r>
    <x v="3"/>
    <x v="25"/>
    <x v="1"/>
    <n v="18876"/>
    <x v="9"/>
    <x v="3"/>
  </r>
  <r>
    <x v="3"/>
    <x v="25"/>
    <x v="2"/>
    <n v="7995"/>
    <x v="9"/>
    <x v="3"/>
  </r>
  <r>
    <x v="3"/>
    <x v="25"/>
    <x v="3"/>
    <n v="19358"/>
    <x v="9"/>
    <x v="3"/>
  </r>
  <r>
    <x v="3"/>
    <x v="25"/>
    <x v="4"/>
    <n v="20826"/>
    <x v="9"/>
    <x v="3"/>
  </r>
  <r>
    <x v="3"/>
    <x v="25"/>
    <x v="5"/>
    <n v="43505"/>
    <x v="9"/>
    <x v="3"/>
  </r>
  <r>
    <x v="3"/>
    <x v="25"/>
    <x v="6"/>
    <n v="24333"/>
    <x v="9"/>
    <x v="3"/>
  </r>
  <r>
    <x v="3"/>
    <x v="25"/>
    <x v="7"/>
    <n v="39627"/>
    <x v="9"/>
    <x v="3"/>
  </r>
  <r>
    <x v="3"/>
    <x v="25"/>
    <x v="8"/>
    <n v="138064"/>
    <x v="9"/>
    <x v="3"/>
  </r>
  <r>
    <x v="3"/>
    <x v="25"/>
    <x v="9"/>
    <n v="152677"/>
    <x v="9"/>
    <x v="3"/>
  </r>
  <r>
    <x v="3"/>
    <x v="25"/>
    <x v="10"/>
    <n v="162962"/>
    <x v="9"/>
    <x v="3"/>
  </r>
  <r>
    <x v="3"/>
    <x v="25"/>
    <x v="11"/>
    <n v="286715"/>
    <x v="9"/>
    <x v="3"/>
  </r>
  <r>
    <x v="3"/>
    <x v="25"/>
    <x v="12"/>
    <n v="495110"/>
    <x v="9"/>
    <x v="3"/>
  </r>
  <r>
    <x v="3"/>
    <x v="25"/>
    <x v="13"/>
    <n v="365157"/>
    <x v="9"/>
    <x v="3"/>
  </r>
  <r>
    <x v="3"/>
    <x v="25"/>
    <x v="14"/>
    <n v="257693"/>
    <x v="9"/>
    <x v="3"/>
  </r>
  <r>
    <x v="3"/>
    <x v="25"/>
    <x v="15"/>
    <n v="485144"/>
    <x v="9"/>
    <x v="3"/>
  </r>
  <r>
    <x v="3"/>
    <x v="25"/>
    <x v="16"/>
    <n v="458192"/>
    <x v="9"/>
    <x v="3"/>
  </r>
  <r>
    <x v="3"/>
    <x v="25"/>
    <x v="17"/>
    <n v="68331"/>
    <x v="9"/>
    <x v="3"/>
  </r>
  <r>
    <x v="3"/>
    <x v="25"/>
    <x v="18"/>
    <n v="81833"/>
    <x v="9"/>
    <x v="3"/>
  </r>
  <r>
    <x v="3"/>
    <x v="25"/>
    <x v="19"/>
    <n v="141995"/>
    <x v="9"/>
    <x v="3"/>
  </r>
  <r>
    <x v="3"/>
    <x v="25"/>
    <x v="20"/>
    <n v="419390"/>
    <x v="9"/>
    <x v="3"/>
  </r>
  <r>
    <x v="3"/>
    <x v="25"/>
    <x v="21"/>
    <n v="691611"/>
    <x v="9"/>
    <x v="3"/>
  </r>
  <r>
    <x v="3"/>
    <x v="25"/>
    <x v="22"/>
    <n v="412444"/>
    <x v="9"/>
    <x v="3"/>
  </r>
  <r>
    <x v="3"/>
    <x v="25"/>
    <x v="23"/>
    <n v="631224"/>
    <x v="9"/>
    <x v="3"/>
  </r>
  <r>
    <x v="3"/>
    <x v="25"/>
    <x v="24"/>
    <n v="684672"/>
    <x v="9"/>
    <x v="3"/>
  </r>
  <r>
    <x v="3"/>
    <x v="25"/>
    <x v="25"/>
    <n v="786185"/>
    <x v="9"/>
    <x v="3"/>
  </r>
  <r>
    <x v="3"/>
    <x v="25"/>
    <x v="26"/>
    <n v="409142"/>
    <x v="9"/>
    <x v="3"/>
  </r>
  <r>
    <x v="3"/>
    <x v="25"/>
    <x v="27"/>
    <n v="691712"/>
    <x v="9"/>
    <x v="3"/>
  </r>
  <r>
    <x v="3"/>
    <x v="25"/>
    <x v="28"/>
    <n v="730659"/>
    <x v="9"/>
    <x v="3"/>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
  <r>
    <x v="0"/>
    <x v="0"/>
    <x v="0"/>
    <x v="0"/>
    <n v="45.230000000000004"/>
  </r>
  <r>
    <x v="0"/>
    <x v="0"/>
    <x v="0"/>
    <x v="1"/>
    <n v="119.55"/>
  </r>
  <r>
    <x v="0"/>
    <x v="0"/>
    <x v="1"/>
    <x v="0"/>
    <n v="35"/>
  </r>
  <r>
    <x v="0"/>
    <x v="0"/>
    <x v="2"/>
    <x v="0"/>
    <n v="100.77"/>
  </r>
  <r>
    <x v="0"/>
    <x v="0"/>
    <x v="3"/>
    <x v="0"/>
    <n v="99.64"/>
  </r>
  <r>
    <x v="0"/>
    <x v="0"/>
    <x v="3"/>
    <x v="2"/>
    <n v="98.64"/>
  </r>
  <r>
    <x v="0"/>
    <x v="0"/>
    <x v="3"/>
    <x v="1"/>
    <n v="129.49"/>
  </r>
  <r>
    <x v="0"/>
    <x v="0"/>
    <x v="4"/>
    <x v="0"/>
    <n v="39.380000000000003"/>
  </r>
  <r>
    <x v="0"/>
    <x v="0"/>
    <x v="4"/>
    <x v="1"/>
    <n v="129.65"/>
  </r>
  <r>
    <x v="0"/>
    <x v="0"/>
    <x v="5"/>
    <x v="3"/>
    <n v="3.4"/>
  </r>
  <r>
    <x v="0"/>
    <x v="0"/>
    <x v="6"/>
    <x v="3"/>
    <n v="0.9"/>
  </r>
  <r>
    <x v="0"/>
    <x v="0"/>
    <x v="7"/>
    <x v="0"/>
    <n v="120.27"/>
  </r>
  <r>
    <x v="0"/>
    <x v="0"/>
    <x v="7"/>
    <x v="1"/>
    <n v="3.6"/>
  </r>
  <r>
    <x v="0"/>
    <x v="0"/>
    <x v="8"/>
    <x v="0"/>
    <n v="60.877499999999998"/>
  </r>
  <r>
    <x v="0"/>
    <x v="0"/>
    <x v="8"/>
    <x v="1"/>
    <n v="81.510000000000005"/>
  </r>
  <r>
    <x v="0"/>
    <x v="0"/>
    <x v="9"/>
    <x v="0"/>
    <n v="79.930000000000007"/>
  </r>
  <r>
    <x v="0"/>
    <x v="0"/>
    <x v="9"/>
    <x v="1"/>
    <n v="0.98"/>
  </r>
  <r>
    <x v="0"/>
    <x v="0"/>
    <x v="10"/>
    <x v="1"/>
    <n v="76.84"/>
  </r>
  <r>
    <x v="0"/>
    <x v="0"/>
    <x v="11"/>
    <x v="0"/>
    <n v="98.62"/>
  </r>
  <r>
    <x v="0"/>
    <x v="0"/>
    <x v="11"/>
    <x v="2"/>
    <n v="97.63"/>
  </r>
  <r>
    <x v="0"/>
    <x v="0"/>
    <x v="11"/>
    <x v="1"/>
    <n v="116.09"/>
  </r>
  <r>
    <x v="0"/>
    <x v="0"/>
    <x v="12"/>
    <x v="0"/>
    <n v="100.77"/>
  </r>
  <r>
    <x v="0"/>
    <x v="0"/>
    <x v="12"/>
    <x v="1"/>
    <n v="116.09"/>
  </r>
  <r>
    <x v="0"/>
    <x v="0"/>
    <x v="13"/>
    <x v="1"/>
    <n v="123"/>
  </r>
  <r>
    <x v="0"/>
    <x v="0"/>
    <x v="14"/>
    <x v="2"/>
    <m/>
  </r>
  <r>
    <x v="0"/>
    <x v="0"/>
    <x v="14"/>
    <x v="1"/>
    <n v="0"/>
  </r>
  <r>
    <x v="0"/>
    <x v="0"/>
    <x v="15"/>
    <x v="3"/>
    <n v="3102.5"/>
  </r>
  <r>
    <x v="0"/>
    <x v="0"/>
    <x v="16"/>
    <x v="0"/>
    <n v="83.05"/>
  </r>
  <r>
    <x v="0"/>
    <x v="0"/>
    <x v="16"/>
    <x v="1"/>
    <n v="96.5"/>
  </r>
  <r>
    <x v="1"/>
    <x v="1"/>
    <x v="0"/>
    <x v="0"/>
    <n v="47.09"/>
  </r>
  <r>
    <x v="1"/>
    <x v="1"/>
    <x v="0"/>
    <x v="1"/>
    <n v="126.13"/>
  </r>
  <r>
    <x v="1"/>
    <x v="1"/>
    <x v="1"/>
    <x v="0"/>
    <n v="35"/>
  </r>
  <r>
    <x v="1"/>
    <x v="1"/>
    <x v="2"/>
    <x v="0"/>
    <n v="100.77"/>
  </r>
  <r>
    <x v="1"/>
    <x v="1"/>
    <x v="3"/>
    <x v="0"/>
    <n v="101.65"/>
  </r>
  <r>
    <x v="1"/>
    <x v="1"/>
    <x v="3"/>
    <x v="2"/>
    <n v="98.12"/>
  </r>
  <r>
    <x v="1"/>
    <x v="1"/>
    <x v="3"/>
    <x v="1"/>
    <n v="134.47999999999999"/>
  </r>
  <r>
    <x v="1"/>
    <x v="1"/>
    <x v="4"/>
    <x v="0"/>
    <n v="45.752499999999998"/>
  </r>
  <r>
    <x v="1"/>
    <x v="1"/>
    <x v="4"/>
    <x v="1"/>
    <n v="129.65"/>
  </r>
  <r>
    <x v="1"/>
    <x v="1"/>
    <x v="5"/>
    <x v="3"/>
    <n v="3.4"/>
  </r>
  <r>
    <x v="1"/>
    <x v="1"/>
    <x v="6"/>
    <x v="3"/>
    <n v="0.9"/>
  </r>
  <r>
    <x v="1"/>
    <x v="1"/>
    <x v="7"/>
    <x v="0"/>
    <n v="120.27"/>
  </r>
  <r>
    <x v="1"/>
    <x v="1"/>
    <x v="7"/>
    <x v="1"/>
    <n v="3.6"/>
  </r>
  <r>
    <x v="1"/>
    <x v="1"/>
    <x v="8"/>
    <x v="0"/>
    <n v="59.01863095238096"/>
  </r>
  <r>
    <x v="1"/>
    <x v="1"/>
    <x v="8"/>
    <x v="1"/>
    <n v="81.510000000000005"/>
  </r>
  <r>
    <x v="1"/>
    <x v="1"/>
    <x v="9"/>
    <x v="0"/>
    <n v="79.930000000000007"/>
  </r>
  <r>
    <x v="1"/>
    <x v="1"/>
    <x v="9"/>
    <x v="1"/>
    <n v="0.98"/>
  </r>
  <r>
    <x v="1"/>
    <x v="1"/>
    <x v="10"/>
    <x v="1"/>
    <n v="78.83"/>
  </r>
  <r>
    <x v="1"/>
    <x v="1"/>
    <x v="11"/>
    <x v="0"/>
    <n v="98.64"/>
  </r>
  <r>
    <x v="1"/>
    <x v="1"/>
    <x v="11"/>
    <x v="2"/>
    <n v="97.16"/>
  </r>
  <r>
    <x v="1"/>
    <x v="1"/>
    <x v="11"/>
    <x v="1"/>
    <n v="118.383"/>
  </r>
  <r>
    <x v="1"/>
    <x v="1"/>
    <x v="12"/>
    <x v="0"/>
    <n v="100.77"/>
  </r>
  <r>
    <x v="1"/>
    <x v="1"/>
    <x v="12"/>
    <x v="1"/>
    <n v="122.48"/>
  </r>
  <r>
    <x v="1"/>
    <x v="1"/>
    <x v="13"/>
    <x v="1"/>
    <n v="123"/>
  </r>
  <r>
    <x v="1"/>
    <x v="1"/>
    <x v="14"/>
    <x v="2"/>
    <m/>
  </r>
  <r>
    <x v="1"/>
    <x v="1"/>
    <x v="14"/>
    <x v="1"/>
    <n v="0"/>
  </r>
  <r>
    <x v="1"/>
    <x v="1"/>
    <x v="15"/>
    <x v="3"/>
    <n v="3102.5"/>
  </r>
  <r>
    <x v="1"/>
    <x v="1"/>
    <x v="16"/>
    <x v="0"/>
    <n v="83.05"/>
  </r>
  <r>
    <x v="1"/>
    <x v="1"/>
    <x v="16"/>
    <x v="1"/>
    <n v="89.63"/>
  </r>
  <r>
    <x v="2"/>
    <x v="1"/>
    <x v="3"/>
    <x v="4"/>
    <n v="-1.556351194E-2"/>
  </r>
  <r>
    <x v="2"/>
    <x v="1"/>
    <x v="17"/>
    <x v="4"/>
    <n v="0.01"/>
  </r>
  <r>
    <x v="2"/>
    <x v="1"/>
    <x v="11"/>
    <x v="4"/>
    <n v="4.5776239147999999E-3"/>
  </r>
  <r>
    <x v="2"/>
    <x v="1"/>
    <x v="16"/>
    <x v="4"/>
    <n v="2"/>
  </r>
  <r>
    <x v="2"/>
    <x v="1"/>
    <x v="18"/>
    <x v="4"/>
    <n v="0.14299109235999999"/>
  </r>
  <r>
    <x v="2"/>
    <x v="2"/>
    <x v="0"/>
    <x v="5"/>
    <n v="6.9000000000000006E-2"/>
  </r>
  <r>
    <x v="2"/>
    <x v="2"/>
    <x v="0"/>
    <x v="0"/>
    <n v="35.4"/>
  </r>
  <r>
    <x v="2"/>
    <x v="2"/>
    <x v="0"/>
    <x v="1"/>
    <n v="126.13"/>
  </r>
  <r>
    <x v="2"/>
    <x v="2"/>
    <x v="1"/>
    <x v="5"/>
    <n v="0.7"/>
  </r>
  <r>
    <x v="2"/>
    <x v="2"/>
    <x v="1"/>
    <x v="0"/>
    <n v="50"/>
  </r>
  <r>
    <x v="2"/>
    <x v="2"/>
    <x v="2"/>
    <x v="0"/>
    <n v="100.14"/>
  </r>
  <r>
    <x v="2"/>
    <x v="2"/>
    <x v="3"/>
    <x v="0"/>
    <n v="100.74"/>
  </r>
  <r>
    <x v="2"/>
    <x v="2"/>
    <x v="3"/>
    <x v="2"/>
    <n v="96.27"/>
  </r>
  <r>
    <x v="2"/>
    <x v="2"/>
    <x v="3"/>
    <x v="1"/>
    <n v="134.47999999999999"/>
  </r>
  <r>
    <x v="2"/>
    <x v="2"/>
    <x v="3"/>
    <x v="4"/>
    <n v="4.4104026435999996E-3"/>
  </r>
  <r>
    <x v="2"/>
    <x v="2"/>
    <x v="4"/>
    <x v="5"/>
    <n v="3.5000000000000003E-2"/>
  </r>
  <r>
    <x v="2"/>
    <x v="2"/>
    <x v="4"/>
    <x v="0"/>
    <n v="29.165339245815588"/>
  </r>
  <r>
    <x v="2"/>
    <x v="2"/>
    <x v="4"/>
    <x v="1"/>
    <n v="129.65"/>
  </r>
  <r>
    <x v="2"/>
    <x v="2"/>
    <x v="5"/>
    <x v="3"/>
    <n v="3.4"/>
  </r>
  <r>
    <x v="2"/>
    <x v="2"/>
    <x v="6"/>
    <x v="3"/>
    <n v="0.9"/>
  </r>
  <r>
    <x v="2"/>
    <x v="2"/>
    <x v="17"/>
    <x v="4"/>
    <n v="0.01"/>
  </r>
  <r>
    <x v="2"/>
    <x v="2"/>
    <x v="7"/>
    <x v="0"/>
    <n v="109.31"/>
  </r>
  <r>
    <x v="2"/>
    <x v="2"/>
    <x v="7"/>
    <x v="1"/>
    <n v="3.6"/>
  </r>
  <r>
    <x v="2"/>
    <x v="2"/>
    <x v="8"/>
    <x v="5"/>
    <n v="0.10100000000000001"/>
  </r>
  <r>
    <x v="2"/>
    <x v="2"/>
    <x v="8"/>
    <x v="0"/>
    <n v="57.76"/>
  </r>
  <r>
    <x v="2"/>
    <x v="2"/>
    <x v="8"/>
    <x v="1"/>
    <n v="81.510000000000005"/>
  </r>
  <r>
    <x v="2"/>
    <x v="2"/>
    <x v="9"/>
    <x v="0"/>
    <n v="79.98"/>
  </r>
  <r>
    <x v="2"/>
    <x v="2"/>
    <x v="9"/>
    <x v="1"/>
    <n v="0.98"/>
  </r>
  <r>
    <x v="2"/>
    <x v="2"/>
    <x v="10"/>
    <x v="1"/>
    <n v="78.83"/>
  </r>
  <r>
    <x v="2"/>
    <x v="2"/>
    <x v="11"/>
    <x v="0"/>
    <n v="100.14"/>
  </r>
  <r>
    <x v="2"/>
    <x v="2"/>
    <x v="11"/>
    <x v="2"/>
    <n v="95.61"/>
  </r>
  <r>
    <x v="2"/>
    <x v="2"/>
    <x v="11"/>
    <x v="1"/>
    <n v="122.48"/>
  </r>
  <r>
    <x v="2"/>
    <x v="2"/>
    <x v="11"/>
    <x v="4"/>
    <n v="4.8945290938999996E-3"/>
  </r>
  <r>
    <x v="2"/>
    <x v="2"/>
    <x v="12"/>
    <x v="0"/>
    <n v="100.14"/>
  </r>
  <r>
    <x v="2"/>
    <x v="2"/>
    <x v="12"/>
    <x v="1"/>
    <n v="122.48"/>
  </r>
  <r>
    <x v="2"/>
    <x v="2"/>
    <x v="13"/>
    <x v="1"/>
    <n v="120"/>
  </r>
  <r>
    <x v="2"/>
    <x v="2"/>
    <x v="14"/>
    <x v="2"/>
    <n v="90.8"/>
  </r>
  <r>
    <x v="2"/>
    <x v="2"/>
    <x v="14"/>
    <x v="1"/>
    <n v="126.37"/>
  </r>
  <r>
    <x v="2"/>
    <x v="2"/>
    <x v="15"/>
    <x v="3"/>
    <n v="3102.5"/>
  </r>
  <r>
    <x v="2"/>
    <x v="2"/>
    <x v="16"/>
    <x v="0"/>
    <n v="80.88"/>
  </r>
  <r>
    <x v="2"/>
    <x v="2"/>
    <x v="16"/>
    <x v="1"/>
    <n v="89.63"/>
  </r>
  <r>
    <x v="2"/>
    <x v="2"/>
    <x v="16"/>
    <x v="4"/>
    <n v="1"/>
  </r>
  <r>
    <x v="2"/>
    <x v="2"/>
    <x v="18"/>
    <x v="4"/>
    <n v="6.5668580803999996E-2"/>
  </r>
  <r>
    <x v="3"/>
    <x v="2"/>
    <x v="0"/>
    <x v="5"/>
    <n v="8.5999999999999993E-2"/>
  </r>
  <r>
    <x v="3"/>
    <x v="2"/>
    <x v="0"/>
    <x v="0"/>
    <n v="32.596249999999998"/>
  </r>
  <r>
    <x v="3"/>
    <x v="2"/>
    <x v="1"/>
    <x v="5"/>
    <n v="0.67500000000000004"/>
  </r>
  <r>
    <x v="3"/>
    <x v="2"/>
    <x v="1"/>
    <x v="0"/>
    <n v="49"/>
  </r>
  <r>
    <x v="3"/>
    <x v="2"/>
    <x v="3"/>
    <x v="4"/>
    <n v="-3.1046501075563837E-2"/>
  </r>
  <r>
    <x v="3"/>
    <x v="2"/>
    <x v="4"/>
    <x v="5"/>
    <n v="4.2000000000000003E-2"/>
  </r>
  <r>
    <x v="3"/>
    <x v="2"/>
    <x v="4"/>
    <x v="0"/>
    <n v="33.181249999999999"/>
  </r>
  <r>
    <x v="3"/>
    <x v="2"/>
    <x v="17"/>
    <x v="4"/>
    <n v="0.5"/>
  </r>
  <r>
    <x v="3"/>
    <x v="2"/>
    <x v="8"/>
    <x v="5"/>
    <n v="0.10100000000000001"/>
  </r>
  <r>
    <x v="3"/>
    <x v="2"/>
    <x v="8"/>
    <x v="0"/>
    <n v="52.83"/>
  </r>
  <r>
    <x v="3"/>
    <x v="2"/>
    <x v="11"/>
    <x v="4"/>
    <n v="-0.106"/>
  </r>
  <r>
    <x v="3"/>
    <x v="2"/>
    <x v="15"/>
    <x v="3"/>
    <n v="3102.5"/>
  </r>
  <r>
    <x v="3"/>
    <x v="2"/>
    <x v="16"/>
    <x v="4"/>
    <n v="1"/>
  </r>
  <r>
    <x v="3"/>
    <x v="2"/>
    <x v="18"/>
    <x v="4"/>
    <n v="0.1"/>
  </r>
  <r>
    <x v="3"/>
    <x v="3"/>
    <x v="0"/>
    <x v="5"/>
    <n v="9.6000000000000002E-2"/>
  </r>
  <r>
    <x v="3"/>
    <x v="3"/>
    <x v="0"/>
    <x v="0"/>
    <n v="26.5"/>
  </r>
  <r>
    <x v="3"/>
    <x v="3"/>
    <x v="0"/>
    <x v="1"/>
    <n v="126.13"/>
  </r>
  <r>
    <x v="3"/>
    <x v="3"/>
    <x v="1"/>
    <x v="5"/>
    <n v="0.75"/>
  </r>
  <r>
    <x v="3"/>
    <x v="3"/>
    <x v="1"/>
    <x v="0"/>
    <n v="49"/>
  </r>
  <r>
    <x v="3"/>
    <x v="3"/>
    <x v="2"/>
    <x v="0"/>
    <n v="100.14"/>
  </r>
  <r>
    <x v="3"/>
    <x v="3"/>
    <x v="3"/>
    <x v="0"/>
    <n v="100.74"/>
  </r>
  <r>
    <x v="3"/>
    <x v="3"/>
    <x v="3"/>
    <x v="2"/>
    <n v="95.29"/>
  </r>
  <r>
    <x v="3"/>
    <x v="3"/>
    <x v="3"/>
    <x v="1"/>
    <n v="134.47999999999999"/>
  </r>
  <r>
    <x v="3"/>
    <x v="3"/>
    <x v="3"/>
    <x v="4"/>
    <n v="4.6262661114707893E-2"/>
  </r>
  <r>
    <x v="3"/>
    <x v="3"/>
    <x v="4"/>
    <x v="5"/>
    <n v="7.2999999999999995E-2"/>
  </r>
  <r>
    <x v="3"/>
    <x v="3"/>
    <x v="4"/>
    <x v="0"/>
    <n v="27.2"/>
  </r>
  <r>
    <x v="3"/>
    <x v="3"/>
    <x v="4"/>
    <x v="1"/>
    <n v="129.65"/>
  </r>
  <r>
    <x v="3"/>
    <x v="3"/>
    <x v="5"/>
    <x v="3"/>
    <n v="3.4"/>
  </r>
  <r>
    <x v="3"/>
    <x v="3"/>
    <x v="6"/>
    <x v="3"/>
    <n v="0.9"/>
  </r>
  <r>
    <x v="3"/>
    <x v="3"/>
    <x v="17"/>
    <x v="4"/>
    <n v="0.75"/>
  </r>
  <r>
    <x v="3"/>
    <x v="3"/>
    <x v="7"/>
    <x v="0"/>
    <n v="92"/>
  </r>
  <r>
    <x v="3"/>
    <x v="3"/>
    <x v="7"/>
    <x v="1"/>
    <n v="3.6"/>
  </r>
  <r>
    <x v="3"/>
    <x v="3"/>
    <x v="8"/>
    <x v="5"/>
    <n v="0.10100000000000001"/>
  </r>
  <r>
    <x v="3"/>
    <x v="3"/>
    <x v="8"/>
    <x v="0"/>
    <n v="47.5"/>
  </r>
  <r>
    <x v="3"/>
    <x v="3"/>
    <x v="8"/>
    <x v="1"/>
    <n v="81.510000000000005"/>
  </r>
  <r>
    <x v="3"/>
    <x v="3"/>
    <x v="9"/>
    <x v="0"/>
    <n v="79.98"/>
  </r>
  <r>
    <x v="3"/>
    <x v="3"/>
    <x v="9"/>
    <x v="1"/>
    <n v="105.5"/>
  </r>
  <r>
    <x v="3"/>
    <x v="3"/>
    <x v="10"/>
    <x v="1"/>
    <n v="78.83"/>
  </r>
  <r>
    <x v="3"/>
    <x v="3"/>
    <x v="11"/>
    <x v="0"/>
    <n v="100.14"/>
  </r>
  <r>
    <x v="3"/>
    <x v="3"/>
    <x v="11"/>
    <x v="2"/>
    <n v="94.63"/>
  </r>
  <r>
    <x v="3"/>
    <x v="3"/>
    <x v="11"/>
    <x v="1"/>
    <n v="122.48"/>
  </r>
  <r>
    <x v="3"/>
    <x v="3"/>
    <x v="11"/>
    <x v="4"/>
    <n v="0.10299999999999999"/>
  </r>
  <r>
    <x v="3"/>
    <x v="3"/>
    <x v="12"/>
    <x v="0"/>
    <n v="98.16"/>
  </r>
  <r>
    <x v="3"/>
    <x v="3"/>
    <x v="12"/>
    <x v="1"/>
    <n v="122.48"/>
  </r>
  <r>
    <x v="3"/>
    <x v="3"/>
    <x v="13"/>
    <x v="1"/>
    <n v="120"/>
  </r>
  <r>
    <x v="3"/>
    <x v="3"/>
    <x v="14"/>
    <x v="2"/>
    <n v="90.8"/>
  </r>
  <r>
    <x v="3"/>
    <x v="3"/>
    <x v="14"/>
    <x v="1"/>
    <n v="126.37"/>
  </r>
  <r>
    <x v="3"/>
    <x v="3"/>
    <x v="15"/>
    <x v="3"/>
    <n v="3102.5"/>
  </r>
  <r>
    <x v="3"/>
    <x v="3"/>
    <x v="16"/>
    <x v="0"/>
    <n v="66.010000000000005"/>
  </r>
  <r>
    <x v="3"/>
    <x v="3"/>
    <x v="16"/>
    <x v="1"/>
    <n v="89.63"/>
  </r>
  <r>
    <x v="3"/>
    <x v="3"/>
    <x v="16"/>
    <x v="4"/>
    <n v="0.7"/>
  </r>
  <r>
    <x v="3"/>
    <x v="3"/>
    <x v="18"/>
    <x v="4"/>
    <n v="7.0000000000000007E-2"/>
  </r>
  <r>
    <x v="4"/>
    <x v="3"/>
    <x v="0"/>
    <x v="5"/>
    <n v="9.8000000000000004E-2"/>
  </r>
  <r>
    <x v="4"/>
    <x v="3"/>
    <x v="0"/>
    <x v="0"/>
    <n v="36"/>
  </r>
  <r>
    <x v="4"/>
    <x v="3"/>
    <x v="1"/>
    <x v="5"/>
    <n v="0.875"/>
  </r>
  <r>
    <x v="4"/>
    <x v="3"/>
    <x v="1"/>
    <x v="0"/>
    <n v="49"/>
  </r>
  <r>
    <x v="4"/>
    <x v="3"/>
    <x v="3"/>
    <x v="4"/>
    <m/>
  </r>
  <r>
    <x v="4"/>
    <x v="3"/>
    <x v="4"/>
    <x v="5"/>
    <n v="0.03"/>
  </r>
  <r>
    <x v="4"/>
    <x v="3"/>
    <x v="4"/>
    <x v="0"/>
    <n v="37.5"/>
  </r>
  <r>
    <x v="4"/>
    <x v="3"/>
    <x v="17"/>
    <x v="4"/>
    <n v="0.5"/>
  </r>
  <r>
    <x v="4"/>
    <x v="3"/>
    <x v="8"/>
    <x v="5"/>
    <n v="0.10100000000000001"/>
  </r>
  <r>
    <x v="4"/>
    <x v="3"/>
    <x v="8"/>
    <x v="0"/>
    <n v="49"/>
  </r>
  <r>
    <x v="4"/>
    <x v="3"/>
    <x v="11"/>
    <x v="4"/>
    <m/>
  </r>
  <r>
    <x v="4"/>
    <x v="3"/>
    <x v="15"/>
    <x v="3"/>
    <n v="3102.5"/>
  </r>
  <r>
    <x v="4"/>
    <x v="3"/>
    <x v="16"/>
    <x v="4"/>
    <n v="0.5"/>
  </r>
  <r>
    <x v="4"/>
    <x v="3"/>
    <x v="18"/>
    <x v="4"/>
    <n v="0.25"/>
  </r>
  <r>
    <x v="4"/>
    <x v="4"/>
    <x v="0"/>
    <x v="5"/>
    <n v="0.105"/>
  </r>
  <r>
    <x v="4"/>
    <x v="4"/>
    <x v="0"/>
    <x v="0"/>
    <n v="31.5"/>
  </r>
  <r>
    <x v="4"/>
    <x v="4"/>
    <x v="0"/>
    <x v="1"/>
    <n v="126.13"/>
  </r>
  <r>
    <x v="4"/>
    <x v="4"/>
    <x v="1"/>
    <x v="5"/>
    <n v="0.9"/>
  </r>
  <r>
    <x v="4"/>
    <x v="4"/>
    <x v="1"/>
    <x v="0"/>
    <n v="49"/>
  </r>
  <r>
    <x v="4"/>
    <x v="4"/>
    <x v="3"/>
    <x v="0"/>
    <n v="100.74"/>
  </r>
  <r>
    <x v="4"/>
    <x v="4"/>
    <x v="3"/>
    <x v="2"/>
    <n v="93.81"/>
  </r>
  <r>
    <x v="4"/>
    <x v="4"/>
    <x v="3"/>
    <x v="1"/>
    <n v="134.47999999999999"/>
  </r>
  <r>
    <x v="4"/>
    <x v="4"/>
    <x v="3"/>
    <x v="4"/>
    <m/>
  </r>
  <r>
    <x v="4"/>
    <x v="4"/>
    <x v="4"/>
    <x v="5"/>
    <n v="0.06"/>
  </r>
  <r>
    <x v="4"/>
    <x v="4"/>
    <x v="4"/>
    <x v="0"/>
    <n v="34.75"/>
  </r>
  <r>
    <x v="4"/>
    <x v="4"/>
    <x v="4"/>
    <x v="1"/>
    <n v="129.65"/>
  </r>
  <r>
    <x v="4"/>
    <x v="4"/>
    <x v="5"/>
    <x v="3"/>
    <n v="3.4"/>
  </r>
  <r>
    <x v="4"/>
    <x v="4"/>
    <x v="6"/>
    <x v="3"/>
    <n v="0.9"/>
  </r>
  <r>
    <x v="4"/>
    <x v="4"/>
    <x v="17"/>
    <x v="4"/>
    <n v="0.65"/>
  </r>
  <r>
    <x v="4"/>
    <x v="4"/>
    <x v="7"/>
    <x v="0"/>
    <n v="15"/>
  </r>
  <r>
    <x v="4"/>
    <x v="4"/>
    <x v="7"/>
    <x v="1"/>
    <n v="3.6"/>
  </r>
  <r>
    <x v="4"/>
    <x v="4"/>
    <x v="8"/>
    <x v="5"/>
    <n v="0.10100000000000001"/>
  </r>
  <r>
    <x v="4"/>
    <x v="4"/>
    <x v="8"/>
    <x v="0"/>
    <n v="46.5"/>
  </r>
  <r>
    <x v="4"/>
    <x v="4"/>
    <x v="8"/>
    <x v="1"/>
    <n v="81.510000000000005"/>
  </r>
  <r>
    <x v="4"/>
    <x v="4"/>
    <x v="9"/>
    <x v="0"/>
    <n v="79.98"/>
  </r>
  <r>
    <x v="4"/>
    <x v="4"/>
    <x v="9"/>
    <x v="1"/>
    <n v="105.5"/>
  </r>
  <r>
    <x v="4"/>
    <x v="4"/>
    <x v="10"/>
    <x v="1"/>
    <n v="78.83"/>
  </r>
  <r>
    <x v="4"/>
    <x v="4"/>
    <x v="11"/>
    <x v="0"/>
    <n v="100.14"/>
  </r>
  <r>
    <x v="4"/>
    <x v="4"/>
    <x v="11"/>
    <x v="2"/>
    <n v="93.15"/>
  </r>
  <r>
    <x v="4"/>
    <x v="4"/>
    <x v="11"/>
    <x v="1"/>
    <n v="122.48"/>
  </r>
  <r>
    <x v="4"/>
    <x v="4"/>
    <x v="11"/>
    <x v="4"/>
    <m/>
  </r>
  <r>
    <x v="4"/>
    <x v="4"/>
    <x v="12"/>
    <x v="0"/>
    <n v="98.06"/>
  </r>
  <r>
    <x v="4"/>
    <x v="4"/>
    <x v="12"/>
    <x v="1"/>
    <n v="122.48"/>
  </r>
  <r>
    <x v="4"/>
    <x v="4"/>
    <x v="13"/>
    <x v="1"/>
    <n v="120"/>
  </r>
  <r>
    <x v="4"/>
    <x v="4"/>
    <x v="14"/>
    <x v="2"/>
    <n v="90.8"/>
  </r>
  <r>
    <x v="4"/>
    <x v="4"/>
    <x v="14"/>
    <x v="1"/>
    <n v="126.37"/>
  </r>
  <r>
    <x v="4"/>
    <x v="4"/>
    <x v="15"/>
    <x v="3"/>
    <n v="3102.5"/>
  </r>
  <r>
    <x v="4"/>
    <x v="4"/>
    <x v="16"/>
    <x v="0"/>
    <n v="48"/>
  </r>
  <r>
    <x v="4"/>
    <x v="4"/>
    <x v="16"/>
    <x v="1"/>
    <n v="89.63"/>
  </r>
  <r>
    <x v="4"/>
    <x v="4"/>
    <x v="16"/>
    <x v="4"/>
    <n v="0.7"/>
  </r>
  <r>
    <x v="4"/>
    <x v="4"/>
    <x v="18"/>
    <x v="4"/>
    <n v="0.35"/>
  </r>
  <r>
    <x v="5"/>
    <x v="4"/>
    <x v="0"/>
    <x v="5"/>
    <n v="0.1"/>
  </r>
  <r>
    <x v="5"/>
    <x v="4"/>
    <x v="0"/>
    <x v="0"/>
    <n v="40"/>
  </r>
  <r>
    <x v="5"/>
    <x v="4"/>
    <x v="1"/>
    <x v="5"/>
    <n v="0.92500000000000004"/>
  </r>
  <r>
    <x v="5"/>
    <x v="4"/>
    <x v="1"/>
    <x v="0"/>
    <n v="12"/>
  </r>
  <r>
    <x v="5"/>
    <x v="4"/>
    <x v="3"/>
    <x v="4"/>
    <m/>
  </r>
  <r>
    <x v="5"/>
    <x v="4"/>
    <x v="4"/>
    <x v="5"/>
    <n v="2.5000000000000001E-2"/>
  </r>
  <r>
    <x v="5"/>
    <x v="4"/>
    <x v="4"/>
    <x v="0"/>
    <n v="36"/>
  </r>
  <r>
    <x v="5"/>
    <x v="4"/>
    <x v="17"/>
    <x v="4"/>
    <n v="0.5"/>
  </r>
  <r>
    <x v="5"/>
    <x v="4"/>
    <x v="8"/>
    <x v="5"/>
    <n v="0.10199999999999999"/>
  </r>
  <r>
    <x v="5"/>
    <x v="4"/>
    <x v="8"/>
    <x v="0"/>
    <n v="52"/>
  </r>
  <r>
    <x v="5"/>
    <x v="4"/>
    <x v="11"/>
    <x v="4"/>
    <m/>
  </r>
  <r>
    <x v="5"/>
    <x v="4"/>
    <x v="15"/>
    <x v="3"/>
    <n v="3102.5"/>
  </r>
  <r>
    <x v="5"/>
    <x v="4"/>
    <x v="16"/>
    <x v="5"/>
    <n v="0.2"/>
  </r>
  <r>
    <x v="5"/>
    <x v="4"/>
    <x v="16"/>
    <x v="4"/>
    <n v="0.25"/>
  </r>
  <r>
    <x v="5"/>
    <x v="4"/>
    <x v="18"/>
    <x v="4"/>
    <n v="0.1"/>
  </r>
  <r>
    <x v="5"/>
    <x v="5"/>
    <x v="0"/>
    <x v="5"/>
    <n v="0.11"/>
  </r>
  <r>
    <x v="5"/>
    <x v="5"/>
    <x v="0"/>
    <x v="0"/>
    <n v="39"/>
  </r>
  <r>
    <x v="5"/>
    <x v="5"/>
    <x v="0"/>
    <x v="1"/>
    <n v="126.13"/>
  </r>
  <r>
    <x v="5"/>
    <x v="5"/>
    <x v="1"/>
    <x v="5"/>
    <n v="0.95"/>
  </r>
  <r>
    <x v="5"/>
    <x v="5"/>
    <x v="1"/>
    <x v="0"/>
    <n v="0"/>
  </r>
  <r>
    <x v="5"/>
    <x v="5"/>
    <x v="3"/>
    <x v="0"/>
    <n v="100.74"/>
  </r>
  <r>
    <x v="5"/>
    <x v="5"/>
    <x v="3"/>
    <x v="2"/>
    <n v="92.32"/>
  </r>
  <r>
    <x v="5"/>
    <x v="5"/>
    <x v="3"/>
    <x v="1"/>
    <n v="134.47999999999999"/>
  </r>
  <r>
    <x v="5"/>
    <x v="5"/>
    <x v="3"/>
    <x v="4"/>
    <m/>
  </r>
  <r>
    <x v="5"/>
    <x v="5"/>
    <x v="4"/>
    <x v="5"/>
    <n v="3.5000000000000003E-2"/>
  </r>
  <r>
    <x v="5"/>
    <x v="5"/>
    <x v="4"/>
    <x v="0"/>
    <n v="34"/>
  </r>
  <r>
    <x v="5"/>
    <x v="5"/>
    <x v="4"/>
    <x v="1"/>
    <n v="129.65"/>
  </r>
  <r>
    <x v="5"/>
    <x v="5"/>
    <x v="5"/>
    <x v="3"/>
    <n v="3.4"/>
  </r>
  <r>
    <x v="5"/>
    <x v="5"/>
    <x v="6"/>
    <x v="3"/>
    <n v="0.9"/>
  </r>
  <r>
    <x v="5"/>
    <x v="5"/>
    <x v="17"/>
    <x v="4"/>
    <n v="0.5"/>
  </r>
  <r>
    <x v="5"/>
    <x v="5"/>
    <x v="7"/>
    <x v="0"/>
    <n v="10"/>
  </r>
  <r>
    <x v="5"/>
    <x v="5"/>
    <x v="7"/>
    <x v="1"/>
    <n v="3.6"/>
  </r>
  <r>
    <x v="5"/>
    <x v="5"/>
    <x v="8"/>
    <x v="5"/>
    <n v="0.10199999999999999"/>
  </r>
  <r>
    <x v="5"/>
    <x v="5"/>
    <x v="8"/>
    <x v="0"/>
    <n v="50"/>
  </r>
  <r>
    <x v="5"/>
    <x v="5"/>
    <x v="8"/>
    <x v="1"/>
    <n v="81.510000000000005"/>
  </r>
  <r>
    <x v="5"/>
    <x v="5"/>
    <x v="9"/>
    <x v="0"/>
    <n v="79.98"/>
  </r>
  <r>
    <x v="5"/>
    <x v="5"/>
    <x v="9"/>
    <x v="1"/>
    <n v="105.5"/>
  </r>
  <r>
    <x v="5"/>
    <x v="5"/>
    <x v="10"/>
    <x v="1"/>
    <n v="78.83"/>
  </r>
  <r>
    <x v="5"/>
    <x v="5"/>
    <x v="11"/>
    <x v="0"/>
    <n v="100.14"/>
  </r>
  <r>
    <x v="5"/>
    <x v="5"/>
    <x v="11"/>
    <x v="2"/>
    <n v="91.68"/>
  </r>
  <r>
    <x v="5"/>
    <x v="5"/>
    <x v="11"/>
    <x v="1"/>
    <n v="122.48"/>
  </r>
  <r>
    <x v="5"/>
    <x v="5"/>
    <x v="11"/>
    <x v="4"/>
    <m/>
  </r>
  <r>
    <x v="5"/>
    <x v="5"/>
    <x v="12"/>
    <x v="0"/>
    <n v="98.06"/>
  </r>
  <r>
    <x v="5"/>
    <x v="5"/>
    <x v="12"/>
    <x v="1"/>
    <n v="122.48"/>
  </r>
  <r>
    <x v="5"/>
    <x v="5"/>
    <x v="13"/>
    <x v="1"/>
    <n v="120"/>
  </r>
  <r>
    <x v="5"/>
    <x v="5"/>
    <x v="14"/>
    <x v="2"/>
    <n v="90.8"/>
  </r>
  <r>
    <x v="5"/>
    <x v="5"/>
    <x v="14"/>
    <x v="1"/>
    <n v="126.37"/>
  </r>
  <r>
    <x v="5"/>
    <x v="5"/>
    <x v="15"/>
    <x v="3"/>
    <n v="3102.5"/>
  </r>
  <r>
    <x v="5"/>
    <x v="5"/>
    <x v="16"/>
    <x v="0"/>
    <n v="53"/>
  </r>
  <r>
    <x v="5"/>
    <x v="5"/>
    <x v="16"/>
    <x v="1"/>
    <n v="89.63"/>
  </r>
  <r>
    <x v="5"/>
    <x v="5"/>
    <x v="16"/>
    <x v="4"/>
    <n v="0.25"/>
  </r>
  <r>
    <x v="5"/>
    <x v="5"/>
    <x v="18"/>
    <x v="4"/>
    <n v="0.12"/>
  </r>
  <r>
    <x v="6"/>
    <x v="5"/>
    <x v="0"/>
    <x v="5"/>
    <n v="9.5000000000000001E-2"/>
  </r>
  <r>
    <x v="6"/>
    <x v="5"/>
    <x v="0"/>
    <x v="0"/>
    <n v="41"/>
  </r>
  <r>
    <x v="6"/>
    <x v="5"/>
    <x v="1"/>
    <x v="5"/>
    <n v="0.95"/>
  </r>
  <r>
    <x v="6"/>
    <x v="5"/>
    <x v="1"/>
    <x v="0"/>
    <n v="5"/>
  </r>
  <r>
    <x v="6"/>
    <x v="5"/>
    <x v="3"/>
    <x v="4"/>
    <m/>
  </r>
  <r>
    <x v="6"/>
    <x v="5"/>
    <x v="4"/>
    <x v="5"/>
    <n v="0.08"/>
  </r>
  <r>
    <x v="6"/>
    <x v="5"/>
    <x v="4"/>
    <x v="0"/>
    <n v="40.5"/>
  </r>
  <r>
    <x v="6"/>
    <x v="5"/>
    <x v="17"/>
    <x v="4"/>
    <n v="0.35"/>
  </r>
  <r>
    <x v="6"/>
    <x v="5"/>
    <x v="8"/>
    <x v="5"/>
    <n v="0.10100000000000001"/>
  </r>
  <r>
    <x v="6"/>
    <x v="5"/>
    <x v="8"/>
    <x v="0"/>
    <n v="51"/>
  </r>
  <r>
    <x v="6"/>
    <x v="5"/>
    <x v="11"/>
    <x v="4"/>
    <m/>
  </r>
  <r>
    <x v="6"/>
    <x v="5"/>
    <x v="15"/>
    <x v="3"/>
    <n v="3103"/>
  </r>
  <r>
    <x v="6"/>
    <x v="5"/>
    <x v="16"/>
    <x v="5"/>
    <n v="0.3"/>
  </r>
  <r>
    <x v="6"/>
    <x v="5"/>
    <x v="16"/>
    <x v="4"/>
    <n v="0.25"/>
  </r>
  <r>
    <x v="6"/>
    <x v="5"/>
    <x v="18"/>
    <x v="4"/>
    <n v="0.1"/>
  </r>
  <r>
    <x v="6"/>
    <x v="6"/>
    <x v="0"/>
    <x v="5"/>
    <n v="9.8000000000000004E-2"/>
  </r>
  <r>
    <x v="6"/>
    <x v="6"/>
    <x v="0"/>
    <x v="0"/>
    <n v="40.5"/>
  </r>
  <r>
    <x v="6"/>
    <x v="6"/>
    <x v="0"/>
    <x v="1"/>
    <n v="126.13"/>
  </r>
  <r>
    <x v="6"/>
    <x v="6"/>
    <x v="1"/>
    <x v="5"/>
    <n v="0.97499999999999998"/>
  </r>
  <r>
    <x v="6"/>
    <x v="6"/>
    <x v="1"/>
    <x v="0"/>
    <n v="2.5"/>
  </r>
  <r>
    <x v="6"/>
    <x v="6"/>
    <x v="3"/>
    <x v="0"/>
    <n v="100.74"/>
  </r>
  <r>
    <x v="6"/>
    <x v="6"/>
    <x v="3"/>
    <x v="2"/>
    <n v="90.84"/>
  </r>
  <r>
    <x v="6"/>
    <x v="6"/>
    <x v="3"/>
    <x v="1"/>
    <n v="134.47999999999999"/>
  </r>
  <r>
    <x v="6"/>
    <x v="6"/>
    <x v="3"/>
    <x v="4"/>
    <m/>
  </r>
  <r>
    <x v="6"/>
    <x v="6"/>
    <x v="4"/>
    <x v="5"/>
    <n v="0.1"/>
  </r>
  <r>
    <x v="6"/>
    <x v="6"/>
    <x v="4"/>
    <x v="0"/>
    <n v="41.45"/>
  </r>
  <r>
    <x v="6"/>
    <x v="6"/>
    <x v="4"/>
    <x v="1"/>
    <n v="129.65"/>
  </r>
  <r>
    <x v="6"/>
    <x v="6"/>
    <x v="5"/>
    <x v="3"/>
    <n v="3.4"/>
  </r>
  <r>
    <x v="6"/>
    <x v="6"/>
    <x v="6"/>
    <x v="3"/>
    <n v="0.9"/>
  </r>
  <r>
    <x v="6"/>
    <x v="6"/>
    <x v="17"/>
    <x v="4"/>
    <n v="0.25"/>
  </r>
  <r>
    <x v="6"/>
    <x v="6"/>
    <x v="7"/>
    <x v="0"/>
    <n v="0"/>
  </r>
  <r>
    <x v="6"/>
    <x v="6"/>
    <x v="7"/>
    <x v="1"/>
    <n v="3.6"/>
  </r>
  <r>
    <x v="6"/>
    <x v="6"/>
    <x v="8"/>
    <x v="5"/>
    <n v="0.10150000000000001"/>
  </r>
  <r>
    <x v="6"/>
    <x v="6"/>
    <x v="8"/>
    <x v="0"/>
    <n v="50"/>
  </r>
  <r>
    <x v="6"/>
    <x v="6"/>
    <x v="8"/>
    <x v="1"/>
    <n v="81.510000000000005"/>
  </r>
  <r>
    <x v="6"/>
    <x v="6"/>
    <x v="9"/>
    <x v="0"/>
    <n v="79.98"/>
  </r>
  <r>
    <x v="6"/>
    <x v="6"/>
    <x v="9"/>
    <x v="1"/>
    <n v="105.5"/>
  </r>
  <r>
    <x v="6"/>
    <x v="6"/>
    <x v="10"/>
    <x v="1"/>
    <n v="78.83"/>
  </r>
  <r>
    <x v="6"/>
    <x v="6"/>
    <x v="11"/>
    <x v="0"/>
    <n v="100.14"/>
  </r>
  <r>
    <x v="6"/>
    <x v="6"/>
    <x v="11"/>
    <x v="2"/>
    <n v="90.21"/>
  </r>
  <r>
    <x v="6"/>
    <x v="6"/>
    <x v="11"/>
    <x v="1"/>
    <n v="122.48"/>
  </r>
  <r>
    <x v="6"/>
    <x v="6"/>
    <x v="11"/>
    <x v="4"/>
    <m/>
  </r>
  <r>
    <x v="6"/>
    <x v="6"/>
    <x v="12"/>
    <x v="0"/>
    <n v="98.06"/>
  </r>
  <r>
    <x v="6"/>
    <x v="6"/>
    <x v="12"/>
    <x v="1"/>
    <n v="122.48"/>
  </r>
  <r>
    <x v="6"/>
    <x v="6"/>
    <x v="13"/>
    <x v="1"/>
    <n v="120"/>
  </r>
  <r>
    <x v="6"/>
    <x v="6"/>
    <x v="14"/>
    <x v="2"/>
    <n v="90.8"/>
  </r>
  <r>
    <x v="6"/>
    <x v="6"/>
    <x v="14"/>
    <x v="1"/>
    <n v="126.37"/>
  </r>
  <r>
    <x v="6"/>
    <x v="6"/>
    <x v="15"/>
    <x v="3"/>
    <n v="3103"/>
  </r>
  <r>
    <x v="6"/>
    <x v="6"/>
    <x v="16"/>
    <x v="5"/>
    <n v="0.35"/>
  </r>
  <r>
    <x v="6"/>
    <x v="6"/>
    <x v="16"/>
    <x v="0"/>
    <n v="48"/>
  </r>
  <r>
    <x v="6"/>
    <x v="6"/>
    <x v="16"/>
    <x v="1"/>
    <n v="89.63"/>
  </r>
  <r>
    <x v="6"/>
    <x v="6"/>
    <x v="16"/>
    <x v="4"/>
    <n v="0.18"/>
  </r>
  <r>
    <x v="6"/>
    <x v="6"/>
    <x v="18"/>
    <x v="4"/>
    <n v="0.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F387EE2-D564-406F-852D-91FA3952D376}" name="PivotTable5" cacheId="3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2:AJ67" firstHeaderRow="1" firstDataRow="2" firstDataCol="3"/>
  <pivotFields count="7">
    <pivotField axis="axisRow" compact="0" outline="0" showAll="0" defaultSubtotal="0">
      <items count="4">
        <item h="1" x="0"/>
        <item x="3"/>
        <item x="1"/>
        <item x="2"/>
      </items>
    </pivotField>
    <pivotField compact="0" outline="0" showAll="0">
      <items count="27">
        <item x="4"/>
        <item x="5"/>
        <item x="0"/>
        <item x="6"/>
        <item x="7"/>
        <item x="8"/>
        <item x="1"/>
        <item x="9"/>
        <item x="10"/>
        <item x="11"/>
        <item x="12"/>
        <item x="13"/>
        <item x="14"/>
        <item x="2"/>
        <item x="15"/>
        <item x="16"/>
        <item x="17"/>
        <item x="18"/>
        <item x="19"/>
        <item x="20"/>
        <item x="21"/>
        <item x="22"/>
        <item h="1" x="23"/>
        <item x="24"/>
        <item x="25"/>
        <item h="1" x="3"/>
        <item t="default"/>
      </items>
    </pivotField>
    <pivotField axis="axisCol" compact="0" outline="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dataField="1" compact="0" outline="0" showAll="0"/>
    <pivotField compact="0" outline="0" showAll="0"/>
    <pivotField axis="axisRow" compact="0" outline="0" showAll="0">
      <items count="6">
        <item x="4"/>
        <item x="3"/>
        <item x="0"/>
        <item x="1"/>
        <item x="2"/>
        <item t="default"/>
      </items>
    </pivotField>
    <pivotField axis="axisRow" compact="0" outline="0" showAll="0" defaultSubtotal="0">
      <items count="23">
        <item x="3"/>
        <item x="4"/>
        <item x="0"/>
        <item x="5"/>
        <item x="6"/>
        <item x="7"/>
        <item x="1"/>
        <item n="Electricity_Off" x="20"/>
        <item x="8"/>
        <item n="Electricity_Res" x="21"/>
        <item x="2"/>
        <item x="9"/>
        <item x="10"/>
        <item x="11"/>
        <item x="12"/>
        <item x="13"/>
        <item x="14"/>
        <item x="15"/>
        <item x="16"/>
        <item h="1" x="17"/>
        <item x="19"/>
        <item x="18"/>
        <item h="1" x="22"/>
      </items>
    </pivotField>
  </pivotFields>
  <rowFields count="3">
    <field x="0"/>
    <field x="5"/>
    <field x="6"/>
  </rowFields>
  <rowItems count="64">
    <i>
      <x v="1"/>
      <x/>
      <x v="3"/>
    </i>
    <i r="2">
      <x v="4"/>
    </i>
    <i r="2">
      <x v="5"/>
    </i>
    <i r="2">
      <x v="17"/>
    </i>
    <i r="2">
      <x v="18"/>
    </i>
    <i t="default" r="1">
      <x/>
    </i>
    <i r="1">
      <x v="1"/>
      <x/>
    </i>
    <i r="2">
      <x v="1"/>
    </i>
    <i r="2">
      <x v="2"/>
    </i>
    <i r="2">
      <x v="6"/>
    </i>
    <i r="2">
      <x v="7"/>
    </i>
    <i r="2">
      <x v="8"/>
    </i>
    <i r="2">
      <x v="11"/>
    </i>
    <i r="2">
      <x v="12"/>
    </i>
    <i r="2">
      <x v="13"/>
    </i>
    <i r="2">
      <x v="14"/>
    </i>
    <i r="2">
      <x v="15"/>
    </i>
    <i r="2">
      <x v="16"/>
    </i>
    <i r="2">
      <x v="20"/>
    </i>
    <i r="2">
      <x v="21"/>
    </i>
    <i t="default" r="1">
      <x v="1"/>
    </i>
    <i>
      <x v="2"/>
      <x/>
      <x v="3"/>
    </i>
    <i r="2">
      <x v="4"/>
    </i>
    <i r="2">
      <x v="5"/>
    </i>
    <i r="2">
      <x v="17"/>
    </i>
    <i r="2">
      <x v="18"/>
    </i>
    <i t="default" r="1">
      <x/>
    </i>
    <i r="1">
      <x v="1"/>
      <x/>
    </i>
    <i r="2">
      <x v="1"/>
    </i>
    <i r="2">
      <x v="2"/>
    </i>
    <i r="2">
      <x v="6"/>
    </i>
    <i r="2">
      <x v="7"/>
    </i>
    <i r="2">
      <x v="8"/>
    </i>
    <i r="2">
      <x v="9"/>
    </i>
    <i r="2">
      <x v="11"/>
    </i>
    <i r="2">
      <x v="12"/>
    </i>
    <i r="2">
      <x v="13"/>
    </i>
    <i r="2">
      <x v="14"/>
    </i>
    <i r="2">
      <x v="15"/>
    </i>
    <i r="2">
      <x v="16"/>
    </i>
    <i r="2">
      <x v="20"/>
    </i>
    <i r="2">
      <x v="21"/>
    </i>
    <i t="default" r="1">
      <x v="1"/>
    </i>
    <i>
      <x v="3"/>
      <x/>
      <x v="3"/>
    </i>
    <i r="2">
      <x v="4"/>
    </i>
    <i r="2">
      <x v="5"/>
    </i>
    <i r="2">
      <x v="17"/>
    </i>
    <i r="2">
      <x v="18"/>
    </i>
    <i t="default" r="1">
      <x/>
    </i>
    <i r="1">
      <x v="1"/>
      <x/>
    </i>
    <i r="2">
      <x v="1"/>
    </i>
    <i r="2">
      <x v="2"/>
    </i>
    <i r="2">
      <x v="6"/>
    </i>
    <i r="2">
      <x v="7"/>
    </i>
    <i r="2">
      <x v="8"/>
    </i>
    <i r="2">
      <x v="11"/>
    </i>
    <i r="2">
      <x v="12"/>
    </i>
    <i r="2">
      <x v="13"/>
    </i>
    <i r="2">
      <x v="14"/>
    </i>
    <i r="2">
      <x v="15"/>
    </i>
    <i r="2">
      <x v="16"/>
    </i>
    <i r="2">
      <x v="20"/>
    </i>
    <i r="2">
      <x v="21"/>
    </i>
    <i t="default" r="1">
      <x v="1"/>
    </i>
  </rowItems>
  <colFields count="1">
    <field x="2"/>
  </colFields>
  <col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x v="28"/>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064CB12-3B85-4CD2-B867-A0873E713C4E}" name="PivotTable4" cacheId="3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E167:AJ171" firstHeaderRow="1" firstDataRow="2" firstDataCol="3"/>
  <pivotFields count="7">
    <pivotField axis="axisRow" compact="0" outline="0" showAll="0" defaultSubtotal="0">
      <items count="4">
        <item x="0"/>
        <item h="1" x="3"/>
        <item h="1" x="1"/>
        <item h="1" x="2"/>
      </items>
    </pivotField>
    <pivotField compact="0" outline="0" showAll="0">
      <items count="27">
        <item x="4"/>
        <item x="5"/>
        <item x="0"/>
        <item x="6"/>
        <item x="7"/>
        <item x="8"/>
        <item x="1"/>
        <item x="9"/>
        <item x="10"/>
        <item x="11"/>
        <item x="12"/>
        <item x="13"/>
        <item x="14"/>
        <item x="2"/>
        <item x="15"/>
        <item x="16"/>
        <item x="17"/>
        <item x="18"/>
        <item x="19"/>
        <item x="20"/>
        <item x="21"/>
        <item x="22"/>
        <item h="1" x="23"/>
        <item x="24"/>
        <item x="25"/>
        <item h="1" x="3"/>
        <item t="default"/>
      </items>
    </pivotField>
    <pivotField axis="axisCol" compact="0" outline="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dataField="1" compact="0" outline="0" showAll="0"/>
    <pivotField compact="0" outline="0" showAll="0"/>
    <pivotField axis="axisRow" compact="0" outline="0" showAll="0" defaultSubtotal="0">
      <items count="5">
        <item x="4"/>
        <item x="3"/>
        <item x="2"/>
        <item x="0"/>
        <item x="1"/>
      </items>
    </pivotField>
    <pivotField axis="axisRow" compact="0" outline="0" showAll="0" defaultSubtotal="0">
      <items count="23">
        <item x="3"/>
        <item x="4"/>
        <item x="0"/>
        <item x="5"/>
        <item x="6"/>
        <item x="7"/>
        <item x="1"/>
        <item n="Electricity_Off" x="20"/>
        <item x="8"/>
        <item n="Electricity_Res" x="21"/>
        <item x="2"/>
        <item x="9"/>
        <item x="10"/>
        <item x="11"/>
        <item x="12"/>
        <item x="13"/>
        <item x="14"/>
        <item x="15"/>
        <item x="16"/>
        <item h="1" x="17"/>
        <item x="19"/>
        <item x="18"/>
        <item h="1" x="22"/>
      </items>
    </pivotField>
  </pivotFields>
  <rowFields count="3">
    <field x="0"/>
    <field x="5"/>
    <field x="6"/>
  </rowFields>
  <rowItems count="3">
    <i>
      <x/>
      <x v="2"/>
      <x v="10"/>
    </i>
    <i r="1">
      <x v="3"/>
      <x v="2"/>
    </i>
    <i r="1">
      <x v="4"/>
      <x v="6"/>
    </i>
  </rowItems>
  <colFields count="1">
    <field x="2"/>
  </colFields>
  <col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x v="28"/>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235981F-8DA6-4E81-A1A2-880F7394B6D4}" name="PivotTable6" cacheId="3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gridDropZones="1" multipleFieldFilters="0" fieldListSortAscending="1">
  <location ref="A4:AF8" firstHeaderRow="1" firstDataRow="2" firstDataCol="3"/>
  <pivotFields count="7">
    <pivotField axis="axisRow" compact="0" outline="0" showAll="0" defaultSubtotal="0">
      <items count="4">
        <item x="0"/>
        <item h="1" x="3"/>
        <item h="1" x="1"/>
        <item h="1" x="2"/>
      </items>
    </pivotField>
    <pivotField compact="0" outline="0" showAll="0">
      <items count="27">
        <item x="4"/>
        <item x="5"/>
        <item x="0"/>
        <item x="6"/>
        <item x="7"/>
        <item x="8"/>
        <item x="1"/>
        <item x="9"/>
        <item x="10"/>
        <item x="11"/>
        <item x="12"/>
        <item x="13"/>
        <item x="14"/>
        <item x="2"/>
        <item x="15"/>
        <item x="16"/>
        <item x="17"/>
        <item x="18"/>
        <item x="19"/>
        <item x="20"/>
        <item x="21"/>
        <item x="22"/>
        <item h="1" x="23"/>
        <item x="24"/>
        <item x="25"/>
        <item h="1" x="3"/>
        <item t="default"/>
      </items>
    </pivotField>
    <pivotField axis="axisCol" compact="0" outline="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dataField="1" compact="0" outline="0" showAll="0"/>
    <pivotField compact="0" outline="0" showAll="0"/>
    <pivotField axis="axisRow" compact="0" outline="0" showAll="0" defaultSubtotal="0">
      <items count="5">
        <item x="4"/>
        <item x="3"/>
        <item x="2"/>
        <item x="0"/>
        <item x="1"/>
      </items>
    </pivotField>
    <pivotField axis="axisRow" compact="0" outline="0" showAll="0" defaultSubtotal="0">
      <items count="23">
        <item x="3"/>
        <item x="4"/>
        <item x="0"/>
        <item x="5"/>
        <item x="6"/>
        <item x="7"/>
        <item x="1"/>
        <item n="Electricity_Off" x="20"/>
        <item x="8"/>
        <item n="Electricity_Res" x="21"/>
        <item x="2"/>
        <item x="9"/>
        <item x="10"/>
        <item x="11"/>
        <item x="12"/>
        <item x="13"/>
        <item x="14"/>
        <item x="15"/>
        <item x="16"/>
        <item h="1" x="17"/>
        <item x="19"/>
        <item x="18"/>
        <item h="1" x="22"/>
      </items>
    </pivotField>
  </pivotFields>
  <rowFields count="3">
    <field x="0"/>
    <field x="5"/>
    <field x="6"/>
  </rowFields>
  <rowItems count="3">
    <i>
      <x/>
      <x v="2"/>
      <x v="10"/>
    </i>
    <i r="1">
      <x v="3"/>
      <x v="2"/>
    </i>
    <i r="1">
      <x v="4"/>
      <x v="6"/>
    </i>
  </rowItems>
  <colFields count="1">
    <field x="2"/>
  </colFields>
  <col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x v="28"/>
    </i>
  </colItems>
  <dataFields count="1">
    <dataField name="Sum of quant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CA60670-F121-47A8-B024-1FB6553A8B93}" name="PivotTable11" cacheId="29"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100:E113" firstHeaderRow="2" firstDataRow="2" firstDataCol="4" rowPageCount="2" colPageCount="1"/>
  <pivotFields count="8">
    <pivotField axis="axisPage" compact="0" outline="0" showAll="0">
      <items count="7">
        <item x="0"/>
        <item x="1"/>
        <item x="2"/>
        <item x="3"/>
        <item x="4"/>
        <item x="5"/>
        <item t="default"/>
      </items>
    </pivotField>
    <pivotField axis="axisRow" compact="0" outline="0" showAll="0" defaultSubtotal="0">
      <items count="186">
        <item m="1" x="139"/>
        <item m="1" x="179"/>
        <item m="1" x="99"/>
        <item m="1" x="142"/>
        <item m="1" x="127"/>
        <item m="1" x="180"/>
        <item m="1" x="124"/>
        <item m="1" x="175"/>
        <item m="1" x="162"/>
        <item m="1" x="109"/>
        <item m="1" x="161"/>
        <item m="1" x="177"/>
        <item m="1" x="167"/>
        <item m="1" x="154"/>
        <item m="1" x="158"/>
        <item m="1" x="111"/>
        <item m="1" x="136"/>
        <item m="1" x="157"/>
        <item m="1" x="150"/>
        <item m="1" x="137"/>
        <item m="1" x="181"/>
        <item m="1" x="115"/>
        <item m="1" x="147"/>
        <item m="1" x="121"/>
        <item m="1" x="171"/>
        <item m="1" x="165"/>
        <item m="1" x="125"/>
        <item m="1" x="100"/>
        <item m="1" x="129"/>
        <item m="1" x="104"/>
        <item m="1" x="148"/>
        <item m="1" x="140"/>
        <item m="1" x="160"/>
        <item m="1" x="132"/>
        <item m="1" x="112"/>
        <item m="1" x="170"/>
        <item m="1" x="152"/>
        <item m="1" x="116"/>
        <item m="1" x="174"/>
        <item m="1" x="102"/>
        <item m="1" x="141"/>
        <item m="1" x="145"/>
        <item m="1" x="105"/>
        <item m="1" x="113"/>
        <item m="1" x="118"/>
        <item m="1" x="153"/>
        <item m="1" x="120"/>
        <item m="1" x="183"/>
        <item m="1" x="169"/>
        <item m="1" x="146"/>
        <item m="1" x="117"/>
        <item m="1" x="156"/>
        <item m="1" x="123"/>
        <item m="1" x="101"/>
        <item m="1" x="130"/>
        <item m="1" x="144"/>
        <item m="1" x="114"/>
        <item m="1" x="173"/>
        <item m="1" x="155"/>
        <item m="1" x="159"/>
        <item m="1" x="110"/>
        <item m="1" x="149"/>
        <item m="1" x="119"/>
        <item m="1" x="178"/>
        <item m="1" x="182"/>
        <item m="1" x="166"/>
        <item m="1" x="168"/>
        <item m="1" x="103"/>
        <item m="1" x="106"/>
        <item m="1" x="128"/>
        <item m="1" x="185"/>
        <item m="1" x="172"/>
        <item m="1" x="176"/>
        <item m="1" x="151"/>
        <item m="1" x="135"/>
        <item m="1" x="131"/>
        <item m="1" x="163"/>
        <item m="1" x="122"/>
        <item m="1" x="138"/>
        <item m="1" x="184"/>
        <item m="1" x="133"/>
        <item m="1" x="107"/>
        <item m="1" x="108"/>
        <item m="1" x="134"/>
        <item m="1" x="143"/>
        <item m="1" x="126"/>
        <item m="1" x="1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outline="0" showAll="0"/>
    <pivotField axis="axisRow" compact="0" outline="0" showAll="0">
      <items count="125">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t="default"/>
      </items>
    </pivotField>
    <pivotField axis="axisRow" compact="0" outline="0" showAll="0" defaultSubtotal="0">
      <items count="43">
        <item m="1" x="37"/>
        <item x="14"/>
        <item x="6"/>
        <item m="1" x="40"/>
        <item x="5"/>
        <item x="7"/>
        <item x="15"/>
        <item m="1" x="42"/>
        <item x="13"/>
        <item x="4"/>
        <item x="24"/>
        <item x="18"/>
        <item x="9"/>
        <item x="20"/>
        <item m="1" x="35"/>
        <item x="19"/>
        <item x="27"/>
        <item x="2"/>
        <item x="12"/>
        <item x="28"/>
        <item x="16"/>
        <item x="0"/>
        <item x="29"/>
        <item x="21"/>
        <item x="17"/>
        <item m="1" x="41"/>
        <item x="3"/>
        <item x="26"/>
        <item m="1" x="33"/>
        <item m="1" x="34"/>
        <item m="1" x="36"/>
        <item x="10"/>
        <item x="11"/>
        <item m="1" x="39"/>
        <item x="23"/>
        <item x="22"/>
        <item m="1" x="38"/>
        <item x="30"/>
        <item x="1"/>
        <item x="25"/>
        <item x="8"/>
        <item m="1" x="32"/>
        <item x="31"/>
      </items>
    </pivotField>
    <pivotField axis="axisPage" compact="0" outline="0" multipleItemSelectionAllowed="1" showAll="0">
      <items count="20">
        <item h="1" x="1"/>
        <item m="1" x="14"/>
        <item x="4"/>
        <item m="1" x="15"/>
        <item m="1" x="11"/>
        <item m="1" x="12"/>
        <item h="1" x="0"/>
        <item m="1" x="13"/>
        <item m="1" x="17"/>
        <item h="1" x="5"/>
        <item h="1" x="3"/>
        <item h="1" x="2"/>
        <item m="1" x="16"/>
        <item m="1" x="18"/>
        <item h="1" x="6"/>
        <item h="1" x="7"/>
        <item h="1" x="8"/>
        <item h="1" x="9"/>
        <item x="10"/>
        <item t="default"/>
      </items>
    </pivotField>
    <pivotField axis="axisRow" compact="0" outline="0" showAll="0" sortType="ascending" defaultSubtotal="0">
      <items count="251">
        <item x="183"/>
        <item x="245"/>
        <item x="182"/>
        <item x="243"/>
        <item x="184"/>
        <item x="224"/>
        <item x="242"/>
        <item x="225"/>
        <item x="246"/>
        <item x="220"/>
        <item x="180"/>
        <item x="223"/>
        <item x="221"/>
        <item x="247"/>
        <item x="135"/>
        <item x="181"/>
        <item x="61"/>
        <item x="144"/>
        <item x="60"/>
        <item x="10"/>
        <item x="101"/>
        <item x="213"/>
        <item x="241"/>
        <item x="231"/>
        <item x="122"/>
        <item x="71"/>
        <item x="58"/>
        <item x="80"/>
        <item x="90"/>
        <item x="196"/>
        <item x="20"/>
        <item x="1"/>
        <item x="172"/>
        <item x="215"/>
        <item x="238"/>
        <item x="106"/>
        <item x="229"/>
        <item x="8"/>
        <item x="79"/>
        <item x="171"/>
        <item x="173"/>
        <item x="96"/>
        <item m="1" x="250"/>
        <item x="105"/>
        <item x="147"/>
        <item x="239"/>
        <item x="78"/>
        <item x="227"/>
        <item x="234"/>
        <item x="126"/>
        <item x="228"/>
        <item x="125"/>
        <item x="18"/>
        <item x="23"/>
        <item x="141"/>
        <item x="192"/>
        <item x="190"/>
        <item x="176"/>
        <item x="92"/>
        <item x="72"/>
        <item x="123"/>
        <item x="232"/>
        <item x="230"/>
        <item x="146"/>
        <item x="65"/>
        <item x="187"/>
        <item x="136"/>
        <item x="98"/>
        <item x="152"/>
        <item x="199"/>
        <item x="45"/>
        <item x="132"/>
        <item x="88"/>
        <item x="143"/>
        <item x="210"/>
        <item x="127"/>
        <item x="91"/>
        <item x="70"/>
        <item x="95"/>
        <item x="216"/>
        <item x="218"/>
        <item x="168"/>
        <item x="62"/>
        <item x="186"/>
        <item x="9"/>
        <item x="193"/>
        <item m="1" x="249"/>
        <item x="145"/>
        <item x="68"/>
        <item x="69"/>
        <item x="166"/>
        <item x="118"/>
        <item x="188"/>
        <item x="219"/>
        <item x="189"/>
        <item x="244"/>
        <item x="233"/>
        <item x="102"/>
        <item x="139"/>
        <item x="67"/>
        <item x="117"/>
        <item x="124"/>
        <item x="131"/>
        <item x="81"/>
        <item x="119"/>
        <item x="175"/>
        <item x="170"/>
        <item x="163"/>
        <item x="211"/>
        <item x="158"/>
        <item x="165"/>
        <item x="174"/>
        <item x="203"/>
        <item x="222"/>
        <item x="207"/>
        <item x="217"/>
        <item x="167"/>
        <item x="169"/>
        <item m="1" x="248"/>
        <item x="198"/>
        <item x="128"/>
        <item x="212"/>
        <item x="159"/>
        <item x="208"/>
        <item x="160"/>
        <item x="19"/>
        <item x="209"/>
        <item x="161"/>
        <item x="7"/>
        <item x="107"/>
        <item x="114"/>
        <item x="153"/>
        <item x="157"/>
        <item x="206"/>
        <item x="201"/>
        <item x="21"/>
        <item x="121"/>
        <item x="87"/>
        <item x="22"/>
        <item x="46"/>
        <item x="237"/>
        <item x="226"/>
        <item x="63"/>
        <item x="73"/>
        <item x="197"/>
        <item x="200"/>
        <item x="97"/>
        <item x="109"/>
        <item x="112"/>
        <item x="48"/>
        <item x="108"/>
        <item x="4"/>
        <item x="120"/>
        <item x="150"/>
        <item x="99"/>
        <item x="83"/>
        <item x="154"/>
        <item x="24"/>
        <item x="191"/>
        <item x="151"/>
        <item x="142"/>
        <item x="164"/>
        <item x="5"/>
        <item x="205"/>
        <item x="116"/>
        <item x="195"/>
        <item x="100"/>
        <item x="115"/>
        <item x="82"/>
        <item x="75"/>
        <item x="214"/>
        <item x="148"/>
        <item x="49"/>
        <item x="104"/>
        <item x="178"/>
        <item x="89"/>
        <item x="140"/>
        <item x="57"/>
        <item x="149"/>
        <item x="6"/>
        <item x="26"/>
        <item x="162"/>
        <item x="194"/>
        <item x="11"/>
        <item x="86"/>
        <item x="103"/>
        <item x="16"/>
        <item x="94"/>
        <item x="236"/>
        <item x="29"/>
        <item x="33"/>
        <item x="55"/>
        <item x="53"/>
        <item x="177"/>
        <item x="137"/>
        <item x="74"/>
        <item x="36"/>
        <item x="111"/>
        <item x="110"/>
        <item x="44"/>
        <item x="2"/>
        <item x="155"/>
        <item x="84"/>
        <item x="202"/>
        <item x="59"/>
        <item x="235"/>
        <item x="76"/>
        <item x="54"/>
        <item x="134"/>
        <item x="156"/>
        <item x="204"/>
        <item x="77"/>
        <item x="64"/>
        <item x="41"/>
        <item x="28"/>
        <item x="85"/>
        <item x="113"/>
        <item x="93"/>
        <item x="14"/>
        <item x="34"/>
        <item x="3"/>
        <item x="15"/>
        <item x="0"/>
        <item x="52"/>
        <item x="25"/>
        <item x="42"/>
        <item x="66"/>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12">
    <i>
      <x v="5"/>
      <x v="39"/>
      <x v="160"/>
      <x v="117"/>
    </i>
    <i>
      <x v="7"/>
      <x v="39"/>
      <x v="160"/>
      <x v="118"/>
    </i>
    <i>
      <x v="9"/>
      <x v="38"/>
      <x v="160"/>
      <x v="71"/>
    </i>
    <i>
      <x v="11"/>
      <x v="39"/>
      <x v="160"/>
      <x v="15"/>
    </i>
    <i>
      <x v="12"/>
      <x v="39"/>
      <x v="160"/>
      <x v="116"/>
    </i>
    <i>
      <x v="45"/>
      <x v="5"/>
      <x v="161"/>
      <x v="84"/>
    </i>
    <i>
      <x v="95"/>
      <x v="15"/>
      <x v="183"/>
      <x v="6"/>
    </i>
    <i>
      <x v="113"/>
      <x v="35"/>
      <x v="160"/>
      <x v="30"/>
    </i>
    <i>
      <x v="174"/>
      <x v="27"/>
      <x v="169"/>
      <x v="46"/>
    </i>
    <i>
      <x v="188"/>
      <x v="13"/>
      <x v="147"/>
      <x v="57"/>
    </i>
    <i>
      <x v="243"/>
      <x v="27"/>
      <x v="169"/>
      <x v="52"/>
    </i>
    <i t="grand">
      <x/>
    </i>
  </rowItems>
  <colItems count="1">
    <i/>
  </colItems>
  <pageFields count="2">
    <pageField fld="5" hier="-1"/>
    <pageField fld="0" item="5"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04B7840-9C80-4876-B97E-397C2D8AA826}" name="PivotTable10" cacheId="29"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81:E92" firstHeaderRow="2" firstDataRow="2" firstDataCol="4" rowPageCount="2" colPageCount="1"/>
  <pivotFields count="8">
    <pivotField axis="axisPage" compact="0" outline="0" showAll="0">
      <items count="7">
        <item x="0"/>
        <item x="1"/>
        <item x="2"/>
        <item x="3"/>
        <item x="4"/>
        <item x="5"/>
        <item t="default"/>
      </items>
    </pivotField>
    <pivotField axis="axisRow" compact="0" outline="0" showAll="0" defaultSubtotal="0">
      <items count="186">
        <item m="1" x="139"/>
        <item m="1" x="179"/>
        <item m="1" x="99"/>
        <item m="1" x="142"/>
        <item m="1" x="127"/>
        <item m="1" x="180"/>
        <item m="1" x="124"/>
        <item m="1" x="175"/>
        <item m="1" x="162"/>
        <item m="1" x="109"/>
        <item m="1" x="161"/>
        <item m="1" x="177"/>
        <item m="1" x="167"/>
        <item m="1" x="154"/>
        <item m="1" x="158"/>
        <item m="1" x="111"/>
        <item m="1" x="136"/>
        <item m="1" x="157"/>
        <item m="1" x="150"/>
        <item m="1" x="137"/>
        <item m="1" x="181"/>
        <item m="1" x="115"/>
        <item m="1" x="147"/>
        <item m="1" x="121"/>
        <item m="1" x="171"/>
        <item m="1" x="165"/>
        <item m="1" x="125"/>
        <item m="1" x="100"/>
        <item m="1" x="129"/>
        <item m="1" x="104"/>
        <item m="1" x="148"/>
        <item m="1" x="140"/>
        <item m="1" x="160"/>
        <item m="1" x="132"/>
        <item m="1" x="112"/>
        <item m="1" x="170"/>
        <item m="1" x="152"/>
        <item m="1" x="116"/>
        <item m="1" x="174"/>
        <item m="1" x="102"/>
        <item m="1" x="141"/>
        <item m="1" x="145"/>
        <item m="1" x="105"/>
        <item m="1" x="113"/>
        <item m="1" x="118"/>
        <item m="1" x="153"/>
        <item m="1" x="120"/>
        <item m="1" x="183"/>
        <item m="1" x="169"/>
        <item m="1" x="146"/>
        <item m="1" x="117"/>
        <item m="1" x="156"/>
        <item m="1" x="123"/>
        <item m="1" x="101"/>
        <item m="1" x="130"/>
        <item m="1" x="144"/>
        <item m="1" x="114"/>
        <item m="1" x="173"/>
        <item m="1" x="155"/>
        <item m="1" x="159"/>
        <item m="1" x="110"/>
        <item m="1" x="149"/>
        <item m="1" x="119"/>
        <item m="1" x="178"/>
        <item m="1" x="182"/>
        <item m="1" x="166"/>
        <item m="1" x="168"/>
        <item m="1" x="103"/>
        <item m="1" x="106"/>
        <item m="1" x="128"/>
        <item m="1" x="185"/>
        <item m="1" x="172"/>
        <item m="1" x="176"/>
        <item m="1" x="151"/>
        <item m="1" x="135"/>
        <item m="1" x="131"/>
        <item m="1" x="163"/>
        <item m="1" x="122"/>
        <item m="1" x="138"/>
        <item m="1" x="184"/>
        <item m="1" x="133"/>
        <item m="1" x="107"/>
        <item m="1" x="108"/>
        <item m="1" x="134"/>
        <item m="1" x="143"/>
        <item m="1" x="126"/>
        <item m="1" x="1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outline="0" showAll="0"/>
    <pivotField axis="axisRow" compact="0" outline="0" showAll="0">
      <items count="125">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t="default"/>
      </items>
    </pivotField>
    <pivotField axis="axisRow" compact="0" outline="0" showAll="0" defaultSubtotal="0">
      <items count="43">
        <item m="1" x="37"/>
        <item x="14"/>
        <item x="6"/>
        <item m="1" x="40"/>
        <item x="5"/>
        <item x="7"/>
        <item x="15"/>
        <item m="1" x="42"/>
        <item x="13"/>
        <item x="4"/>
        <item x="24"/>
        <item x="18"/>
        <item x="9"/>
        <item x="20"/>
        <item m="1" x="35"/>
        <item x="19"/>
        <item x="27"/>
        <item x="2"/>
        <item x="12"/>
        <item x="28"/>
        <item x="16"/>
        <item x="0"/>
        <item x="29"/>
        <item x="21"/>
        <item x="17"/>
        <item m="1" x="41"/>
        <item x="3"/>
        <item x="26"/>
        <item m="1" x="33"/>
        <item m="1" x="34"/>
        <item m="1" x="36"/>
        <item x="10"/>
        <item x="11"/>
        <item m="1" x="39"/>
        <item x="23"/>
        <item x="22"/>
        <item m="1" x="38"/>
        <item x="30"/>
        <item x="1"/>
        <item x="25"/>
        <item x="8"/>
        <item m="1" x="32"/>
        <item x="31"/>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251">
        <item x="183"/>
        <item x="245"/>
        <item x="182"/>
        <item x="243"/>
        <item x="184"/>
        <item x="224"/>
        <item x="242"/>
        <item x="225"/>
        <item x="246"/>
        <item x="220"/>
        <item x="180"/>
        <item x="223"/>
        <item x="221"/>
        <item x="247"/>
        <item x="135"/>
        <item x="181"/>
        <item x="61"/>
        <item x="144"/>
        <item x="60"/>
        <item x="10"/>
        <item x="101"/>
        <item x="213"/>
        <item x="241"/>
        <item x="231"/>
        <item x="122"/>
        <item x="71"/>
        <item x="58"/>
        <item x="80"/>
        <item x="90"/>
        <item x="196"/>
        <item x="20"/>
        <item x="1"/>
        <item x="172"/>
        <item x="215"/>
        <item x="238"/>
        <item x="106"/>
        <item x="229"/>
        <item x="8"/>
        <item x="79"/>
        <item x="171"/>
        <item x="173"/>
        <item x="96"/>
        <item m="1" x="250"/>
        <item x="105"/>
        <item x="147"/>
        <item x="239"/>
        <item x="78"/>
        <item x="227"/>
        <item x="234"/>
        <item x="126"/>
        <item x="228"/>
        <item x="125"/>
        <item x="18"/>
        <item x="23"/>
        <item x="141"/>
        <item x="192"/>
        <item x="190"/>
        <item x="176"/>
        <item x="92"/>
        <item x="72"/>
        <item x="123"/>
        <item x="232"/>
        <item x="230"/>
        <item x="146"/>
        <item x="65"/>
        <item x="187"/>
        <item x="136"/>
        <item x="98"/>
        <item x="152"/>
        <item x="199"/>
        <item x="45"/>
        <item x="132"/>
        <item x="88"/>
        <item x="143"/>
        <item x="210"/>
        <item x="127"/>
        <item x="91"/>
        <item x="70"/>
        <item x="95"/>
        <item x="216"/>
        <item x="218"/>
        <item x="168"/>
        <item x="62"/>
        <item x="186"/>
        <item x="9"/>
        <item x="193"/>
        <item m="1" x="249"/>
        <item x="145"/>
        <item x="68"/>
        <item x="69"/>
        <item x="166"/>
        <item x="118"/>
        <item sd="0" x="188"/>
        <item x="219"/>
        <item x="189"/>
        <item x="244"/>
        <item x="233"/>
        <item x="102"/>
        <item x="139"/>
        <item x="67"/>
        <item x="117"/>
        <item x="124"/>
        <item x="131"/>
        <item x="81"/>
        <item x="119"/>
        <item x="175"/>
        <item x="170"/>
        <item x="163"/>
        <item x="211"/>
        <item x="158"/>
        <item x="165"/>
        <item x="174"/>
        <item x="203"/>
        <item x="222"/>
        <item x="207"/>
        <item x="217"/>
        <item x="167"/>
        <item x="169"/>
        <item m="1" x="248"/>
        <item x="198"/>
        <item x="128"/>
        <item x="212"/>
        <item x="159"/>
        <item x="208"/>
        <item x="160"/>
        <item x="19"/>
        <item x="209"/>
        <item x="161"/>
        <item x="7"/>
        <item x="107"/>
        <item x="114"/>
        <item x="153"/>
        <item x="157"/>
        <item x="206"/>
        <item x="201"/>
        <item x="21"/>
        <item x="121"/>
        <item x="87"/>
        <item x="22"/>
        <item x="46"/>
        <item x="237"/>
        <item x="226"/>
        <item x="63"/>
        <item x="73"/>
        <item x="197"/>
        <item x="200"/>
        <item x="97"/>
        <item x="109"/>
        <item x="112"/>
        <item x="48"/>
        <item x="108"/>
        <item x="4"/>
        <item x="120"/>
        <item x="150"/>
        <item x="99"/>
        <item x="83"/>
        <item x="154"/>
        <item x="24"/>
        <item x="191"/>
        <item x="151"/>
        <item x="142"/>
        <item x="164"/>
        <item x="5"/>
        <item x="205"/>
        <item x="116"/>
        <item x="195"/>
        <item x="100"/>
        <item x="115"/>
        <item x="82"/>
        <item x="75"/>
        <item x="214"/>
        <item x="148"/>
        <item x="49"/>
        <item x="104"/>
        <item x="178"/>
        <item x="89"/>
        <item x="140"/>
        <item x="57"/>
        <item x="149"/>
        <item x="6"/>
        <item x="26"/>
        <item x="162"/>
        <item x="194"/>
        <item x="11"/>
        <item x="86"/>
        <item x="103"/>
        <item x="16"/>
        <item x="94"/>
        <item x="236"/>
        <item x="29"/>
        <item x="33"/>
        <item x="55"/>
        <item x="53"/>
        <item x="177"/>
        <item x="137"/>
        <item x="74"/>
        <item x="36"/>
        <item x="111"/>
        <item x="110"/>
        <item x="44"/>
        <item x="2"/>
        <item x="155"/>
        <item x="84"/>
        <item x="202"/>
        <item x="59"/>
        <item x="235"/>
        <item x="76"/>
        <item x="54"/>
        <item x="134"/>
        <item x="156"/>
        <item x="204"/>
        <item x="77"/>
        <item x="64"/>
        <item x="41"/>
        <item x="28"/>
        <item x="85"/>
        <item x="113"/>
        <item x="93"/>
        <item x="14"/>
        <item x="34"/>
        <item x="3"/>
        <item x="15"/>
        <item x="0"/>
        <item x="52"/>
        <item x="25"/>
        <item x="42"/>
        <item x="66"/>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10">
    <i>
      <x v="48"/>
      <x v="15"/>
      <x v="146"/>
      <x v="34"/>
    </i>
    <i>
      <x v="62"/>
      <x v="15"/>
      <x v="180"/>
      <x v="120"/>
    </i>
    <i>
      <x v="63"/>
      <x v="32"/>
      <x v="102"/>
      <x v="94"/>
    </i>
    <i>
      <x v="83"/>
      <x v="20"/>
      <x v="166"/>
      <x v="27"/>
    </i>
    <i>
      <x v="92"/>
    </i>
    <i>
      <x v="119"/>
      <x v="4"/>
      <x v="168"/>
      <x v="81"/>
    </i>
    <i>
      <x v="144"/>
      <x v="38"/>
      <x v="154"/>
      <x v="11"/>
    </i>
    <i>
      <x v="176"/>
      <x v="42"/>
      <x v="178"/>
      <x v="113"/>
    </i>
    <i>
      <x v="248"/>
      <x v="35"/>
      <x v="180"/>
      <x v="119"/>
    </i>
    <i t="grand">
      <x/>
    </i>
  </rowItems>
  <colItems count="1">
    <i/>
  </colItems>
  <pageFields count="2">
    <pageField fld="5" item="11" hier="-1"/>
    <pageField fld="0" item="5"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9D37197-F3A2-4D26-BB62-581143C3DE61}" name="PivotTable9" cacheId="29"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45:E73" firstHeaderRow="2" firstDataRow="2" firstDataCol="4" rowPageCount="2" colPageCount="1"/>
  <pivotFields count="8">
    <pivotField axis="axisPage" compact="0" outline="0" showAll="0">
      <items count="7">
        <item x="0"/>
        <item x="1"/>
        <item x="2"/>
        <item x="3"/>
        <item x="4"/>
        <item x="5"/>
        <item t="default"/>
      </items>
    </pivotField>
    <pivotField axis="axisRow" compact="0" outline="0" showAll="0" defaultSubtotal="0">
      <items count="186">
        <item m="1" x="139"/>
        <item m="1" x="179"/>
        <item m="1" x="99"/>
        <item m="1" x="142"/>
        <item m="1" x="127"/>
        <item m="1" x="180"/>
        <item m="1" x="124"/>
        <item m="1" x="175"/>
        <item m="1" x="162"/>
        <item m="1" x="109"/>
        <item m="1" x="161"/>
        <item m="1" x="177"/>
        <item m="1" x="167"/>
        <item m="1" x="154"/>
        <item m="1" x="158"/>
        <item m="1" x="111"/>
        <item m="1" x="136"/>
        <item m="1" x="157"/>
        <item m="1" x="150"/>
        <item m="1" x="137"/>
        <item m="1" x="181"/>
        <item m="1" x="115"/>
        <item m="1" x="147"/>
        <item m="1" x="121"/>
        <item m="1" x="171"/>
        <item m="1" x="165"/>
        <item m="1" x="125"/>
        <item m="1" x="100"/>
        <item m="1" x="129"/>
        <item m="1" x="104"/>
        <item m="1" x="148"/>
        <item m="1" x="140"/>
        <item m="1" x="160"/>
        <item m="1" x="132"/>
        <item m="1" x="112"/>
        <item m="1" x="170"/>
        <item m="1" x="152"/>
        <item m="1" x="116"/>
        <item m="1" x="174"/>
        <item m="1" x="102"/>
        <item m="1" x="141"/>
        <item m="1" x="145"/>
        <item m="1" x="105"/>
        <item m="1" x="113"/>
        <item m="1" x="118"/>
        <item m="1" x="153"/>
        <item m="1" x="120"/>
        <item m="1" x="183"/>
        <item m="1" x="169"/>
        <item m="1" x="146"/>
        <item m="1" x="117"/>
        <item m="1" x="156"/>
        <item m="1" x="123"/>
        <item m="1" x="101"/>
        <item m="1" x="130"/>
        <item m="1" x="144"/>
        <item m="1" x="114"/>
        <item m="1" x="173"/>
        <item m="1" x="155"/>
        <item m="1" x="159"/>
        <item m="1" x="110"/>
        <item m="1" x="149"/>
        <item m="1" x="119"/>
        <item m="1" x="178"/>
        <item m="1" x="182"/>
        <item m="1" x="166"/>
        <item m="1" x="168"/>
        <item m="1" x="103"/>
        <item m="1" x="106"/>
        <item m="1" x="128"/>
        <item m="1" x="185"/>
        <item m="1" x="172"/>
        <item m="1" x="176"/>
        <item m="1" x="151"/>
        <item m="1" x="135"/>
        <item m="1" x="131"/>
        <item m="1" x="163"/>
        <item m="1" x="122"/>
        <item m="1" x="138"/>
        <item m="1" x="184"/>
        <item m="1" x="133"/>
        <item m="1" x="107"/>
        <item m="1" x="108"/>
        <item m="1" x="134"/>
        <item m="1" x="143"/>
        <item m="1" x="126"/>
        <item m="1" x="1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outline="0" showAll="0"/>
    <pivotField axis="axisRow" compact="0" outline="0" showAll="0">
      <items count="125">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t="default"/>
      </items>
    </pivotField>
    <pivotField axis="axisRow" compact="0" outline="0" showAll="0" defaultSubtotal="0">
      <items count="43">
        <item m="1" x="37"/>
        <item x="14"/>
        <item x="6"/>
        <item m="1" x="40"/>
        <item x="5"/>
        <item x="7"/>
        <item x="15"/>
        <item m="1" x="42"/>
        <item x="13"/>
        <item x="4"/>
        <item x="24"/>
        <item x="18"/>
        <item x="9"/>
        <item x="20"/>
        <item m="1" x="35"/>
        <item x="19"/>
        <item x="27"/>
        <item x="2"/>
        <item x="12"/>
        <item x="28"/>
        <item x="16"/>
        <item x="0"/>
        <item x="29"/>
        <item x="21"/>
        <item x="17"/>
        <item m="1" x="41"/>
        <item x="3"/>
        <item x="26"/>
        <item m="1" x="33"/>
        <item m="1" x="34"/>
        <item m="1" x="36"/>
        <item x="10"/>
        <item x="11"/>
        <item m="1" x="39"/>
        <item x="23"/>
        <item x="22"/>
        <item m="1" x="38"/>
        <item x="30"/>
        <item x="1"/>
        <item x="25"/>
        <item x="8"/>
        <item m="1" x="32"/>
        <item x="31"/>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251">
        <item x="183"/>
        <item x="245"/>
        <item x="182"/>
        <item x="243"/>
        <item x="184"/>
        <item x="224"/>
        <item x="242"/>
        <item x="225"/>
        <item x="246"/>
        <item x="220"/>
        <item x="180"/>
        <item x="223"/>
        <item x="221"/>
        <item x="247"/>
        <item x="135"/>
        <item x="181"/>
        <item x="61"/>
        <item x="144"/>
        <item x="60"/>
        <item x="10"/>
        <item x="101"/>
        <item x="213"/>
        <item x="241"/>
        <item x="231"/>
        <item x="122"/>
        <item x="71"/>
        <item x="58"/>
        <item x="80"/>
        <item x="90"/>
        <item x="196"/>
        <item x="20"/>
        <item x="1"/>
        <item x="172"/>
        <item x="215"/>
        <item x="238"/>
        <item x="106"/>
        <item x="229"/>
        <item x="8"/>
        <item x="79"/>
        <item x="171"/>
        <item x="173"/>
        <item x="96"/>
        <item m="1" x="250"/>
        <item x="105"/>
        <item x="147"/>
        <item x="239"/>
        <item x="78"/>
        <item x="227"/>
        <item x="234"/>
        <item x="126"/>
        <item x="228"/>
        <item x="125"/>
        <item x="18"/>
        <item x="23"/>
        <item x="141"/>
        <item x="192"/>
        <item x="190"/>
        <item x="176"/>
        <item x="92"/>
        <item x="72"/>
        <item x="123"/>
        <item x="232"/>
        <item x="230"/>
        <item x="146"/>
        <item x="65"/>
        <item x="187"/>
        <item x="136"/>
        <item x="98"/>
        <item x="152"/>
        <item x="199"/>
        <item x="45"/>
        <item x="132"/>
        <item x="88"/>
        <item x="143"/>
        <item x="210"/>
        <item x="127"/>
        <item x="91"/>
        <item x="70"/>
        <item x="95"/>
        <item x="216"/>
        <item x="218"/>
        <item x="168"/>
        <item x="62"/>
        <item x="186"/>
        <item x="9"/>
        <item x="193"/>
        <item m="1" x="249"/>
        <item x="145"/>
        <item x="68"/>
        <item x="69"/>
        <item x="166"/>
        <item x="118"/>
        <item x="188"/>
        <item x="219"/>
        <item x="189"/>
        <item x="244"/>
        <item x="233"/>
        <item x="102"/>
        <item x="139"/>
        <item x="67"/>
        <item x="117"/>
        <item x="124"/>
        <item x="131"/>
        <item x="81"/>
        <item x="119"/>
        <item x="175"/>
        <item x="170"/>
        <item x="163"/>
        <item x="211"/>
        <item x="158"/>
        <item x="165"/>
        <item x="174"/>
        <item x="203"/>
        <item x="222"/>
        <item x="207"/>
        <item x="217"/>
        <item x="167"/>
        <item x="169"/>
        <item m="1" x="248"/>
        <item x="198"/>
        <item x="128"/>
        <item x="212"/>
        <item x="159"/>
        <item x="208"/>
        <item x="160"/>
        <item x="19"/>
        <item x="209"/>
        <item x="161"/>
        <item x="7"/>
        <item x="107"/>
        <item x="114"/>
        <item x="153"/>
        <item x="157"/>
        <item x="206"/>
        <item x="201"/>
        <item x="21"/>
        <item x="121"/>
        <item x="87"/>
        <item x="22"/>
        <item x="46"/>
        <item x="237"/>
        <item x="226"/>
        <item x="63"/>
        <item x="73"/>
        <item x="197"/>
        <item x="200"/>
        <item x="97"/>
        <item x="109"/>
        <item x="112"/>
        <item x="48"/>
        <item x="108"/>
        <item x="4"/>
        <item x="120"/>
        <item x="150"/>
        <item x="99"/>
        <item x="83"/>
        <item x="154"/>
        <item x="24"/>
        <item x="191"/>
        <item x="151"/>
        <item x="142"/>
        <item x="164"/>
        <item x="5"/>
        <item x="205"/>
        <item x="116"/>
        <item x="195"/>
        <item x="100"/>
        <item x="115"/>
        <item x="82"/>
        <item x="75"/>
        <item x="214"/>
        <item x="148"/>
        <item x="49"/>
        <item x="104"/>
        <item x="178"/>
        <item x="89"/>
        <item x="140"/>
        <item x="57"/>
        <item x="149"/>
        <item x="6"/>
        <item x="26"/>
        <item x="162"/>
        <item x="194"/>
        <item x="11"/>
        <item x="86"/>
        <item x="103"/>
        <item x="16"/>
        <item x="94"/>
        <item x="236"/>
        <item x="29"/>
        <item x="33"/>
        <item x="55"/>
        <item x="53"/>
        <item x="177"/>
        <item x="137"/>
        <item x="74"/>
        <item x="36"/>
        <item x="111"/>
        <item x="110"/>
        <item x="44"/>
        <item x="2"/>
        <item x="155"/>
        <item x="84"/>
        <item x="202"/>
        <item x="59"/>
        <item x="235"/>
        <item x="76"/>
        <item x="54"/>
        <item x="134"/>
        <item x="156"/>
        <item x="204"/>
        <item x="77"/>
        <item x="64"/>
        <item x="41"/>
        <item x="28"/>
        <item x="85"/>
        <item x="113"/>
        <item x="93"/>
        <item x="14"/>
        <item x="34"/>
        <item x="3"/>
        <item x="15"/>
        <item x="0"/>
        <item x="52"/>
        <item x="25"/>
        <item x="42"/>
        <item x="66"/>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27">
    <i>
      <x v="17"/>
      <x v="16"/>
      <x v="172"/>
      <x v="86"/>
    </i>
    <i>
      <x v="20"/>
      <x v="5"/>
      <x v="95"/>
      <x v="26"/>
    </i>
    <i>
      <x v="21"/>
      <x v="4"/>
      <x v="179"/>
      <x v="115"/>
    </i>
    <i>
      <x v="22"/>
      <x v="4"/>
      <x v="181"/>
      <x v="121"/>
    </i>
    <i>
      <x v="23"/>
      <x v="26"/>
      <x v="142"/>
      <x v="85"/>
    </i>
    <i>
      <x v="28"/>
      <x v="11"/>
      <x v="139"/>
      <x v="75"/>
    </i>
    <i>
      <x v="29"/>
      <x v="17"/>
      <x v="104"/>
      <x v="2"/>
    </i>
    <i>
      <x v="33"/>
      <x v="24"/>
      <x v="127"/>
      <x v="38"/>
    </i>
    <i>
      <x v="34"/>
      <x v="18"/>
      <x v="150"/>
      <x v="97"/>
    </i>
    <i>
      <x v="35"/>
      <x v="1"/>
      <x v="106"/>
      <x v="7"/>
    </i>
    <i>
      <x v="36"/>
      <x v="1"/>
      <x v="174"/>
      <x v="23"/>
    </i>
    <i>
      <x v="40"/>
      <x v="19"/>
      <x v="174"/>
      <x v="66"/>
    </i>
    <i>
      <x v="47"/>
      <x v="11"/>
      <x v="139"/>
      <x v="92"/>
    </i>
    <i>
      <x v="50"/>
      <x v="35"/>
      <x v="174"/>
      <x v="18"/>
    </i>
    <i>
      <x v="55"/>
      <x v="10"/>
      <x v="171"/>
      <x v="24"/>
    </i>
    <i>
      <x v="56"/>
      <x v="10"/>
      <x v="167"/>
      <x v="88"/>
    </i>
    <i>
      <x v="61"/>
      <x v="8"/>
      <x v="143"/>
      <x v="61"/>
    </i>
    <i>
      <x v="67"/>
      <x v="8"/>
      <x v="152"/>
      <x v="67"/>
    </i>
    <i>
      <x v="94"/>
      <x v="5"/>
      <x v="170"/>
      <x v="54"/>
    </i>
    <i>
      <x v="110"/>
      <x v="26"/>
      <x v="129"/>
      <x v="106"/>
    </i>
    <i>
      <x v="111"/>
      <x v="5"/>
      <x v="144"/>
      <x v="56"/>
    </i>
    <i>
      <x v="140"/>
      <x v="38"/>
      <x v="149"/>
      <x v="43"/>
    </i>
    <i>
      <x v="153"/>
      <x v="8"/>
      <x v="105"/>
      <x v="90"/>
    </i>
    <i>
      <x v="158"/>
      <x v="8"/>
      <x v="159"/>
      <x v="47"/>
    </i>
    <i>
      <x v="159"/>
      <x v="18"/>
      <x v="105"/>
      <x v="99"/>
    </i>
    <i>
      <x v="175"/>
      <x v="18"/>
      <x v="159"/>
      <x v="51"/>
    </i>
    <i t="grand">
      <x/>
    </i>
  </rowItems>
  <colItems count="1">
    <i/>
  </colItems>
  <pageFields count="2">
    <pageField fld="5" item="0" hier="-1"/>
    <pageField fld="0" item="5"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3D6EF72-22E4-459A-887C-1DA8076C348D}" name="PivotTable8" cacheId="29" applyNumberFormats="0" applyBorderFormats="0" applyFontFormats="0" applyPatternFormats="0" applyAlignmentFormats="0" applyWidthHeightFormats="1" dataCaption="Values" updatedVersion="8" minRefreshableVersion="3" colGrandTotals="0" itemPrintTitles="1" createdVersion="8" indent="0" compact="0" compactData="0" gridDropZones="1" multipleFieldFilters="0" fieldListSortAscending="1">
  <location ref="A4:E37" firstHeaderRow="2" firstDataRow="2" firstDataCol="4" rowPageCount="2" colPageCount="1"/>
  <pivotFields count="8">
    <pivotField axis="axisPage" compact="0" outline="0" showAll="0">
      <items count="7">
        <item x="0"/>
        <item x="1"/>
        <item x="2"/>
        <item x="3"/>
        <item x="4"/>
        <item x="5"/>
        <item t="default"/>
      </items>
    </pivotField>
    <pivotField axis="axisRow" compact="0" outline="0" showAll="0" defaultSubtotal="0">
      <items count="186">
        <item m="1" x="139"/>
        <item m="1" x="179"/>
        <item m="1" x="99"/>
        <item m="1" x="142"/>
        <item m="1" x="127"/>
        <item m="1" x="180"/>
        <item m="1" x="124"/>
        <item m="1" x="175"/>
        <item m="1" x="162"/>
        <item m="1" x="109"/>
        <item m="1" x="161"/>
        <item m="1" x="177"/>
        <item m="1" x="167"/>
        <item m="1" x="154"/>
        <item m="1" x="158"/>
        <item m="1" x="111"/>
        <item m="1" x="136"/>
        <item m="1" x="157"/>
        <item m="1" x="150"/>
        <item m="1" x="137"/>
        <item m="1" x="181"/>
        <item m="1" x="115"/>
        <item m="1" x="147"/>
        <item m="1" x="121"/>
        <item m="1" x="171"/>
        <item m="1" x="165"/>
        <item m="1" x="125"/>
        <item m="1" x="100"/>
        <item m="1" x="129"/>
        <item m="1" x="104"/>
        <item m="1" x="148"/>
        <item m="1" x="140"/>
        <item m="1" x="160"/>
        <item m="1" x="132"/>
        <item m="1" x="112"/>
        <item m="1" x="170"/>
        <item m="1" x="152"/>
        <item m="1" x="116"/>
        <item m="1" x="174"/>
        <item m="1" x="102"/>
        <item m="1" x="141"/>
        <item m="1" x="145"/>
        <item m="1" x="105"/>
        <item m="1" x="113"/>
        <item m="1" x="118"/>
        <item m="1" x="153"/>
        <item m="1" x="120"/>
        <item m="1" x="183"/>
        <item m="1" x="169"/>
        <item m="1" x="146"/>
        <item m="1" x="117"/>
        <item m="1" x="156"/>
        <item m="1" x="123"/>
        <item m="1" x="101"/>
        <item m="1" x="130"/>
        <item m="1" x="144"/>
        <item m="1" x="114"/>
        <item m="1" x="173"/>
        <item m="1" x="155"/>
        <item m="1" x="159"/>
        <item m="1" x="110"/>
        <item m="1" x="149"/>
        <item m="1" x="119"/>
        <item m="1" x="178"/>
        <item m="1" x="182"/>
        <item m="1" x="166"/>
        <item m="1" x="168"/>
        <item m="1" x="103"/>
        <item m="1" x="106"/>
        <item m="1" x="128"/>
        <item m="1" x="185"/>
        <item m="1" x="172"/>
        <item m="1" x="176"/>
        <item m="1" x="151"/>
        <item m="1" x="135"/>
        <item m="1" x="131"/>
        <item m="1" x="163"/>
        <item m="1" x="122"/>
        <item m="1" x="138"/>
        <item m="1" x="184"/>
        <item m="1" x="133"/>
        <item m="1" x="107"/>
        <item m="1" x="108"/>
        <item m="1" x="134"/>
        <item m="1" x="143"/>
        <item m="1" x="126"/>
        <item m="1" x="1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compact="0" outline="0" showAll="0"/>
    <pivotField axis="axisRow" compact="0" outline="0" showAll="0">
      <items count="125">
        <item x="16"/>
        <item x="44"/>
        <item x="20"/>
        <item x="83"/>
        <item x="15"/>
        <item x="108"/>
        <item x="88"/>
        <item x="23"/>
        <item x="68"/>
        <item x="41"/>
        <item x="27"/>
        <item x="76"/>
        <item x="4"/>
        <item x="57"/>
        <item x="5"/>
        <item x="94"/>
        <item x="2"/>
        <item x="24"/>
        <item x="103"/>
        <item x="47"/>
        <item x="35"/>
        <item x="50"/>
        <item x="9"/>
        <item x="104"/>
        <item x="98"/>
        <item x="19"/>
        <item x="10"/>
        <item x="91"/>
        <item x="71"/>
        <item x="38"/>
        <item x="85"/>
        <item x="111"/>
        <item x="59"/>
        <item x="13"/>
        <item x="65"/>
        <item x="34"/>
        <item x="39"/>
        <item x="77"/>
        <item x="45"/>
        <item x="8"/>
        <item x="64"/>
        <item x="12"/>
        <item x="102"/>
        <item x="69"/>
        <item x="37"/>
        <item x="17"/>
        <item x="107"/>
        <item x="84"/>
        <item x="49"/>
        <item x="3"/>
        <item x="101"/>
        <item x="79"/>
        <item x="96"/>
        <item x="30"/>
        <item x="97"/>
        <item x="56"/>
        <item x="63"/>
        <item x="66"/>
        <item x="109"/>
        <item x="54"/>
        <item x="25"/>
        <item x="62"/>
        <item x="46"/>
        <item x="112"/>
        <item x="31"/>
        <item x="36"/>
        <item x="105"/>
        <item x="72"/>
        <item x="28"/>
        <item x="82"/>
        <item x="0"/>
        <item x="95"/>
        <item x="74"/>
        <item x="53"/>
        <item x="110"/>
        <item x="80"/>
        <item x="7"/>
        <item x="73"/>
        <item x="78"/>
        <item x="14"/>
        <item x="40"/>
        <item x="93"/>
        <item x="89"/>
        <item x="90"/>
        <item x="87"/>
        <item x="61"/>
        <item x="99"/>
        <item x="1"/>
        <item x="92"/>
        <item x="106"/>
        <item x="21"/>
        <item x="52"/>
        <item x="58"/>
        <item x="11"/>
        <item x="18"/>
        <item x="75"/>
        <item x="86"/>
        <item x="70"/>
        <item x="51"/>
        <item x="22"/>
        <item x="33"/>
        <item x="6"/>
        <item x="55"/>
        <item x="29"/>
        <item x="60"/>
        <item x="81"/>
        <item x="48"/>
        <item x="32"/>
        <item x="67"/>
        <item x="42"/>
        <item x="43"/>
        <item x="26"/>
        <item x="100"/>
        <item x="113"/>
        <item x="114"/>
        <item x="115"/>
        <item x="116"/>
        <item x="117"/>
        <item x="118"/>
        <item x="119"/>
        <item x="120"/>
        <item x="121"/>
        <item x="122"/>
        <item x="123"/>
        <item t="default"/>
      </items>
    </pivotField>
    <pivotField axis="axisRow" compact="0" outline="0" showAll="0" defaultSubtotal="0">
      <items count="43">
        <item m="1" x="37"/>
        <item x="14"/>
        <item x="6"/>
        <item m="1" x="40"/>
        <item x="5"/>
        <item x="7"/>
        <item x="15"/>
        <item m="1" x="42"/>
        <item x="13"/>
        <item x="4"/>
        <item x="24"/>
        <item x="18"/>
        <item x="9"/>
        <item x="20"/>
        <item m="1" x="35"/>
        <item x="19"/>
        <item x="27"/>
        <item x="2"/>
        <item x="12"/>
        <item x="28"/>
        <item x="16"/>
        <item x="0"/>
        <item x="29"/>
        <item x="21"/>
        <item x="17"/>
        <item m="1" x="41"/>
        <item x="3"/>
        <item x="26"/>
        <item m="1" x="33"/>
        <item m="1" x="34"/>
        <item m="1" x="36"/>
        <item x="10"/>
        <item x="11"/>
        <item m="1" x="39"/>
        <item x="23"/>
        <item x="22"/>
        <item m="1" x="38"/>
        <item x="30"/>
        <item x="1"/>
        <item x="25"/>
        <item x="8"/>
        <item m="1" x="32"/>
        <item x="31"/>
      </items>
    </pivotField>
    <pivotField axis="axisPage" compact="0" outline="0" showAll="0">
      <items count="20">
        <item x="1"/>
        <item m="1" x="14"/>
        <item x="4"/>
        <item m="1" x="15"/>
        <item m="1" x="11"/>
        <item m="1" x="12"/>
        <item x="0"/>
        <item m="1" x="13"/>
        <item m="1" x="17"/>
        <item x="5"/>
        <item x="3"/>
        <item x="2"/>
        <item m="1" x="16"/>
        <item m="1" x="18"/>
        <item x="6"/>
        <item x="7"/>
        <item x="8"/>
        <item x="9"/>
        <item x="10"/>
        <item t="default"/>
      </items>
    </pivotField>
    <pivotField axis="axisRow" compact="0" outline="0" showAll="0" sortType="ascending" defaultSubtotal="0">
      <items count="251">
        <item x="183"/>
        <item x="245"/>
        <item x="182"/>
        <item x="243"/>
        <item x="184"/>
        <item x="224"/>
        <item x="242"/>
        <item x="225"/>
        <item x="246"/>
        <item x="220"/>
        <item x="180"/>
        <item x="223"/>
        <item x="221"/>
        <item x="247"/>
        <item x="135"/>
        <item x="181"/>
        <item x="61"/>
        <item x="144"/>
        <item x="60"/>
        <item x="10"/>
        <item x="101"/>
        <item x="213"/>
        <item x="241"/>
        <item x="231"/>
        <item x="122"/>
        <item x="71"/>
        <item x="58"/>
        <item x="80"/>
        <item x="90"/>
        <item x="196"/>
        <item x="20"/>
        <item x="1"/>
        <item x="172"/>
        <item x="215"/>
        <item x="238"/>
        <item x="106"/>
        <item x="229"/>
        <item x="8"/>
        <item x="79"/>
        <item x="171"/>
        <item x="173"/>
        <item x="96"/>
        <item m="1" x="250"/>
        <item x="105"/>
        <item x="147"/>
        <item x="239"/>
        <item x="78"/>
        <item x="227"/>
        <item x="234"/>
        <item x="126"/>
        <item x="228"/>
        <item x="125"/>
        <item x="18"/>
        <item x="23"/>
        <item x="141"/>
        <item x="192"/>
        <item x="190"/>
        <item x="176"/>
        <item x="92"/>
        <item x="72"/>
        <item x="123"/>
        <item x="232"/>
        <item x="230"/>
        <item x="146"/>
        <item x="65"/>
        <item x="187"/>
        <item x="136"/>
        <item x="98"/>
        <item x="152"/>
        <item x="199"/>
        <item x="45"/>
        <item x="132"/>
        <item x="88"/>
        <item x="143"/>
        <item x="210"/>
        <item x="127"/>
        <item x="91"/>
        <item x="70"/>
        <item x="95"/>
        <item x="216"/>
        <item x="218"/>
        <item x="168"/>
        <item x="62"/>
        <item x="186"/>
        <item x="9"/>
        <item x="193"/>
        <item m="1" x="249"/>
        <item x="145"/>
        <item x="68"/>
        <item x="69"/>
        <item x="166"/>
        <item x="118"/>
        <item x="188"/>
        <item x="219"/>
        <item x="189"/>
        <item x="244"/>
        <item x="233"/>
        <item x="102"/>
        <item x="139"/>
        <item x="67"/>
        <item x="117"/>
        <item x="124"/>
        <item x="131"/>
        <item x="81"/>
        <item x="119"/>
        <item x="175"/>
        <item x="170"/>
        <item x="163"/>
        <item x="211"/>
        <item x="158"/>
        <item x="165"/>
        <item x="174"/>
        <item x="203"/>
        <item x="222"/>
        <item x="207"/>
        <item x="217"/>
        <item x="167"/>
        <item x="169"/>
        <item m="1" x="248"/>
        <item x="198"/>
        <item x="128"/>
        <item x="212"/>
        <item x="159"/>
        <item x="208"/>
        <item x="160"/>
        <item x="19"/>
        <item x="209"/>
        <item x="161"/>
        <item x="7"/>
        <item x="107"/>
        <item x="114"/>
        <item x="153"/>
        <item x="157"/>
        <item x="206"/>
        <item x="201"/>
        <item x="21"/>
        <item x="121"/>
        <item x="87"/>
        <item x="22"/>
        <item x="46"/>
        <item x="237"/>
        <item x="226"/>
        <item x="63"/>
        <item x="73"/>
        <item x="197"/>
        <item x="200"/>
        <item x="97"/>
        <item x="109"/>
        <item x="112"/>
        <item x="48"/>
        <item x="108"/>
        <item x="4"/>
        <item x="120"/>
        <item x="150"/>
        <item x="99"/>
        <item x="83"/>
        <item x="154"/>
        <item x="24"/>
        <item x="191"/>
        <item x="151"/>
        <item x="142"/>
        <item x="164"/>
        <item x="5"/>
        <item x="205"/>
        <item x="116"/>
        <item x="195"/>
        <item x="100"/>
        <item x="115"/>
        <item x="82"/>
        <item x="75"/>
        <item x="214"/>
        <item x="148"/>
        <item x="49"/>
        <item x="104"/>
        <item x="178"/>
        <item x="89"/>
        <item x="140"/>
        <item x="57"/>
        <item x="149"/>
        <item x="6"/>
        <item x="26"/>
        <item x="162"/>
        <item x="194"/>
        <item x="11"/>
        <item x="86"/>
        <item x="103"/>
        <item x="16"/>
        <item x="94"/>
        <item x="236"/>
        <item x="29"/>
        <item x="33"/>
        <item x="55"/>
        <item x="53"/>
        <item x="177"/>
        <item x="137"/>
        <item x="74"/>
        <item x="36"/>
        <item x="111"/>
        <item x="110"/>
        <item x="44"/>
        <item x="2"/>
        <item x="155"/>
        <item x="84"/>
        <item x="202"/>
        <item x="59"/>
        <item x="235"/>
        <item x="76"/>
        <item x="54"/>
        <item x="134"/>
        <item x="156"/>
        <item x="204"/>
        <item x="77"/>
        <item x="64"/>
        <item x="41"/>
        <item x="28"/>
        <item x="85"/>
        <item x="113"/>
        <item x="93"/>
        <item x="14"/>
        <item x="34"/>
        <item x="3"/>
        <item x="15"/>
        <item x="0"/>
        <item x="52"/>
        <item x="25"/>
        <item x="42"/>
        <item x="66"/>
        <item x="51"/>
        <item x="17"/>
        <item x="133"/>
        <item x="12"/>
        <item x="13"/>
        <item x="38"/>
        <item x="50"/>
        <item x="35"/>
        <item x="32"/>
        <item x="40"/>
        <item x="39"/>
        <item x="37"/>
        <item x="27"/>
        <item x="31"/>
        <item x="43"/>
        <item x="179"/>
        <item x="240"/>
        <item x="30"/>
        <item x="47"/>
        <item x="56"/>
        <item x="138"/>
        <item x="130"/>
        <item x="129"/>
        <item x="185"/>
      </items>
    </pivotField>
    <pivotField dataField="1" compact="0" outline="0" showAll="0"/>
  </pivotFields>
  <rowFields count="4">
    <field x="6"/>
    <field x="4"/>
    <field x="1"/>
    <field x="3"/>
  </rowFields>
  <rowItems count="32">
    <i>
      <x v="69"/>
      <x v="31"/>
      <x v="107"/>
      <x v="17"/>
    </i>
    <i>
      <x v="74"/>
      <x v="21"/>
      <x v="155"/>
      <x v="114"/>
    </i>
    <i>
      <x v="79"/>
      <x v="21"/>
      <x v="130"/>
      <x v="48"/>
    </i>
    <i>
      <x v="80"/>
      <x v="21"/>
      <x v="134"/>
      <x v="73"/>
    </i>
    <i>
      <x v="85"/>
      <x v="8"/>
      <x v="153"/>
      <x v="95"/>
    </i>
    <i>
      <x v="93"/>
      <x v="21"/>
      <x v="135"/>
      <x v="59"/>
    </i>
    <i>
      <x v="96"/>
      <x v="20"/>
      <x v="145"/>
      <x v="40"/>
    </i>
    <i>
      <x v="108"/>
      <x v="21"/>
      <x v="155"/>
      <x v="78"/>
    </i>
    <i>
      <x v="112"/>
      <x v="21"/>
      <x v="112"/>
      <x v="103"/>
    </i>
    <i>
      <x v="114"/>
      <x v="8"/>
      <x v="173"/>
      <x v="50"/>
    </i>
    <i>
      <x v="115"/>
      <x v="8"/>
      <x v="131"/>
      <x v="21"/>
    </i>
    <i>
      <x v="121"/>
      <x v="31"/>
      <x v="124"/>
      <x v="109"/>
    </i>
    <i>
      <x v="123"/>
      <x v="31"/>
      <x v="118"/>
      <x v="65"/>
    </i>
    <i>
      <x v="124"/>
      <x v="31"/>
      <x v="119"/>
      <x v="44"/>
    </i>
    <i>
      <x v="126"/>
      <x v="31"/>
      <x v="121"/>
      <x v="37"/>
    </i>
    <i>
      <x v="133"/>
      <x v="8"/>
      <x v="117"/>
      <x v="20"/>
    </i>
    <i>
      <x v="134"/>
      <x v="31"/>
      <x v="110"/>
      <x v="10"/>
    </i>
    <i>
      <x v="141"/>
      <x v="21"/>
      <x v="138"/>
      <x v="13"/>
    </i>
    <i>
      <x v="145"/>
      <x v="6"/>
      <x v="109"/>
      <x v="111"/>
    </i>
    <i>
      <x v="163"/>
      <x v="6"/>
      <x v="115"/>
      <x v="100"/>
    </i>
    <i>
      <x v="165"/>
      <x v="17"/>
      <x v="100"/>
      <x v="4"/>
    </i>
    <i>
      <x v="166"/>
      <x v="26"/>
      <x v="91"/>
      <x v="12"/>
    </i>
    <i>
      <x v="170"/>
      <x v="21"/>
      <x v="126"/>
      <x v="1"/>
    </i>
    <i>
      <x v="182"/>
      <x v="31"/>
      <x v="99"/>
      <x v="79"/>
    </i>
    <i>
      <x v="197"/>
      <x v="31"/>
      <x v="114"/>
      <x v="64"/>
    </i>
    <i>
      <x v="202"/>
      <x v="20"/>
      <x v="122"/>
      <x v="80"/>
    </i>
    <i>
      <x v="203"/>
      <x v="12"/>
      <x v="111"/>
      <x v="68"/>
    </i>
    <i>
      <x v="205"/>
      <x v="31"/>
      <x v="157"/>
      <x v="69"/>
    </i>
    <i>
      <x v="209"/>
      <x v="31"/>
      <x v="114"/>
      <x v="107"/>
    </i>
    <i>
      <x v="210"/>
      <x v="31"/>
      <x v="114"/>
      <x v="45"/>
    </i>
    <i>
      <x v="215"/>
      <x v="17"/>
      <x v="123"/>
      <x v="9"/>
    </i>
    <i t="grand">
      <x/>
    </i>
  </rowItems>
  <colItems count="1">
    <i/>
  </colItems>
  <pageFields count="2">
    <pageField fld="5" item="6" hier="-1"/>
    <pageField fld="0" item="5" hier="-1"/>
  </pageFields>
  <dataFields count="1">
    <dataField name="Sum of Capacity" fld="7" baseField="3" baseItem="78"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A333278-0D30-4333-AD7C-9F5CFE223AB7}" name="PivotTable3" cacheId="3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gridDropZones="1" multipleFieldFilters="0" fieldListSortAscending="1">
  <location ref="A3:N44" firstHeaderRow="1" firstDataRow="3" firstDataCol="2"/>
  <pivotFields count="5">
    <pivotField axis="axisCol" compact="0" outline="0" showAll="0" sortType="descending" defaultSubtotal="0">
      <items count="7">
        <item x="6"/>
        <item x="5"/>
        <item x="4"/>
        <item x="3"/>
        <item x="2"/>
        <item x="1"/>
        <item x="0"/>
      </items>
    </pivotField>
    <pivotField axis="axisCol" compact="0" outline="0" showAll="0" sortType="descending">
      <items count="8">
        <item x="6"/>
        <item x="5"/>
        <item x="4"/>
        <item x="3"/>
        <item x="2"/>
        <item x="1"/>
        <item x="0"/>
        <item t="default"/>
      </items>
    </pivotField>
    <pivotField axis="axisRow" compact="0" outline="0" showAll="0">
      <items count="20">
        <item x="11"/>
        <item x="12"/>
        <item x="8"/>
        <item x="3"/>
        <item x="0"/>
        <item x="1"/>
        <item x="4"/>
        <item x="15"/>
        <item x="5"/>
        <item x="6"/>
        <item x="7"/>
        <item x="9"/>
        <item x="10"/>
        <item x="16"/>
        <item x="13"/>
        <item x="14"/>
        <item x="17"/>
        <item x="18"/>
        <item x="2"/>
        <item t="default"/>
      </items>
    </pivotField>
    <pivotField axis="axisRow" compact="0" outline="0" showAll="0" defaultSubtotal="0">
      <items count="6">
        <item x="1"/>
        <item x="2"/>
        <item x="0"/>
        <item x="3"/>
        <item x="4"/>
        <item x="5"/>
      </items>
    </pivotField>
    <pivotField dataField="1" compact="0" outline="0" showAll="0"/>
  </pivotFields>
  <rowFields count="2">
    <field x="3"/>
    <field x="2"/>
  </rowFields>
  <rowItems count="39">
    <i>
      <x/>
      <x/>
    </i>
    <i r="1">
      <x v="1"/>
    </i>
    <i r="1">
      <x v="2"/>
    </i>
    <i r="1">
      <x v="3"/>
    </i>
    <i r="1">
      <x v="4"/>
    </i>
    <i r="1">
      <x v="6"/>
    </i>
    <i r="1">
      <x v="10"/>
    </i>
    <i r="1">
      <x v="11"/>
    </i>
    <i r="1">
      <x v="12"/>
    </i>
    <i r="1">
      <x v="13"/>
    </i>
    <i r="1">
      <x v="14"/>
    </i>
    <i r="1">
      <x v="15"/>
    </i>
    <i>
      <x v="1"/>
      <x/>
    </i>
    <i r="1">
      <x v="3"/>
    </i>
    <i r="1">
      <x v="15"/>
    </i>
    <i>
      <x v="2"/>
      <x/>
    </i>
    <i r="1">
      <x v="1"/>
    </i>
    <i r="1">
      <x v="2"/>
    </i>
    <i r="1">
      <x v="3"/>
    </i>
    <i r="1">
      <x v="4"/>
    </i>
    <i r="1">
      <x v="5"/>
    </i>
    <i r="1">
      <x v="6"/>
    </i>
    <i r="1">
      <x v="10"/>
    </i>
    <i r="1">
      <x v="11"/>
    </i>
    <i r="1">
      <x v="13"/>
    </i>
    <i r="1">
      <x v="18"/>
    </i>
    <i>
      <x v="3"/>
      <x v="7"/>
    </i>
    <i r="1">
      <x v="8"/>
    </i>
    <i r="1">
      <x v="9"/>
    </i>
    <i>
      <x v="4"/>
      <x/>
    </i>
    <i r="1">
      <x v="3"/>
    </i>
    <i r="1">
      <x v="13"/>
    </i>
    <i r="1">
      <x v="16"/>
    </i>
    <i r="1">
      <x v="17"/>
    </i>
    <i>
      <x v="5"/>
      <x v="2"/>
    </i>
    <i r="1">
      <x v="4"/>
    </i>
    <i r="1">
      <x v="5"/>
    </i>
    <i r="1">
      <x v="6"/>
    </i>
    <i r="1">
      <x v="13"/>
    </i>
  </rowItems>
  <colFields count="2">
    <field x="0"/>
    <field x="1"/>
  </colFields>
  <colItems count="12">
    <i>
      <x/>
      <x/>
    </i>
    <i r="1">
      <x v="1"/>
    </i>
    <i>
      <x v="1"/>
      <x v="1"/>
    </i>
    <i r="1">
      <x v="2"/>
    </i>
    <i>
      <x v="2"/>
      <x v="2"/>
    </i>
    <i r="1">
      <x v="3"/>
    </i>
    <i>
      <x v="3"/>
      <x v="3"/>
    </i>
    <i r="1">
      <x v="4"/>
    </i>
    <i>
      <x v="4"/>
      <x v="4"/>
    </i>
    <i r="1">
      <x v="5"/>
    </i>
    <i>
      <x v="5"/>
      <x v="5"/>
    </i>
    <i>
      <x v="6"/>
      <x v="6"/>
    </i>
  </colItems>
  <dataFields count="1">
    <dataField name="Sum of value" fld="4" baseField="2" baseItem="13" numFmtId="166"/>
  </dataFields>
  <formats count="35">
    <format dxfId="34">
      <pivotArea outline="0" fieldPosition="0">
        <references count="1">
          <reference field="3" count="2" selected="0">
            <x v="4"/>
            <x v="5"/>
          </reference>
        </references>
      </pivotArea>
    </format>
    <format dxfId="33">
      <pivotArea outline="0" fieldPosition="0">
        <references count="4">
          <reference field="0" count="1" selected="0">
            <x v="0"/>
          </reference>
          <reference field="1" count="1" selected="0">
            <x v="0"/>
          </reference>
          <reference field="2" count="12" selected="0">
            <x v="0"/>
            <x v="1"/>
            <x v="2"/>
            <x v="3"/>
            <x v="4"/>
            <x v="6"/>
            <x v="10"/>
            <x v="11"/>
            <x v="12"/>
            <x v="13"/>
            <x v="14"/>
            <x v="15"/>
          </reference>
          <reference field="3" count="1" selected="0">
            <x v="0"/>
          </reference>
        </references>
      </pivotArea>
    </format>
    <format dxfId="32">
      <pivotArea outline="0" fieldPosition="0">
        <references count="4">
          <reference field="0" count="1" selected="0">
            <x v="1"/>
          </reference>
          <reference field="1" count="1" selected="0">
            <x v="1"/>
          </reference>
          <reference field="2" count="12" selected="0">
            <x v="0"/>
            <x v="1"/>
            <x v="2"/>
            <x v="3"/>
            <x v="4"/>
            <x v="6"/>
            <x v="10"/>
            <x v="11"/>
            <x v="12"/>
            <x v="13"/>
            <x v="14"/>
            <x v="15"/>
          </reference>
          <reference field="3" count="1" selected="0">
            <x v="0"/>
          </reference>
        </references>
      </pivotArea>
    </format>
    <format dxfId="31">
      <pivotArea outline="0" fieldPosition="0">
        <references count="4">
          <reference field="0" count="1" selected="0">
            <x v="2"/>
          </reference>
          <reference field="1" count="1" selected="0">
            <x v="2"/>
          </reference>
          <reference field="2" count="12" selected="0">
            <x v="0"/>
            <x v="1"/>
            <x v="2"/>
            <x v="3"/>
            <x v="4"/>
            <x v="6"/>
            <x v="10"/>
            <x v="11"/>
            <x v="12"/>
            <x v="13"/>
            <x v="14"/>
            <x v="15"/>
          </reference>
          <reference field="3" count="1" selected="0">
            <x v="0"/>
          </reference>
        </references>
      </pivotArea>
    </format>
    <format dxfId="30">
      <pivotArea outline="0" fieldPosition="0">
        <references count="4">
          <reference field="0" count="1" selected="0">
            <x v="3"/>
          </reference>
          <reference field="1" count="1" selected="0">
            <x v="3"/>
          </reference>
          <reference field="2" count="12" selected="0">
            <x v="0"/>
            <x v="1"/>
            <x v="2"/>
            <x v="3"/>
            <x v="4"/>
            <x v="6"/>
            <x v="10"/>
            <x v="11"/>
            <x v="12"/>
            <x v="13"/>
            <x v="14"/>
            <x v="15"/>
          </reference>
          <reference field="3" count="1" selected="0">
            <x v="0"/>
          </reference>
        </references>
      </pivotArea>
    </format>
    <format dxfId="29">
      <pivotArea outline="0" fieldPosition="0">
        <references count="4">
          <reference field="0" count="1" selected="0">
            <x v="0"/>
          </reference>
          <reference field="1" count="1" selected="0">
            <x v="0"/>
          </reference>
          <reference field="2" count="3" selected="0">
            <x v="0"/>
            <x v="3"/>
            <x v="15"/>
          </reference>
          <reference field="3" count="1" selected="0">
            <x v="1"/>
          </reference>
        </references>
      </pivotArea>
    </format>
    <format dxfId="28">
      <pivotArea outline="0" fieldPosition="0">
        <references count="4">
          <reference field="0" count="1" selected="0">
            <x v="1"/>
          </reference>
          <reference field="1" count="1" selected="0">
            <x v="1"/>
          </reference>
          <reference field="2" count="3" selected="0">
            <x v="0"/>
            <x v="3"/>
            <x v="15"/>
          </reference>
          <reference field="3" count="1" selected="0">
            <x v="1"/>
          </reference>
        </references>
      </pivotArea>
    </format>
    <format dxfId="27">
      <pivotArea outline="0" fieldPosition="0">
        <references count="4">
          <reference field="0" count="1" selected="0">
            <x v="2"/>
          </reference>
          <reference field="1" count="1" selected="0">
            <x v="2"/>
          </reference>
          <reference field="2" count="3" selected="0">
            <x v="0"/>
            <x v="3"/>
            <x v="15"/>
          </reference>
          <reference field="3" count="1" selected="0">
            <x v="1"/>
          </reference>
        </references>
      </pivotArea>
    </format>
    <format dxfId="26">
      <pivotArea outline="0" fieldPosition="0">
        <references count="4">
          <reference field="0" count="1" selected="0">
            <x v="3"/>
          </reference>
          <reference field="1" count="1" selected="0">
            <x v="3"/>
          </reference>
          <reference field="2" count="3" selected="0">
            <x v="0"/>
            <x v="3"/>
            <x v="15"/>
          </reference>
          <reference field="3" count="1" selected="0">
            <x v="1"/>
          </reference>
        </references>
      </pivotArea>
    </format>
    <format dxfId="25">
      <pivotArea outline="0" fieldPosition="0">
        <references count="4">
          <reference field="0" count="1" selected="0">
            <x v="0"/>
          </reference>
          <reference field="1" count="1" selected="0">
            <x v="0"/>
          </reference>
          <reference field="2" count="11" selected="0">
            <x v="0"/>
            <x v="1"/>
            <x v="2"/>
            <x v="3"/>
            <x v="4"/>
            <x v="5"/>
            <x v="6"/>
            <x v="10"/>
            <x v="11"/>
            <x v="13"/>
            <x v="18"/>
          </reference>
          <reference field="3" count="1" selected="0">
            <x v="2"/>
          </reference>
        </references>
      </pivotArea>
    </format>
    <format dxfId="24">
      <pivotArea outline="0" fieldPosition="0">
        <references count="4">
          <reference field="0" count="1" selected="0">
            <x v="0"/>
          </reference>
          <reference field="1" count="1" selected="0">
            <x v="1"/>
          </reference>
          <reference field="2" count="1" selected="0">
            <x v="2"/>
          </reference>
          <reference field="3" count="1" selected="0">
            <x v="2"/>
          </reference>
        </references>
      </pivotArea>
    </format>
    <format dxfId="23">
      <pivotArea outline="0" fieldPosition="0">
        <references count="4">
          <reference field="0" count="1" selected="0">
            <x v="0"/>
          </reference>
          <reference field="1" count="1" selected="0">
            <x v="1"/>
          </reference>
          <reference field="2" count="1" selected="0">
            <x v="4"/>
          </reference>
          <reference field="3" count="1" selected="0">
            <x v="2"/>
          </reference>
        </references>
      </pivotArea>
    </format>
    <format dxfId="22">
      <pivotArea outline="0" fieldPosition="0">
        <references count="4">
          <reference field="0" count="1" selected="0">
            <x v="0"/>
          </reference>
          <reference field="1" count="1" selected="0">
            <x v="1"/>
          </reference>
          <reference field="2" count="1" selected="0">
            <x v="6"/>
          </reference>
          <reference field="3" count="1" selected="0">
            <x v="2"/>
          </reference>
        </references>
      </pivotArea>
    </format>
    <format dxfId="21">
      <pivotArea outline="0" fieldPosition="0">
        <references count="4">
          <reference field="0" count="1" selected="0">
            <x v="1"/>
          </reference>
          <reference field="1" count="1" selected="0">
            <x v="1"/>
          </reference>
          <reference field="2" count="11" selected="0">
            <x v="0"/>
            <x v="1"/>
            <x v="2"/>
            <x v="3"/>
            <x v="4"/>
            <x v="5"/>
            <x v="6"/>
            <x v="10"/>
            <x v="11"/>
            <x v="13"/>
            <x v="18"/>
          </reference>
          <reference field="3" count="1" selected="0">
            <x v="2"/>
          </reference>
        </references>
      </pivotArea>
    </format>
    <format dxfId="20">
      <pivotArea outline="0" fieldPosition="0">
        <references count="4">
          <reference field="0" count="1" selected="0">
            <x v="1"/>
          </reference>
          <reference field="1" count="1" selected="0">
            <x v="2"/>
          </reference>
          <reference field="2" count="1" selected="0">
            <x v="2"/>
          </reference>
          <reference field="3" count="1" selected="0">
            <x v="2"/>
          </reference>
        </references>
      </pivotArea>
    </format>
    <format dxfId="19">
      <pivotArea outline="0" fieldPosition="0">
        <references count="4">
          <reference field="0" count="1" selected="0">
            <x v="1"/>
          </reference>
          <reference field="1" count="1" selected="0">
            <x v="2"/>
          </reference>
          <reference field="2" count="1" selected="0">
            <x v="4"/>
          </reference>
          <reference field="3" count="1" selected="0">
            <x v="2"/>
          </reference>
        </references>
      </pivotArea>
    </format>
    <format dxfId="18">
      <pivotArea outline="0" fieldPosition="0">
        <references count="4">
          <reference field="0" count="1" selected="0">
            <x v="0"/>
          </reference>
          <reference field="1" count="1" selected="0">
            <x v="1"/>
          </reference>
          <reference field="2" count="1" selected="0">
            <x v="5"/>
          </reference>
          <reference field="3" count="1" selected="0">
            <x v="2"/>
          </reference>
        </references>
      </pivotArea>
    </format>
    <format dxfId="17">
      <pivotArea outline="0" fieldPosition="0">
        <references count="4">
          <reference field="0" count="1" selected="0">
            <x v="1"/>
          </reference>
          <reference field="1" count="1" selected="0">
            <x v="2"/>
          </reference>
          <reference field="2" count="1" selected="0">
            <x v="5"/>
          </reference>
          <reference field="3" count="1" selected="0">
            <x v="2"/>
          </reference>
        </references>
      </pivotArea>
    </format>
    <format dxfId="16">
      <pivotArea outline="0" fieldPosition="0">
        <references count="4">
          <reference field="0" count="1" selected="0">
            <x v="1"/>
          </reference>
          <reference field="1" count="1" selected="0">
            <x v="2"/>
          </reference>
          <reference field="2" count="1" selected="0">
            <x v="6"/>
          </reference>
          <reference field="3" count="1" selected="0">
            <x v="2"/>
          </reference>
        </references>
      </pivotArea>
    </format>
    <format dxfId="15">
      <pivotArea outline="0" fieldPosition="0">
        <references count="4">
          <reference field="0" count="1" selected="0">
            <x v="2"/>
          </reference>
          <reference field="1" count="1" selected="0">
            <x v="2"/>
          </reference>
          <reference field="2" count="11" selected="0">
            <x v="0"/>
            <x v="1"/>
            <x v="2"/>
            <x v="3"/>
            <x v="4"/>
            <x v="5"/>
            <x v="6"/>
            <x v="10"/>
            <x v="11"/>
            <x v="13"/>
            <x v="18"/>
          </reference>
          <reference field="3" count="1" selected="0">
            <x v="2"/>
          </reference>
        </references>
      </pivotArea>
    </format>
    <format dxfId="14">
      <pivotArea outline="0" fieldPosition="0">
        <references count="4">
          <reference field="0" count="1" selected="0">
            <x v="2"/>
          </reference>
          <reference field="1" count="1" selected="0">
            <x v="3"/>
          </reference>
          <reference field="2" count="1" selected="0">
            <x v="2"/>
          </reference>
          <reference field="3" count="1" selected="0">
            <x v="2"/>
          </reference>
        </references>
      </pivotArea>
    </format>
    <format dxfId="13">
      <pivotArea outline="0" fieldPosition="0">
        <references count="4">
          <reference field="0" count="1" selected="0">
            <x v="2"/>
          </reference>
          <reference field="1" count="1" selected="0">
            <x v="3"/>
          </reference>
          <reference field="2" count="1" selected="0">
            <x v="4"/>
          </reference>
          <reference field="3" count="1" selected="0">
            <x v="2"/>
          </reference>
        </references>
      </pivotArea>
    </format>
    <format dxfId="12">
      <pivotArea outline="0" fieldPosition="0">
        <references count="4">
          <reference field="0" count="1" selected="0">
            <x v="2"/>
          </reference>
          <reference field="1" count="1" selected="0">
            <x v="3"/>
          </reference>
          <reference field="2" count="1" selected="0">
            <x v="5"/>
          </reference>
          <reference field="3" count="1" selected="0">
            <x v="2"/>
          </reference>
        </references>
      </pivotArea>
    </format>
    <format dxfId="11">
      <pivotArea outline="0" fieldPosition="0">
        <references count="4">
          <reference field="0" count="1" selected="0">
            <x v="2"/>
          </reference>
          <reference field="1" count="1" selected="0">
            <x v="3"/>
          </reference>
          <reference field="2" count="1" selected="0">
            <x v="6"/>
          </reference>
          <reference field="3" count="1" selected="0">
            <x v="2"/>
          </reference>
        </references>
      </pivotArea>
    </format>
    <format dxfId="10">
      <pivotArea outline="0" fieldPosition="0">
        <references count="4">
          <reference field="0" count="1" selected="0">
            <x v="3"/>
          </reference>
          <reference field="1" count="1" selected="0">
            <x v="3"/>
          </reference>
          <reference field="2" count="11" selected="0">
            <x v="0"/>
            <x v="1"/>
            <x v="2"/>
            <x v="3"/>
            <x v="4"/>
            <x v="5"/>
            <x v="6"/>
            <x v="10"/>
            <x v="11"/>
            <x v="13"/>
            <x v="18"/>
          </reference>
          <reference field="3" count="1" selected="0">
            <x v="2"/>
          </reference>
        </references>
      </pivotArea>
    </format>
    <format dxfId="9">
      <pivotArea outline="0" fieldPosition="0">
        <references count="4">
          <reference field="0" count="1" selected="0">
            <x v="3"/>
          </reference>
          <reference field="1" count="1" selected="0">
            <x v="4"/>
          </reference>
          <reference field="2" count="1" selected="0">
            <x v="2"/>
          </reference>
          <reference field="3" count="1" selected="0">
            <x v="2"/>
          </reference>
        </references>
      </pivotArea>
    </format>
    <format dxfId="8">
      <pivotArea outline="0" fieldPosition="0">
        <references count="4">
          <reference field="0" count="1" selected="0">
            <x v="3"/>
          </reference>
          <reference field="1" count="1" selected="0">
            <x v="4"/>
          </reference>
          <reference field="2" count="1" selected="0">
            <x v="4"/>
          </reference>
          <reference field="3" count="1" selected="0">
            <x v="2"/>
          </reference>
        </references>
      </pivotArea>
    </format>
    <format dxfId="7">
      <pivotArea outline="0" fieldPosition="0">
        <references count="4">
          <reference field="0" count="1" selected="0">
            <x v="3"/>
          </reference>
          <reference field="1" count="1" selected="0">
            <x v="4"/>
          </reference>
          <reference field="2" count="1" selected="0">
            <x v="5"/>
          </reference>
          <reference field="3" count="1" selected="0">
            <x v="2"/>
          </reference>
        </references>
      </pivotArea>
    </format>
    <format dxfId="6">
      <pivotArea outline="0" fieldPosition="0">
        <references count="4">
          <reference field="0" count="1" selected="0">
            <x v="3"/>
          </reference>
          <reference field="1" count="1" selected="0">
            <x v="4"/>
          </reference>
          <reference field="2" count="1" selected="0">
            <x v="6"/>
          </reference>
          <reference field="3" count="1" selected="0">
            <x v="2"/>
          </reference>
        </references>
      </pivotArea>
    </format>
    <format dxfId="5">
      <pivotArea outline="0" fieldPosition="0">
        <references count="3">
          <reference field="0" count="3" selected="0">
            <x v="0"/>
            <x v="1"/>
            <x v="2"/>
          </reference>
          <reference field="1" count="4" selected="0">
            <x v="0"/>
            <x v="1"/>
            <x v="2"/>
            <x v="3"/>
          </reference>
          <reference field="3" count="1" selected="0">
            <x v="5"/>
          </reference>
        </references>
      </pivotArea>
    </format>
    <format dxfId="4">
      <pivotArea outline="0" fieldPosition="0">
        <references count="3">
          <reference field="0" count="1" selected="0">
            <x v="3"/>
          </reference>
          <reference field="1" count="1" selected="0">
            <x v="3"/>
          </reference>
          <reference field="3" count="1" selected="0">
            <x v="5"/>
          </reference>
        </references>
      </pivotArea>
    </format>
    <format dxfId="3">
      <pivotArea outline="0" fieldPosition="0">
        <references count="4">
          <reference field="0" count="4" selected="0">
            <x v="0"/>
            <x v="1"/>
            <x v="2"/>
            <x v="3"/>
          </reference>
          <reference field="1" count="5" selected="0">
            <x v="0"/>
            <x v="1"/>
            <x v="2"/>
            <x v="3"/>
            <x v="4"/>
          </reference>
          <reference field="2" count="3" selected="0">
            <x v="13"/>
            <x v="16"/>
            <x v="17"/>
          </reference>
          <reference field="3" count="1" selected="0">
            <x v="4"/>
          </reference>
        </references>
      </pivotArea>
    </format>
    <format dxfId="2">
      <pivotArea outline="0" fieldPosition="0">
        <references count="3">
          <reference field="0" count="1" selected="0">
            <x v="3"/>
          </reference>
          <reference field="1" count="1" selected="0">
            <x v="4"/>
          </reference>
          <reference field="3" count="1" selected="0">
            <x v="5"/>
          </reference>
        </references>
      </pivotArea>
    </format>
    <format dxfId="1">
      <pivotArea outline="0" fieldPosition="0">
        <references count="4">
          <reference field="0" count="4" selected="0">
            <x v="0"/>
            <x v="1"/>
            <x v="2"/>
            <x v="3"/>
          </reference>
          <reference field="1" count="5" selected="0">
            <x v="0"/>
            <x v="1"/>
            <x v="2"/>
            <x v="3"/>
            <x v="4"/>
          </reference>
          <reference field="2" count="1" selected="0">
            <x v="7"/>
          </reference>
          <reference field="3" count="1" selected="0">
            <x v="3"/>
          </reference>
        </references>
      </pivotArea>
    </format>
    <format dxfId="0">
      <pivotArea outline="0" fieldPosition="0">
        <references count="4">
          <reference field="0" count="4" selected="0">
            <x v="0"/>
            <x v="1"/>
            <x v="2"/>
            <x v="3"/>
          </reference>
          <reference field="1" count="5" selected="0">
            <x v="0"/>
            <x v="1"/>
            <x v="2"/>
            <x v="3"/>
            <x v="4"/>
          </reference>
          <reference field="2" count="2" selected="0">
            <x v="8"/>
            <x v="9"/>
          </reference>
          <reference field="3"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secure.sos.state.or.us/oard/viewSingleRule.action?ruleVrsnRsn=26934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openxmlformats.org/officeDocument/2006/relationships/printerSettings" Target="../printerSettings/printerSettings6.bin"/><Relationship Id="rId4"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163E5-EE9A-46F3-9678-F7CCD879A63D}">
  <dimension ref="A1:G13"/>
  <sheetViews>
    <sheetView workbookViewId="0">
      <selection activeCell="A14" sqref="A14"/>
    </sheetView>
  </sheetViews>
  <sheetFormatPr defaultRowHeight="15" x14ac:dyDescent="0.25"/>
  <sheetData>
    <row r="1" spans="1:7" x14ac:dyDescent="0.25">
      <c r="A1" s="169" t="s">
        <v>793</v>
      </c>
      <c r="B1" s="169"/>
      <c r="C1" s="169"/>
      <c r="D1" s="169"/>
      <c r="E1" s="169"/>
      <c r="F1" s="169"/>
      <c r="G1" s="169"/>
    </row>
    <row r="2" spans="1:7" x14ac:dyDescent="0.25">
      <c r="A2" s="169"/>
      <c r="B2" s="169"/>
      <c r="C2" s="169"/>
      <c r="D2" s="169"/>
      <c r="E2" s="169"/>
      <c r="F2" s="169"/>
      <c r="G2" s="169"/>
    </row>
    <row r="3" spans="1:7" x14ac:dyDescent="0.25">
      <c r="A3" s="169"/>
      <c r="B3" s="169"/>
      <c r="C3" s="169"/>
      <c r="D3" s="169"/>
      <c r="E3" s="169"/>
      <c r="F3" s="169"/>
      <c r="G3" s="169"/>
    </row>
    <row r="4" spans="1:7" x14ac:dyDescent="0.25">
      <c r="A4" s="169"/>
      <c r="B4" s="169"/>
      <c r="C4" s="169"/>
      <c r="D4" s="169"/>
      <c r="E4" s="169"/>
      <c r="F4" s="169"/>
      <c r="G4" s="169"/>
    </row>
    <row r="5" spans="1:7" x14ac:dyDescent="0.25">
      <c r="A5" s="169"/>
      <c r="B5" s="169"/>
      <c r="C5" s="169"/>
      <c r="D5" s="169"/>
      <c r="E5" s="169"/>
      <c r="F5" s="169"/>
      <c r="G5" s="169"/>
    </row>
    <row r="6" spans="1:7" x14ac:dyDescent="0.25">
      <c r="A6" s="169"/>
      <c r="B6" s="169"/>
      <c r="C6" s="169"/>
      <c r="D6" s="169"/>
      <c r="E6" s="169"/>
      <c r="F6" s="169"/>
      <c r="G6" s="169"/>
    </row>
    <row r="7" spans="1:7" x14ac:dyDescent="0.25">
      <c r="A7" s="169"/>
      <c r="B7" s="169"/>
      <c r="C7" s="169"/>
      <c r="D7" s="169"/>
      <c r="E7" s="169"/>
      <c r="F7" s="169"/>
      <c r="G7" s="169"/>
    </row>
    <row r="8" spans="1:7" x14ac:dyDescent="0.25">
      <c r="A8" s="169"/>
      <c r="B8" s="169"/>
      <c r="C8" s="169"/>
      <c r="D8" s="169"/>
      <c r="E8" s="169"/>
      <c r="F8" s="169"/>
      <c r="G8" s="169"/>
    </row>
    <row r="9" spans="1:7" x14ac:dyDescent="0.25">
      <c r="A9" s="169"/>
      <c r="B9" s="169"/>
      <c r="C9" s="169"/>
      <c r="D9" s="169"/>
      <c r="E9" s="169"/>
      <c r="F9" s="169"/>
      <c r="G9" s="169"/>
    </row>
    <row r="10" spans="1:7" x14ac:dyDescent="0.25">
      <c r="A10" s="169"/>
      <c r="B10" s="169"/>
      <c r="C10" s="169"/>
      <c r="D10" s="169"/>
      <c r="E10" s="169"/>
      <c r="F10" s="169"/>
      <c r="G10" s="169"/>
    </row>
    <row r="11" spans="1:7" x14ac:dyDescent="0.25">
      <c r="A11" s="169"/>
      <c r="B11" s="169"/>
      <c r="C11" s="169"/>
      <c r="D11" s="169"/>
      <c r="E11" s="169"/>
      <c r="F11" s="169"/>
      <c r="G11" s="169"/>
    </row>
    <row r="12" spans="1:7" x14ac:dyDescent="0.25">
      <c r="A12" s="169"/>
      <c r="B12" s="169"/>
      <c r="C12" s="169"/>
      <c r="D12" s="169"/>
      <c r="E12" s="169"/>
      <c r="F12" s="169"/>
      <c r="G12" s="169"/>
    </row>
    <row r="13" spans="1:7" x14ac:dyDescent="0.25">
      <c r="A13" s="169"/>
      <c r="B13" s="169"/>
      <c r="C13" s="169"/>
      <c r="D13" s="169"/>
      <c r="E13" s="169"/>
      <c r="F13" s="169"/>
      <c r="G13" s="169"/>
    </row>
  </sheetData>
  <mergeCells count="1">
    <mergeCell ref="A1:G13"/>
  </mergeCells>
  <pageMargins left="0.7" right="0.7" top="0.75" bottom="0.75" header="0.3" footer="0.3"/>
  <pageSetup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Z45"/>
  <sheetViews>
    <sheetView zoomScale="85" zoomScaleNormal="85" workbookViewId="0">
      <pane xSplit="2" ySplit="5" topLeftCell="C24" activePane="bottomRight" state="frozen"/>
      <selection pane="topRight" activeCell="C1" sqref="C1"/>
      <selection pane="bottomLeft" activeCell="A6" sqref="A6"/>
      <selection pane="bottomRight" activeCell="H37" sqref="H37"/>
    </sheetView>
  </sheetViews>
  <sheetFormatPr defaultRowHeight="15" x14ac:dyDescent="0.25"/>
  <cols>
    <col min="1" max="1" width="18.7109375" bestFit="1" customWidth="1"/>
    <col min="2" max="2" width="14.5703125" bestFit="1" customWidth="1"/>
    <col min="3" max="14" width="15.5703125" bestFit="1" customWidth="1"/>
    <col min="15" max="16" width="15.5703125" customWidth="1"/>
    <col min="17" max="17" width="12.28515625" bestFit="1" customWidth="1"/>
    <col min="18" max="18" width="12.85546875" bestFit="1" customWidth="1"/>
    <col min="19" max="19" width="23.85546875" customWidth="1"/>
    <col min="20" max="20" width="12.28515625" bestFit="1" customWidth="1"/>
    <col min="21" max="21" width="13.7109375" bestFit="1" customWidth="1"/>
    <col min="22" max="24" width="11.28515625" customWidth="1"/>
    <col min="25" max="25" width="19.85546875" customWidth="1"/>
    <col min="26" max="28" width="16.85546875" customWidth="1"/>
  </cols>
  <sheetData>
    <row r="3" spans="1:26" x14ac:dyDescent="0.25">
      <c r="A3" s="15" t="s">
        <v>533</v>
      </c>
      <c r="C3" s="15" t="s">
        <v>576</v>
      </c>
      <c r="D3" s="15" t="s">
        <v>219</v>
      </c>
      <c r="S3" s="30" t="s">
        <v>594</v>
      </c>
    </row>
    <row r="4" spans="1:26" x14ac:dyDescent="0.25">
      <c r="C4" s="16">
        <v>45292</v>
      </c>
      <c r="E4" s="16">
        <v>44927</v>
      </c>
      <c r="G4" s="16">
        <v>44562</v>
      </c>
      <c r="I4" s="16">
        <v>44197</v>
      </c>
      <c r="K4" s="16">
        <v>43831</v>
      </c>
      <c r="M4" s="16">
        <v>43466</v>
      </c>
      <c r="N4" s="16">
        <v>43101</v>
      </c>
      <c r="O4" s="16"/>
      <c r="P4" s="16"/>
      <c r="V4" s="183" t="s">
        <v>924</v>
      </c>
      <c r="W4" s="183"/>
      <c r="X4" s="183"/>
    </row>
    <row r="5" spans="1:26" ht="54.75" customHeight="1" thickBot="1" x14ac:dyDescent="0.3">
      <c r="A5" s="15" t="s">
        <v>524</v>
      </c>
      <c r="B5" s="15" t="s">
        <v>224</v>
      </c>
      <c r="C5" s="16">
        <v>45292</v>
      </c>
      <c r="D5" s="16">
        <v>44927</v>
      </c>
      <c r="E5" s="16">
        <v>44927</v>
      </c>
      <c r="F5" s="16">
        <v>44562</v>
      </c>
      <c r="G5" s="16">
        <v>44562</v>
      </c>
      <c r="H5" s="16">
        <v>44197</v>
      </c>
      <c r="I5" s="16">
        <v>44197</v>
      </c>
      <c r="J5" s="16">
        <v>43831</v>
      </c>
      <c r="K5" s="16">
        <v>43831</v>
      </c>
      <c r="L5" s="16">
        <v>43466</v>
      </c>
      <c r="M5" s="16">
        <v>43466</v>
      </c>
      <c r="N5" s="16">
        <v>43101</v>
      </c>
      <c r="O5" s="16"/>
      <c r="P5" s="16"/>
      <c r="T5" s="165" t="s">
        <v>552</v>
      </c>
      <c r="U5" s="165" t="s">
        <v>553</v>
      </c>
      <c r="V5" s="157" t="s">
        <v>926</v>
      </c>
      <c r="W5" s="157">
        <v>2023</v>
      </c>
      <c r="X5" s="157">
        <v>2024</v>
      </c>
    </row>
    <row r="6" spans="1:26" x14ac:dyDescent="0.25">
      <c r="A6" t="s">
        <v>529</v>
      </c>
      <c r="B6" t="s">
        <v>525</v>
      </c>
      <c r="C6" s="129">
        <v>122.48</v>
      </c>
      <c r="D6" s="18"/>
      <c r="E6" s="129">
        <v>122.48</v>
      </c>
      <c r="F6" s="18"/>
      <c r="G6" s="129">
        <v>122.48</v>
      </c>
      <c r="H6" s="18"/>
      <c r="I6" s="129">
        <v>122.48</v>
      </c>
      <c r="J6" s="18"/>
      <c r="K6" s="18">
        <v>122.48</v>
      </c>
      <c r="L6" s="18"/>
      <c r="M6" s="18">
        <v>118.383</v>
      </c>
      <c r="N6" s="18">
        <v>116.09</v>
      </c>
      <c r="O6" s="18"/>
      <c r="P6" s="18"/>
      <c r="S6" s="29" t="s">
        <v>4</v>
      </c>
      <c r="T6" s="166">
        <f>+ED_gas_T0</f>
        <v>122.48</v>
      </c>
      <c r="U6" s="166">
        <f>+CIT_gas_T0</f>
        <v>90.21</v>
      </c>
      <c r="V6" s="167">
        <f>+CIA_gas_T2</f>
        <v>100.14</v>
      </c>
      <c r="W6" s="167">
        <f>+CIA_gas_T1</f>
        <v>100.14</v>
      </c>
      <c r="X6" s="167">
        <f>+CIA_gas_T0</f>
        <v>100.14</v>
      </c>
    </row>
    <row r="7" spans="1:26" x14ac:dyDescent="0.25">
      <c r="B7" t="s">
        <v>527</v>
      </c>
      <c r="C7" s="129">
        <v>122.48</v>
      </c>
      <c r="D7" s="18"/>
      <c r="E7" s="129">
        <v>122.48</v>
      </c>
      <c r="F7" s="18"/>
      <c r="G7" s="129">
        <v>122.48</v>
      </c>
      <c r="H7" s="18"/>
      <c r="I7" s="129">
        <v>122.48</v>
      </c>
      <c r="J7" s="18"/>
      <c r="K7" s="18">
        <v>122.48</v>
      </c>
      <c r="L7" s="18"/>
      <c r="M7" s="18">
        <v>122.48</v>
      </c>
      <c r="N7" s="18">
        <v>116.09</v>
      </c>
      <c r="O7" s="18"/>
      <c r="P7" s="18"/>
      <c r="S7" t="s">
        <v>5</v>
      </c>
      <c r="T7" s="4">
        <f>+ED_eth_T0</f>
        <v>81.510000000000005</v>
      </c>
      <c r="U7" s="4">
        <f>+CIT_gas_T0</f>
        <v>90.21</v>
      </c>
      <c r="V7" s="153">
        <f>+CIA_eth_T2</f>
        <v>52</v>
      </c>
      <c r="W7" s="153">
        <f>+CIA_eth_T1</f>
        <v>51</v>
      </c>
      <c r="X7" s="153">
        <f>+CIA_Eth_T0</f>
        <v>50</v>
      </c>
    </row>
    <row r="8" spans="1:26" x14ac:dyDescent="0.25">
      <c r="B8" t="s">
        <v>5</v>
      </c>
      <c r="C8" s="129">
        <v>81.510000000000005</v>
      </c>
      <c r="D8" s="18"/>
      <c r="E8" s="129">
        <v>81.510000000000005</v>
      </c>
      <c r="F8" s="18"/>
      <c r="G8" s="129">
        <v>81.510000000000005</v>
      </c>
      <c r="H8" s="18"/>
      <c r="I8" s="129">
        <v>81.510000000000005</v>
      </c>
      <c r="J8" s="18"/>
      <c r="K8" s="18">
        <v>81.510000000000005</v>
      </c>
      <c r="L8" s="18"/>
      <c r="M8" s="18">
        <v>81.510000000000005</v>
      </c>
      <c r="N8" s="18">
        <v>81.510000000000005</v>
      </c>
      <c r="O8" s="18"/>
      <c r="P8" s="18"/>
      <c r="S8" t="s">
        <v>3</v>
      </c>
      <c r="T8" s="4">
        <f>+ED_die_T0</f>
        <v>134.47999999999999</v>
      </c>
      <c r="U8" s="4">
        <f>+CIT_die_T0</f>
        <v>90.84</v>
      </c>
      <c r="V8" s="40">
        <f>+CIA_die_T2</f>
        <v>100.74</v>
      </c>
      <c r="W8" s="40">
        <f>+CIA_die_T1</f>
        <v>100.74</v>
      </c>
      <c r="X8" s="40">
        <f>+CIA_die_T0</f>
        <v>100.74</v>
      </c>
    </row>
    <row r="9" spans="1:26" x14ac:dyDescent="0.25">
      <c r="B9" t="s">
        <v>526</v>
      </c>
      <c r="C9" s="129">
        <v>134.47999999999999</v>
      </c>
      <c r="D9" s="18"/>
      <c r="E9" s="129">
        <v>134.47999999999999</v>
      </c>
      <c r="F9" s="18"/>
      <c r="G9" s="129">
        <v>134.47999999999999</v>
      </c>
      <c r="H9" s="18"/>
      <c r="I9" s="129">
        <v>134.47999999999999</v>
      </c>
      <c r="J9" s="18"/>
      <c r="K9" s="18">
        <v>134.47999999999999</v>
      </c>
      <c r="L9" s="18"/>
      <c r="M9" s="18">
        <v>134.47999999999999</v>
      </c>
      <c r="N9" s="18">
        <v>129.49</v>
      </c>
      <c r="O9" s="18"/>
      <c r="P9" s="18"/>
      <c r="S9" t="s">
        <v>7</v>
      </c>
      <c r="T9" s="4">
        <f>+ED_Bio_T0</f>
        <v>126.13</v>
      </c>
      <c r="U9" s="4">
        <f>+CIT_die_T0</f>
        <v>90.84</v>
      </c>
      <c r="V9" s="153">
        <f>CIA_bio_T2</f>
        <v>40</v>
      </c>
      <c r="W9" s="153">
        <f>CIA_Bio_T1</f>
        <v>41</v>
      </c>
      <c r="X9" s="153">
        <f>CIA_bio_T0</f>
        <v>40.5</v>
      </c>
    </row>
    <row r="10" spans="1:26" x14ac:dyDescent="0.25">
      <c r="B10" t="s">
        <v>7</v>
      </c>
      <c r="C10" s="129">
        <v>126.13</v>
      </c>
      <c r="D10" s="18"/>
      <c r="E10" s="129">
        <v>126.13</v>
      </c>
      <c r="F10" s="18"/>
      <c r="G10" s="129">
        <v>126.13</v>
      </c>
      <c r="H10" s="18"/>
      <c r="I10" s="129">
        <v>126.13</v>
      </c>
      <c r="J10" s="18"/>
      <c r="K10" s="18">
        <v>126.13</v>
      </c>
      <c r="L10" s="18"/>
      <c r="M10" s="18">
        <v>126.13</v>
      </c>
      <c r="N10" s="18">
        <v>119.55</v>
      </c>
      <c r="O10" s="18"/>
      <c r="P10" s="18"/>
      <c r="S10" t="s">
        <v>6</v>
      </c>
      <c r="T10" s="4">
        <f>+ED_ren_T0</f>
        <v>129.65</v>
      </c>
      <c r="U10" s="4">
        <f>+CIT_die_T0</f>
        <v>90.84</v>
      </c>
      <c r="V10" s="153">
        <f>+CIA_ren_T2</f>
        <v>36</v>
      </c>
      <c r="W10" s="153">
        <f>+CIA_ren_T1</f>
        <v>40.5</v>
      </c>
      <c r="X10" s="153">
        <f>+CIA_ren_T0</f>
        <v>41.45</v>
      </c>
    </row>
    <row r="11" spans="1:26" x14ac:dyDescent="0.25">
      <c r="B11" t="s">
        <v>225</v>
      </c>
      <c r="C11" s="129">
        <v>129.65</v>
      </c>
      <c r="D11" s="18"/>
      <c r="E11" s="129">
        <v>129.65</v>
      </c>
      <c r="F11" s="18"/>
      <c r="G11" s="129">
        <v>129.65</v>
      </c>
      <c r="H11" s="18"/>
      <c r="I11" s="129">
        <v>129.65</v>
      </c>
      <c r="J11" s="18"/>
      <c r="K11" s="18">
        <v>129.65</v>
      </c>
      <c r="L11" s="18"/>
      <c r="M11" s="18">
        <v>129.65</v>
      </c>
      <c r="N11" s="18">
        <v>129.65</v>
      </c>
      <c r="O11" s="18"/>
      <c r="P11" s="18"/>
      <c r="Q11" s="9"/>
      <c r="S11" t="s">
        <v>8</v>
      </c>
      <c r="T11" s="40">
        <f>ED_eon_T0</f>
        <v>3.6</v>
      </c>
      <c r="U11" s="4">
        <f>+CIT_gas_T0</f>
        <v>90.21</v>
      </c>
      <c r="V11" s="153">
        <f>+CIA_eon_T2</f>
        <v>15</v>
      </c>
      <c r="W11" s="153">
        <f>+CIA_eon_T1</f>
        <v>10</v>
      </c>
      <c r="X11" s="153">
        <f>+CIA_eon_T0</f>
        <v>0</v>
      </c>
      <c r="Y11">
        <v>0.56999999999999995</v>
      </c>
    </row>
    <row r="12" spans="1:26" x14ac:dyDescent="0.25">
      <c r="B12" t="s">
        <v>231</v>
      </c>
      <c r="C12" s="129">
        <v>3.6</v>
      </c>
      <c r="D12" s="18"/>
      <c r="E12" s="129">
        <v>3.6</v>
      </c>
      <c r="F12" s="18"/>
      <c r="G12" s="129">
        <v>3.6</v>
      </c>
      <c r="H12" s="18"/>
      <c r="I12" s="129">
        <v>3.6</v>
      </c>
      <c r="J12" s="18"/>
      <c r="K12" s="18">
        <v>3.6</v>
      </c>
      <c r="L12" s="18"/>
      <c r="M12" s="18">
        <v>3.6</v>
      </c>
      <c r="N12" s="18">
        <v>3.6</v>
      </c>
      <c r="O12" s="18"/>
      <c r="P12" s="18"/>
      <c r="Q12" s="9"/>
      <c r="S12" s="17" t="s">
        <v>822</v>
      </c>
      <c r="T12" s="91">
        <f>KWh_T0</f>
        <v>3103</v>
      </c>
      <c r="U12" s="4"/>
      <c r="V12" s="40"/>
      <c r="W12" s="40"/>
      <c r="X12" s="40"/>
      <c r="Y12">
        <v>0.43</v>
      </c>
      <c r="Z12">
        <v>147</v>
      </c>
    </row>
    <row r="13" spans="1:26" x14ac:dyDescent="0.25">
      <c r="B13" t="s">
        <v>236</v>
      </c>
      <c r="C13" s="129">
        <v>105.5</v>
      </c>
      <c r="D13" s="18"/>
      <c r="E13" s="129">
        <v>105.5</v>
      </c>
      <c r="F13" s="18"/>
      <c r="G13" s="129">
        <v>105.5</v>
      </c>
      <c r="H13" s="18"/>
      <c r="I13" s="129">
        <v>105.5</v>
      </c>
      <c r="J13" s="18"/>
      <c r="K13" s="18">
        <v>0.98</v>
      </c>
      <c r="L13" s="18"/>
      <c r="M13" s="18">
        <v>0.98</v>
      </c>
      <c r="N13" s="18">
        <v>0.98</v>
      </c>
      <c r="O13" s="18"/>
      <c r="P13" s="18"/>
      <c r="S13" s="17" t="s">
        <v>628</v>
      </c>
      <c r="T13" s="90">
        <f>EEReon_T0</f>
        <v>3.4</v>
      </c>
      <c r="U13" s="4"/>
      <c r="V13" s="40"/>
      <c r="W13" s="40"/>
      <c r="X13" s="40"/>
    </row>
    <row r="14" spans="1:26" x14ac:dyDescent="0.25">
      <c r="B14" t="s">
        <v>245</v>
      </c>
      <c r="C14" s="129">
        <v>78.83</v>
      </c>
      <c r="D14" s="18"/>
      <c r="E14" s="129">
        <v>78.83</v>
      </c>
      <c r="F14" s="18"/>
      <c r="G14" s="129">
        <v>78.83</v>
      </c>
      <c r="H14" s="18"/>
      <c r="I14" s="129">
        <v>78.83</v>
      </c>
      <c r="J14" s="18"/>
      <c r="K14" s="18">
        <v>78.83</v>
      </c>
      <c r="L14" s="18"/>
      <c r="M14" s="18">
        <v>78.83</v>
      </c>
      <c r="N14" s="18">
        <v>76.84</v>
      </c>
      <c r="O14" s="18"/>
      <c r="P14" s="18"/>
      <c r="S14" s="17" t="s">
        <v>629</v>
      </c>
      <c r="T14" s="90">
        <f>EERng_T0</f>
        <v>0.9</v>
      </c>
      <c r="U14" s="4"/>
      <c r="V14" s="40"/>
      <c r="W14" s="40"/>
      <c r="X14" s="40"/>
      <c r="Z14">
        <f>Y12*Z12</f>
        <v>63.21</v>
      </c>
    </row>
    <row r="15" spans="1:26" x14ac:dyDescent="0.25">
      <c r="B15" t="s">
        <v>238</v>
      </c>
      <c r="C15" s="129">
        <v>89.63</v>
      </c>
      <c r="D15" s="18"/>
      <c r="E15" s="129">
        <v>89.63</v>
      </c>
      <c r="F15" s="18"/>
      <c r="G15" s="129">
        <v>89.63</v>
      </c>
      <c r="H15" s="18"/>
      <c r="I15" s="129">
        <v>89.63</v>
      </c>
      <c r="J15" s="18"/>
      <c r="K15" s="18">
        <v>89.63</v>
      </c>
      <c r="L15" s="18"/>
      <c r="M15" s="18">
        <v>89.63</v>
      </c>
      <c r="N15" s="18">
        <v>96.5</v>
      </c>
      <c r="O15" s="18"/>
      <c r="P15" s="18"/>
      <c r="S15" t="s">
        <v>10</v>
      </c>
      <c r="T15" s="4">
        <f>+ED_die_T0</f>
        <v>134.47999999999999</v>
      </c>
      <c r="U15" s="4">
        <f>+CIT_die_T0</f>
        <v>90.84</v>
      </c>
      <c r="V15" s="40">
        <f>+CIA_fcg_T2</f>
        <v>79.98</v>
      </c>
      <c r="W15" s="40">
        <f>+CIA_fcg_T1</f>
        <v>79.98</v>
      </c>
      <c r="X15" s="40">
        <f>+CIA_fcg_T0</f>
        <v>79.98</v>
      </c>
    </row>
    <row r="16" spans="1:26" x14ac:dyDescent="0.25">
      <c r="B16" t="s">
        <v>18</v>
      </c>
      <c r="C16" s="129">
        <v>120</v>
      </c>
      <c r="D16" s="18"/>
      <c r="E16" s="129">
        <v>120</v>
      </c>
      <c r="F16" s="18"/>
      <c r="G16" s="129">
        <v>120</v>
      </c>
      <c r="H16" s="18"/>
      <c r="I16" s="129">
        <v>120</v>
      </c>
      <c r="J16" s="18"/>
      <c r="K16" s="18">
        <v>120</v>
      </c>
      <c r="L16" s="18"/>
      <c r="M16" s="18">
        <v>123</v>
      </c>
      <c r="N16" s="18">
        <v>123</v>
      </c>
      <c r="O16" s="18"/>
      <c r="P16" s="18"/>
      <c r="S16" s="17" t="s">
        <v>30</v>
      </c>
      <c r="T16" s="4">
        <f>+ED_die_T0</f>
        <v>134.47999999999999</v>
      </c>
      <c r="U16" s="4">
        <f>+CIT_die_T0</f>
        <v>90.84</v>
      </c>
      <c r="V16" s="153">
        <f>+CIA_bgs_T2</f>
        <v>12</v>
      </c>
      <c r="W16" s="153">
        <f>+CIA_bgs_T1</f>
        <v>5</v>
      </c>
      <c r="X16" s="153">
        <f>+CIA_bgs_T0</f>
        <v>2.5</v>
      </c>
    </row>
    <row r="17" spans="1:24" x14ac:dyDescent="0.25">
      <c r="B17" t="s">
        <v>528</v>
      </c>
      <c r="C17" s="129">
        <v>126.37</v>
      </c>
      <c r="D17" s="18"/>
      <c r="E17" s="129">
        <v>126.37</v>
      </c>
      <c r="F17" s="18"/>
      <c r="G17" s="129">
        <v>126.37</v>
      </c>
      <c r="H17" s="18"/>
      <c r="I17" s="129">
        <v>126.37</v>
      </c>
      <c r="J17" s="18"/>
      <c r="K17" s="18">
        <v>126.37</v>
      </c>
      <c r="L17" s="18"/>
      <c r="M17" s="18">
        <v>0</v>
      </c>
      <c r="N17" s="18">
        <v>0</v>
      </c>
      <c r="O17" s="18"/>
      <c r="P17" s="18"/>
      <c r="S17" t="s">
        <v>554</v>
      </c>
      <c r="T17" s="4">
        <f>+ED_lp_T0</f>
        <v>89.63</v>
      </c>
      <c r="U17" s="4">
        <f>+CIT_gas_T0</f>
        <v>90.21</v>
      </c>
      <c r="V17" s="40">
        <f>+CIA_lp_T2</f>
        <v>48</v>
      </c>
      <c r="W17" s="40">
        <f>+CIA_lp_T1</f>
        <v>53</v>
      </c>
      <c r="X17" s="40">
        <f>+CIA_lp_T0</f>
        <v>48</v>
      </c>
    </row>
    <row r="18" spans="1:24" x14ac:dyDescent="0.25">
      <c r="A18" t="s">
        <v>530</v>
      </c>
      <c r="B18" t="s">
        <v>525</v>
      </c>
      <c r="C18" s="131">
        <v>90.21</v>
      </c>
      <c r="D18" s="18"/>
      <c r="E18" s="131">
        <v>91.68</v>
      </c>
      <c r="F18" s="18"/>
      <c r="G18" s="131">
        <v>93.15</v>
      </c>
      <c r="H18" s="18"/>
      <c r="I18" s="131">
        <v>94.63</v>
      </c>
      <c r="J18" s="18"/>
      <c r="K18" s="18">
        <v>95.61</v>
      </c>
      <c r="L18" s="18"/>
      <c r="M18" s="18">
        <v>97.16</v>
      </c>
      <c r="N18" s="18">
        <v>97.63</v>
      </c>
      <c r="O18" s="18"/>
      <c r="P18" s="18"/>
    </row>
    <row r="19" spans="1:24" x14ac:dyDescent="0.25">
      <c r="B19" t="s">
        <v>526</v>
      </c>
      <c r="C19" s="131">
        <v>90.84</v>
      </c>
      <c r="D19" s="18"/>
      <c r="E19" s="131">
        <v>92.32</v>
      </c>
      <c r="F19" s="18"/>
      <c r="G19" s="131">
        <v>93.81</v>
      </c>
      <c r="H19" s="18"/>
      <c r="I19" s="131">
        <v>95.29</v>
      </c>
      <c r="J19" s="18"/>
      <c r="K19" s="18">
        <v>96.27</v>
      </c>
      <c r="L19" s="18"/>
      <c r="M19" s="18">
        <v>98.12</v>
      </c>
      <c r="N19" s="18">
        <v>98.64</v>
      </c>
      <c r="O19" s="18"/>
      <c r="P19" s="18"/>
      <c r="S19" s="36" t="s">
        <v>927</v>
      </c>
    </row>
    <row r="20" spans="1:24" x14ac:dyDescent="0.25">
      <c r="B20" t="s">
        <v>528</v>
      </c>
      <c r="C20" s="131">
        <v>90.8</v>
      </c>
      <c r="D20" s="18"/>
      <c r="E20" s="131">
        <v>90.8</v>
      </c>
      <c r="F20" s="18"/>
      <c r="G20" s="131">
        <v>90.8</v>
      </c>
      <c r="H20" s="18"/>
      <c r="I20" s="131">
        <v>90.8</v>
      </c>
      <c r="J20" s="18"/>
      <c r="K20" s="18">
        <v>90.8</v>
      </c>
      <c r="L20" s="18"/>
      <c r="M20" s="18"/>
      <c r="N20" s="18"/>
      <c r="O20" s="18"/>
      <c r="P20" s="18"/>
    </row>
    <row r="21" spans="1:24" x14ac:dyDescent="0.25">
      <c r="A21" t="s">
        <v>531</v>
      </c>
      <c r="B21" t="s">
        <v>525</v>
      </c>
      <c r="C21" s="133">
        <v>100.14</v>
      </c>
      <c r="D21" s="18"/>
      <c r="E21" s="133">
        <v>100.14</v>
      </c>
      <c r="F21" s="18"/>
      <c r="G21" s="133">
        <v>100.14</v>
      </c>
      <c r="H21" s="18"/>
      <c r="I21" s="133">
        <v>100.14</v>
      </c>
      <c r="J21" s="18"/>
      <c r="K21" s="18">
        <v>100.14</v>
      </c>
      <c r="L21" s="18"/>
      <c r="M21" s="18">
        <v>98.64</v>
      </c>
      <c r="N21" s="18">
        <v>98.62</v>
      </c>
      <c r="O21" s="18"/>
      <c r="P21" s="18"/>
    </row>
    <row r="22" spans="1:24" x14ac:dyDescent="0.25">
      <c r="B22" t="s">
        <v>527</v>
      </c>
      <c r="C22" s="133">
        <v>98.06</v>
      </c>
      <c r="D22" s="18"/>
      <c r="E22" s="133">
        <v>98.06</v>
      </c>
      <c r="F22" s="18"/>
      <c r="G22" s="133">
        <v>98.06</v>
      </c>
      <c r="H22" s="18"/>
      <c r="I22" s="133">
        <v>98.16</v>
      </c>
      <c r="J22" s="18"/>
      <c r="K22" s="18">
        <v>100.14</v>
      </c>
      <c r="L22" s="18"/>
      <c r="M22" s="18">
        <v>100.77</v>
      </c>
      <c r="N22" s="18">
        <v>100.77</v>
      </c>
      <c r="O22" s="18"/>
      <c r="P22" s="18"/>
    </row>
    <row r="23" spans="1:24" x14ac:dyDescent="0.25">
      <c r="B23" t="s">
        <v>5</v>
      </c>
      <c r="C23" s="133">
        <v>50</v>
      </c>
      <c r="D23" s="133">
        <v>51</v>
      </c>
      <c r="E23" s="133">
        <v>50</v>
      </c>
      <c r="F23" s="133">
        <v>52</v>
      </c>
      <c r="G23" s="133">
        <v>46.5</v>
      </c>
      <c r="H23" s="133">
        <v>49</v>
      </c>
      <c r="I23" s="133">
        <v>47.5</v>
      </c>
      <c r="J23" s="133">
        <v>52.83</v>
      </c>
      <c r="K23" s="18">
        <v>57.76</v>
      </c>
      <c r="L23" s="18"/>
      <c r="M23" s="18">
        <v>59.01863095238096</v>
      </c>
      <c r="N23" s="18">
        <v>60.877499999999998</v>
      </c>
      <c r="O23" s="18"/>
      <c r="P23" s="18"/>
      <c r="S23" s="182" t="s">
        <v>630</v>
      </c>
      <c r="T23" s="182"/>
      <c r="U23" s="182"/>
    </row>
    <row r="24" spans="1:24" x14ac:dyDescent="0.25">
      <c r="B24" t="s">
        <v>526</v>
      </c>
      <c r="C24" s="133">
        <v>100.74</v>
      </c>
      <c r="D24" s="18"/>
      <c r="E24" s="133">
        <v>100.74</v>
      </c>
      <c r="F24" s="18"/>
      <c r="G24" s="133">
        <v>100.74</v>
      </c>
      <c r="H24" s="18"/>
      <c r="I24" s="133">
        <v>100.74</v>
      </c>
      <c r="J24" s="18"/>
      <c r="K24" s="18">
        <v>100.74</v>
      </c>
      <c r="L24" s="18"/>
      <c r="M24" s="18">
        <v>101.65</v>
      </c>
      <c r="N24" s="18">
        <v>99.64</v>
      </c>
      <c r="O24" s="18"/>
      <c r="P24" s="18"/>
      <c r="S24" t="s">
        <v>631</v>
      </c>
      <c r="T24" t="s">
        <v>632</v>
      </c>
    </row>
    <row r="25" spans="1:24" x14ac:dyDescent="0.25">
      <c r="B25" t="s">
        <v>7</v>
      </c>
      <c r="C25" s="133">
        <v>40.5</v>
      </c>
      <c r="D25" s="133">
        <v>41</v>
      </c>
      <c r="E25" s="133">
        <v>39</v>
      </c>
      <c r="F25" s="133">
        <v>40</v>
      </c>
      <c r="G25" s="133">
        <v>31.5</v>
      </c>
      <c r="H25" s="133">
        <v>36</v>
      </c>
      <c r="I25" s="133">
        <v>26.5</v>
      </c>
      <c r="J25" s="133">
        <v>32.596249999999998</v>
      </c>
      <c r="K25" s="18">
        <v>35.4</v>
      </c>
      <c r="L25" s="18"/>
      <c r="M25" s="18">
        <v>47.09</v>
      </c>
      <c r="N25" s="18">
        <v>45.230000000000004</v>
      </c>
      <c r="O25" s="18"/>
      <c r="P25" s="18"/>
      <c r="S25" t="s">
        <v>633</v>
      </c>
      <c r="T25" t="s">
        <v>634</v>
      </c>
    </row>
    <row r="26" spans="1:24" x14ac:dyDescent="0.25">
      <c r="B26" t="s">
        <v>30</v>
      </c>
      <c r="C26" s="133">
        <v>2.5</v>
      </c>
      <c r="D26" s="133">
        <v>5</v>
      </c>
      <c r="E26" s="133">
        <v>0</v>
      </c>
      <c r="F26" s="133">
        <v>12</v>
      </c>
      <c r="G26" s="133">
        <v>49</v>
      </c>
      <c r="H26" s="133">
        <v>49</v>
      </c>
      <c r="I26" s="133">
        <v>49</v>
      </c>
      <c r="J26" s="133">
        <v>49</v>
      </c>
      <c r="K26" s="18">
        <v>50</v>
      </c>
      <c r="L26" s="18"/>
      <c r="M26" s="18">
        <v>35</v>
      </c>
      <c r="N26" s="18">
        <v>35</v>
      </c>
      <c r="O26" s="18"/>
      <c r="P26" s="18"/>
      <c r="S26" t="s">
        <v>635</v>
      </c>
      <c r="T26" t="s">
        <v>636</v>
      </c>
    </row>
    <row r="27" spans="1:24" x14ac:dyDescent="0.25">
      <c r="B27" t="s">
        <v>225</v>
      </c>
      <c r="C27" s="133">
        <v>41.45</v>
      </c>
      <c r="D27" s="133">
        <v>40.5</v>
      </c>
      <c r="E27" s="133">
        <v>34</v>
      </c>
      <c r="F27" s="133">
        <v>36</v>
      </c>
      <c r="G27" s="133">
        <v>34.75</v>
      </c>
      <c r="H27" s="133">
        <v>37.5</v>
      </c>
      <c r="I27" s="133">
        <v>27.2</v>
      </c>
      <c r="J27" s="133">
        <v>33.181249999999999</v>
      </c>
      <c r="K27" s="18">
        <v>29.165339245815588</v>
      </c>
      <c r="L27" s="18"/>
      <c r="M27" s="18">
        <v>45.752499999999998</v>
      </c>
      <c r="N27" s="18">
        <v>39.380000000000003</v>
      </c>
      <c r="O27" s="18"/>
      <c r="P27" s="18"/>
    </row>
    <row r="28" spans="1:24" x14ac:dyDescent="0.25">
      <c r="B28" t="s">
        <v>231</v>
      </c>
      <c r="C28" s="133">
        <v>0</v>
      </c>
      <c r="D28" s="18"/>
      <c r="E28" s="133">
        <v>10</v>
      </c>
      <c r="F28" s="18"/>
      <c r="G28" s="133">
        <v>15</v>
      </c>
      <c r="H28" s="18"/>
      <c r="I28" s="133">
        <v>92</v>
      </c>
      <c r="J28" s="18"/>
      <c r="K28" s="18">
        <v>109.31</v>
      </c>
      <c r="L28" s="18"/>
      <c r="M28" s="18">
        <v>120.27</v>
      </c>
      <c r="N28" s="18">
        <v>120.27</v>
      </c>
      <c r="O28" s="18"/>
      <c r="P28" s="18"/>
      <c r="S28" s="130" t="s">
        <v>637</v>
      </c>
      <c r="T28" s="130" t="s">
        <v>638</v>
      </c>
    </row>
    <row r="29" spans="1:24" x14ac:dyDescent="0.25">
      <c r="B29" t="s">
        <v>236</v>
      </c>
      <c r="C29" s="133">
        <v>79.98</v>
      </c>
      <c r="D29" s="18"/>
      <c r="E29" s="133">
        <v>79.98</v>
      </c>
      <c r="F29" s="18"/>
      <c r="G29" s="133">
        <v>79.98</v>
      </c>
      <c r="H29" s="18"/>
      <c r="I29" s="133">
        <v>79.98</v>
      </c>
      <c r="J29" s="18"/>
      <c r="K29" s="18">
        <v>79.98</v>
      </c>
      <c r="L29" s="18"/>
      <c r="M29" s="18">
        <v>79.930000000000007</v>
      </c>
      <c r="N29" s="18">
        <v>79.930000000000007</v>
      </c>
      <c r="O29" s="18"/>
      <c r="P29" s="18"/>
      <c r="S29" s="132" t="s">
        <v>639</v>
      </c>
      <c r="T29" s="132" t="s">
        <v>640</v>
      </c>
    </row>
    <row r="30" spans="1:24" x14ac:dyDescent="0.25">
      <c r="B30" t="s">
        <v>238</v>
      </c>
      <c r="C30" s="133">
        <v>48</v>
      </c>
      <c r="D30" s="18"/>
      <c r="E30" s="133">
        <v>53</v>
      </c>
      <c r="F30" s="18"/>
      <c r="G30" s="133">
        <v>48</v>
      </c>
      <c r="H30" s="18"/>
      <c r="I30" s="133">
        <v>66.010000000000005</v>
      </c>
      <c r="J30" s="18"/>
      <c r="K30" s="18">
        <v>80.88</v>
      </c>
      <c r="L30" s="18"/>
      <c r="M30" s="18">
        <v>83.05</v>
      </c>
      <c r="N30" s="18">
        <v>83.05</v>
      </c>
      <c r="O30" s="18"/>
      <c r="P30" s="18"/>
      <c r="S30" s="134" t="s">
        <v>641</v>
      </c>
      <c r="T30" s="134" t="s">
        <v>642</v>
      </c>
    </row>
    <row r="31" spans="1:24" x14ac:dyDescent="0.25">
      <c r="B31" t="s">
        <v>557</v>
      </c>
      <c r="C31" s="133"/>
      <c r="D31" s="18"/>
      <c r="E31" s="133"/>
      <c r="F31" s="18"/>
      <c r="G31" s="133"/>
      <c r="H31" s="18"/>
      <c r="I31" s="133">
        <v>100.14</v>
      </c>
      <c r="J31" s="18"/>
      <c r="K31" s="18">
        <v>100.14</v>
      </c>
      <c r="L31" s="18"/>
      <c r="M31" s="18">
        <v>100.77</v>
      </c>
      <c r="N31" s="18">
        <v>100.77</v>
      </c>
      <c r="O31" s="18"/>
      <c r="P31" s="18"/>
      <c r="S31" s="146" t="s">
        <v>643</v>
      </c>
      <c r="T31" s="146" t="s">
        <v>559</v>
      </c>
    </row>
    <row r="32" spans="1:24" x14ac:dyDescent="0.25">
      <c r="A32" t="s">
        <v>532</v>
      </c>
      <c r="B32" t="s">
        <v>584</v>
      </c>
      <c r="C32" s="114">
        <v>3103</v>
      </c>
      <c r="D32" s="114">
        <v>3103</v>
      </c>
      <c r="E32" s="114">
        <v>3102.5</v>
      </c>
      <c r="F32" s="114">
        <v>3102.5</v>
      </c>
      <c r="G32" s="114">
        <v>3102.5</v>
      </c>
      <c r="H32" s="114">
        <v>3102.5</v>
      </c>
      <c r="I32" s="114">
        <v>3102.5</v>
      </c>
      <c r="J32" s="114">
        <v>3102.5</v>
      </c>
      <c r="K32" s="18">
        <v>3102.5</v>
      </c>
      <c r="L32" s="18"/>
      <c r="M32" s="18">
        <v>3102.5</v>
      </c>
      <c r="N32" s="18">
        <v>3102.5</v>
      </c>
      <c r="O32" s="18"/>
      <c r="P32" s="18"/>
      <c r="S32" s="136" t="s">
        <v>644</v>
      </c>
      <c r="T32" s="136" t="s">
        <v>575</v>
      </c>
    </row>
    <row r="33" spans="1:22" x14ac:dyDescent="0.25">
      <c r="B33" t="s">
        <v>626</v>
      </c>
      <c r="C33" s="137">
        <v>3.4</v>
      </c>
      <c r="D33" s="137"/>
      <c r="E33" s="137">
        <v>3.4</v>
      </c>
      <c r="F33" s="137"/>
      <c r="G33" s="137">
        <v>3.4</v>
      </c>
      <c r="H33" s="137"/>
      <c r="I33" s="137">
        <v>3.4</v>
      </c>
      <c r="J33" s="137"/>
      <c r="K33" s="18">
        <v>3.4</v>
      </c>
      <c r="L33" s="18"/>
      <c r="M33" s="18">
        <v>3.4</v>
      </c>
      <c r="N33" s="18">
        <v>3.4</v>
      </c>
      <c r="O33" s="18"/>
      <c r="P33" s="18"/>
    </row>
    <row r="34" spans="1:22" x14ac:dyDescent="0.25">
      <c r="B34" t="s">
        <v>627</v>
      </c>
      <c r="C34" s="137">
        <v>0.9</v>
      </c>
      <c r="D34" s="137"/>
      <c r="E34" s="137">
        <v>0.9</v>
      </c>
      <c r="F34" s="137"/>
      <c r="G34" s="137">
        <v>0.9</v>
      </c>
      <c r="H34" s="137"/>
      <c r="I34" s="137">
        <v>0.9</v>
      </c>
      <c r="J34" s="137"/>
      <c r="K34" s="18">
        <v>0.9</v>
      </c>
      <c r="L34" s="18"/>
      <c r="M34" s="18">
        <v>0.9</v>
      </c>
      <c r="N34" s="18">
        <v>0.9</v>
      </c>
      <c r="O34" s="18"/>
      <c r="P34" s="18"/>
      <c r="S34" t="s">
        <v>754</v>
      </c>
      <c r="T34" t="s">
        <v>762</v>
      </c>
    </row>
    <row r="35" spans="1:22" x14ac:dyDescent="0.25">
      <c r="A35" t="s">
        <v>575</v>
      </c>
      <c r="B35" t="s">
        <v>525</v>
      </c>
      <c r="C35" s="21"/>
      <c r="D35" s="21"/>
      <c r="E35" s="21"/>
      <c r="F35" s="21"/>
      <c r="G35" s="21"/>
      <c r="H35" s="21"/>
      <c r="I35" s="21">
        <v>0.10299999999999999</v>
      </c>
      <c r="J35" s="21">
        <v>-0.106</v>
      </c>
      <c r="K35" s="21">
        <v>4.8945290938999996E-3</v>
      </c>
      <c r="L35" s="21">
        <v>4.5776239147999999E-3</v>
      </c>
      <c r="M35" s="21"/>
      <c r="N35" s="21"/>
      <c r="O35" s="21"/>
      <c r="P35" s="21"/>
      <c r="S35" t="s">
        <v>755</v>
      </c>
      <c r="T35" t="s">
        <v>5</v>
      </c>
    </row>
    <row r="36" spans="1:22" x14ac:dyDescent="0.25">
      <c r="B36" t="s">
        <v>526</v>
      </c>
      <c r="C36" s="21"/>
      <c r="D36" s="21"/>
      <c r="E36" s="21"/>
      <c r="F36" s="21"/>
      <c r="G36" s="21"/>
      <c r="H36" s="21"/>
      <c r="I36" s="21">
        <v>4.6262661114707893E-2</v>
      </c>
      <c r="J36" s="21">
        <v>-3.1046501075563837E-2</v>
      </c>
      <c r="K36" s="21">
        <v>4.4104026435999996E-3</v>
      </c>
      <c r="L36" s="21">
        <v>-1.556351194E-2</v>
      </c>
      <c r="M36" s="21"/>
      <c r="N36" s="21"/>
      <c r="O36" s="21"/>
      <c r="P36" s="21"/>
      <c r="S36" t="s">
        <v>756</v>
      </c>
      <c r="T36" s="18" t="s">
        <v>7</v>
      </c>
      <c r="U36" s="18"/>
    </row>
    <row r="37" spans="1:22" x14ac:dyDescent="0.25">
      <c r="B37" t="s">
        <v>238</v>
      </c>
      <c r="C37" s="135">
        <v>0.18</v>
      </c>
      <c r="D37" s="135">
        <v>0.25</v>
      </c>
      <c r="E37" s="135">
        <v>0.25</v>
      </c>
      <c r="F37" s="135">
        <v>0.25</v>
      </c>
      <c r="G37" s="135">
        <v>0.7</v>
      </c>
      <c r="H37" s="135">
        <v>0.5</v>
      </c>
      <c r="I37" s="135">
        <v>0.7</v>
      </c>
      <c r="J37" s="135">
        <v>1</v>
      </c>
      <c r="K37" s="21">
        <v>1</v>
      </c>
      <c r="L37" s="21">
        <v>2</v>
      </c>
      <c r="M37" s="21"/>
      <c r="N37" s="21"/>
      <c r="O37" s="21"/>
      <c r="P37" s="21"/>
      <c r="S37" t="s">
        <v>757</v>
      </c>
      <c r="T37" t="s">
        <v>6</v>
      </c>
      <c r="U37" s="18"/>
    </row>
    <row r="38" spans="1:22" x14ac:dyDescent="0.25">
      <c r="B38" t="s">
        <v>230</v>
      </c>
      <c r="C38" s="135">
        <v>0.25</v>
      </c>
      <c r="D38" s="135">
        <v>0.35</v>
      </c>
      <c r="E38" s="135">
        <v>0.5</v>
      </c>
      <c r="F38" s="135">
        <v>0.5</v>
      </c>
      <c r="G38" s="135">
        <v>0.65</v>
      </c>
      <c r="H38" s="135">
        <v>0.5</v>
      </c>
      <c r="I38" s="135">
        <v>0.75</v>
      </c>
      <c r="J38" s="135">
        <v>0.5</v>
      </c>
      <c r="K38" s="21">
        <v>0.01</v>
      </c>
      <c r="L38" s="21">
        <v>0.01</v>
      </c>
      <c r="M38" s="21"/>
      <c r="N38" s="21"/>
      <c r="O38" s="21"/>
      <c r="P38" s="21"/>
      <c r="S38" t="s">
        <v>758</v>
      </c>
      <c r="T38" t="s">
        <v>763</v>
      </c>
    </row>
    <row r="39" spans="1:22" x14ac:dyDescent="0.25">
      <c r="B39" t="s">
        <v>577</v>
      </c>
      <c r="C39" s="135">
        <v>0.15</v>
      </c>
      <c r="D39" s="135">
        <v>0.1</v>
      </c>
      <c r="E39" s="135">
        <v>0.12</v>
      </c>
      <c r="F39" s="135">
        <v>0.1</v>
      </c>
      <c r="G39" s="135">
        <v>0.35</v>
      </c>
      <c r="H39" s="135">
        <v>0.25</v>
      </c>
      <c r="I39" s="135">
        <v>7.0000000000000007E-2</v>
      </c>
      <c r="J39" s="135">
        <v>0.1</v>
      </c>
      <c r="K39" s="21">
        <v>6.5668580803999996E-2</v>
      </c>
      <c r="L39" s="21">
        <v>0.14299109235999999</v>
      </c>
      <c r="M39" s="21"/>
      <c r="N39" s="21"/>
      <c r="O39" s="21"/>
      <c r="P39" s="21"/>
      <c r="S39" t="s">
        <v>760</v>
      </c>
      <c r="T39" s="18" t="s">
        <v>764</v>
      </c>
      <c r="V39" s="18"/>
    </row>
    <row r="40" spans="1:22" x14ac:dyDescent="0.25">
      <c r="A40" t="s">
        <v>559</v>
      </c>
      <c r="B40" t="s">
        <v>5</v>
      </c>
      <c r="C40" s="145">
        <v>0.10150000000000001</v>
      </c>
      <c r="D40" s="145">
        <v>0.10100000000000001</v>
      </c>
      <c r="E40" s="145">
        <v>0.10199999999999999</v>
      </c>
      <c r="F40" s="145">
        <v>0.10199999999999999</v>
      </c>
      <c r="G40" s="145">
        <v>0.10100000000000001</v>
      </c>
      <c r="H40" s="145">
        <v>0.10100000000000001</v>
      </c>
      <c r="I40" s="145">
        <v>0.10100000000000001</v>
      </c>
      <c r="J40" s="145">
        <v>0.10100000000000001</v>
      </c>
      <c r="K40" s="21">
        <v>0.10100000000000001</v>
      </c>
      <c r="L40" s="21"/>
      <c r="M40" s="21"/>
      <c r="N40" s="21"/>
      <c r="O40" s="21"/>
      <c r="P40" s="21"/>
      <c r="S40" t="s">
        <v>761</v>
      </c>
      <c r="T40" t="s">
        <v>765</v>
      </c>
    </row>
    <row r="41" spans="1:22" x14ac:dyDescent="0.25">
      <c r="B41" t="s">
        <v>7</v>
      </c>
      <c r="C41" s="145">
        <v>9.8000000000000004E-2</v>
      </c>
      <c r="D41" s="145">
        <v>9.5000000000000001E-2</v>
      </c>
      <c r="E41" s="145">
        <v>0.11</v>
      </c>
      <c r="F41" s="145">
        <v>0.1</v>
      </c>
      <c r="G41" s="145">
        <v>0.105</v>
      </c>
      <c r="H41" s="145">
        <v>9.8000000000000004E-2</v>
      </c>
      <c r="I41" s="145">
        <v>9.6000000000000002E-2</v>
      </c>
      <c r="J41" s="145">
        <v>8.5999999999999993E-2</v>
      </c>
      <c r="K41" s="21">
        <v>6.9000000000000006E-2</v>
      </c>
      <c r="L41" s="21"/>
      <c r="M41" s="21"/>
      <c r="N41" s="21"/>
      <c r="O41" s="21"/>
      <c r="P41" s="21"/>
      <c r="S41" t="s">
        <v>766</v>
      </c>
      <c r="T41" t="s">
        <v>30</v>
      </c>
    </row>
    <row r="42" spans="1:22" x14ac:dyDescent="0.25">
      <c r="B42" t="s">
        <v>30</v>
      </c>
      <c r="C42" s="145">
        <v>0.97499999999999998</v>
      </c>
      <c r="D42" s="145">
        <v>0.95</v>
      </c>
      <c r="E42" s="145">
        <v>0.95</v>
      </c>
      <c r="F42" s="145">
        <v>0.92500000000000004</v>
      </c>
      <c r="G42" s="145">
        <v>0.9</v>
      </c>
      <c r="H42" s="145">
        <v>0.875</v>
      </c>
      <c r="I42" s="145">
        <v>0.75</v>
      </c>
      <c r="J42" s="145">
        <v>0.67500000000000004</v>
      </c>
      <c r="K42" s="21">
        <v>0.7</v>
      </c>
      <c r="L42" s="21"/>
      <c r="M42" s="21"/>
      <c r="N42" s="21"/>
      <c r="O42" s="21"/>
      <c r="P42" s="21"/>
      <c r="S42" t="s">
        <v>759</v>
      </c>
      <c r="T42" t="s">
        <v>676</v>
      </c>
    </row>
    <row r="43" spans="1:22" x14ac:dyDescent="0.25">
      <c r="B43" t="s">
        <v>225</v>
      </c>
      <c r="C43" s="145">
        <v>0.1</v>
      </c>
      <c r="D43" s="145">
        <v>0.08</v>
      </c>
      <c r="E43" s="145">
        <v>3.5000000000000003E-2</v>
      </c>
      <c r="F43" s="145">
        <v>2.5000000000000001E-2</v>
      </c>
      <c r="G43" s="145">
        <v>0.06</v>
      </c>
      <c r="H43" s="145">
        <v>0.03</v>
      </c>
      <c r="I43" s="145">
        <v>7.2999999999999995E-2</v>
      </c>
      <c r="J43" s="145">
        <v>4.2000000000000003E-2</v>
      </c>
      <c r="K43" s="21">
        <v>3.5000000000000003E-2</v>
      </c>
      <c r="L43" s="21"/>
      <c r="M43" s="21"/>
      <c r="N43" s="21"/>
      <c r="O43" s="21"/>
      <c r="P43" s="21"/>
    </row>
    <row r="44" spans="1:22" x14ac:dyDescent="0.25">
      <c r="B44" t="s">
        <v>238</v>
      </c>
      <c r="C44" s="145">
        <v>0.35</v>
      </c>
      <c r="D44" s="145">
        <v>0.3</v>
      </c>
      <c r="E44" s="145"/>
      <c r="F44" s="145">
        <v>0.2</v>
      </c>
      <c r="G44" s="145"/>
      <c r="H44" s="145"/>
      <c r="I44" s="145"/>
      <c r="J44" s="145"/>
      <c r="K44" s="21"/>
      <c r="L44" s="21"/>
      <c r="M44" s="21"/>
      <c r="N44" s="21"/>
      <c r="O44" s="21"/>
      <c r="P44" s="21"/>
      <c r="S44" s="106" t="s">
        <v>767</v>
      </c>
      <c r="T44" s="106" t="s">
        <v>768</v>
      </c>
    </row>
    <row r="45" spans="1:22" x14ac:dyDescent="0.25">
      <c r="S45" s="138" t="s">
        <v>769</v>
      </c>
      <c r="T45" s="138" t="s">
        <v>770</v>
      </c>
    </row>
  </sheetData>
  <mergeCells count="2">
    <mergeCell ref="S23:U23"/>
    <mergeCell ref="V4:X4"/>
  </mergeCell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57"/>
  <sheetViews>
    <sheetView workbookViewId="0">
      <pane xSplit="4" ySplit="1" topLeftCell="E29" activePane="bottomRight" state="frozen"/>
      <selection pane="topRight" activeCell="E1" sqref="E1"/>
      <selection pane="bottomLeft" activeCell="A2" sqref="A2"/>
      <selection pane="bottomRight" activeCell="AB20" sqref="AB20:AB28"/>
    </sheetView>
  </sheetViews>
  <sheetFormatPr defaultRowHeight="15" x14ac:dyDescent="0.25"/>
  <cols>
    <col min="3" max="3" width="19.42578125" customWidth="1"/>
    <col min="4" max="4" width="16.42578125" bestFit="1" customWidth="1"/>
    <col min="5" max="5" width="28.28515625" customWidth="1"/>
  </cols>
  <sheetData>
    <row r="1" spans="1:26" x14ac:dyDescent="0.25">
      <c r="A1" t="s">
        <v>576</v>
      </c>
      <c r="B1" t="s">
        <v>219</v>
      </c>
      <c r="C1" t="s">
        <v>224</v>
      </c>
      <c r="D1" t="s">
        <v>524</v>
      </c>
      <c r="E1" t="s">
        <v>574</v>
      </c>
    </row>
    <row r="2" spans="1:26" x14ac:dyDescent="0.25">
      <c r="A2" s="16">
        <v>45292</v>
      </c>
      <c r="B2" s="16">
        <v>45292</v>
      </c>
      <c r="C2" t="s">
        <v>525</v>
      </c>
      <c r="D2" t="s">
        <v>529</v>
      </c>
      <c r="E2" s="8">
        <v>122.48</v>
      </c>
      <c r="F2" t="s">
        <v>678</v>
      </c>
    </row>
    <row r="3" spans="1:26" x14ac:dyDescent="0.25">
      <c r="A3" s="16">
        <v>45292</v>
      </c>
      <c r="B3" s="16">
        <v>45292</v>
      </c>
      <c r="C3" t="s">
        <v>526</v>
      </c>
      <c r="D3" t="s">
        <v>529</v>
      </c>
      <c r="E3" s="8">
        <v>134.47999999999999</v>
      </c>
      <c r="F3" t="s">
        <v>678</v>
      </c>
      <c r="H3" t="s">
        <v>646</v>
      </c>
    </row>
    <row r="4" spans="1:26" x14ac:dyDescent="0.25">
      <c r="A4" s="16">
        <v>45292</v>
      </c>
      <c r="B4" s="16">
        <v>45292</v>
      </c>
      <c r="C4" t="s">
        <v>236</v>
      </c>
      <c r="D4" t="s">
        <v>529</v>
      </c>
      <c r="E4" s="8">
        <v>105.5</v>
      </c>
      <c r="F4" t="s">
        <v>678</v>
      </c>
      <c r="H4" s="70" t="s">
        <v>645</v>
      </c>
    </row>
    <row r="5" spans="1:26" x14ac:dyDescent="0.25">
      <c r="A5" s="16">
        <v>45292</v>
      </c>
      <c r="B5" s="16">
        <v>45292</v>
      </c>
      <c r="C5" t="s">
        <v>245</v>
      </c>
      <c r="D5" t="s">
        <v>529</v>
      </c>
      <c r="E5" s="8">
        <v>78.83</v>
      </c>
      <c r="F5" t="s">
        <v>678</v>
      </c>
    </row>
    <row r="6" spans="1:26" x14ac:dyDescent="0.25">
      <c r="A6" s="16">
        <v>45292</v>
      </c>
      <c r="B6" s="16">
        <v>45292</v>
      </c>
      <c r="C6" t="s">
        <v>231</v>
      </c>
      <c r="D6" t="s">
        <v>529</v>
      </c>
      <c r="E6" s="8">
        <v>3.6</v>
      </c>
      <c r="F6" t="s">
        <v>678</v>
      </c>
    </row>
    <row r="7" spans="1:26" x14ac:dyDescent="0.25">
      <c r="A7" s="16">
        <v>45292</v>
      </c>
      <c r="B7" s="16">
        <v>45292</v>
      </c>
      <c r="C7" t="s">
        <v>18</v>
      </c>
      <c r="D7" t="s">
        <v>529</v>
      </c>
      <c r="E7" s="8">
        <v>120</v>
      </c>
      <c r="F7" t="s">
        <v>678</v>
      </c>
    </row>
    <row r="8" spans="1:26" x14ac:dyDescent="0.25">
      <c r="A8" s="16">
        <v>45292</v>
      </c>
      <c r="B8" s="16">
        <v>45292</v>
      </c>
      <c r="C8" t="s">
        <v>5</v>
      </c>
      <c r="D8" t="s">
        <v>529</v>
      </c>
      <c r="E8" s="8">
        <v>81.510000000000005</v>
      </c>
      <c r="F8" t="s">
        <v>678</v>
      </c>
    </row>
    <row r="9" spans="1:26" x14ac:dyDescent="0.25">
      <c r="A9" s="16">
        <v>45292</v>
      </c>
      <c r="B9" s="16">
        <v>45292</v>
      </c>
      <c r="C9" t="s">
        <v>7</v>
      </c>
      <c r="D9" t="s">
        <v>529</v>
      </c>
      <c r="E9" s="8">
        <v>126.13</v>
      </c>
      <c r="F9" t="s">
        <v>678</v>
      </c>
    </row>
    <row r="10" spans="1:26" x14ac:dyDescent="0.25">
      <c r="A10" s="16">
        <v>45292</v>
      </c>
      <c r="B10" s="16">
        <v>45292</v>
      </c>
      <c r="C10" t="s">
        <v>225</v>
      </c>
      <c r="D10" t="s">
        <v>529</v>
      </c>
      <c r="E10" s="8">
        <v>129.65</v>
      </c>
      <c r="F10" t="s">
        <v>678</v>
      </c>
    </row>
    <row r="11" spans="1:26" x14ac:dyDescent="0.25">
      <c r="A11" s="16">
        <v>45292</v>
      </c>
      <c r="B11" s="16">
        <v>45292</v>
      </c>
      <c r="C11" t="s">
        <v>238</v>
      </c>
      <c r="D11" t="s">
        <v>529</v>
      </c>
      <c r="E11" s="8">
        <v>89.63</v>
      </c>
      <c r="F11" t="s">
        <v>678</v>
      </c>
      <c r="H11" t="s">
        <v>679</v>
      </c>
    </row>
    <row r="12" spans="1:26" x14ac:dyDescent="0.25">
      <c r="A12" s="16">
        <v>45292</v>
      </c>
      <c r="B12" s="16">
        <v>45292</v>
      </c>
      <c r="C12" t="s">
        <v>527</v>
      </c>
      <c r="D12" t="s">
        <v>529</v>
      </c>
      <c r="E12" s="8">
        <v>122.48</v>
      </c>
      <c r="F12" t="s">
        <v>678</v>
      </c>
    </row>
    <row r="13" spans="1:26" x14ac:dyDescent="0.25">
      <c r="A13" s="16">
        <v>45292</v>
      </c>
      <c r="B13" s="16">
        <v>45292</v>
      </c>
      <c r="C13" t="s">
        <v>528</v>
      </c>
      <c r="D13" t="s">
        <v>529</v>
      </c>
      <c r="E13" s="8">
        <v>126.37</v>
      </c>
      <c r="F13" t="s">
        <v>678</v>
      </c>
    </row>
    <row r="14" spans="1:26" x14ac:dyDescent="0.25">
      <c r="A14" s="16">
        <v>45292</v>
      </c>
      <c r="B14" s="16">
        <v>45292</v>
      </c>
      <c r="C14" t="s">
        <v>525</v>
      </c>
      <c r="D14" t="s">
        <v>530</v>
      </c>
      <c r="E14" s="8">
        <v>90.21</v>
      </c>
      <c r="F14" t="s">
        <v>653</v>
      </c>
      <c r="H14" t="s">
        <v>677</v>
      </c>
    </row>
    <row r="15" spans="1:26" x14ac:dyDescent="0.25">
      <c r="A15" s="16">
        <v>45292</v>
      </c>
      <c r="B15" s="16">
        <v>45292</v>
      </c>
      <c r="C15" t="s">
        <v>526</v>
      </c>
      <c r="D15" t="s">
        <v>530</v>
      </c>
      <c r="E15" s="8">
        <v>90.84</v>
      </c>
      <c r="F15" t="s">
        <v>653</v>
      </c>
    </row>
    <row r="16" spans="1:26" x14ac:dyDescent="0.25">
      <c r="A16" s="16">
        <v>45292</v>
      </c>
      <c r="B16" s="16">
        <v>45292</v>
      </c>
      <c r="C16" t="s">
        <v>528</v>
      </c>
      <c r="D16" t="s">
        <v>530</v>
      </c>
      <c r="E16" s="8">
        <v>90.8</v>
      </c>
      <c r="F16" t="s">
        <v>653</v>
      </c>
      <c r="H16" t="s">
        <v>680</v>
      </c>
      <c r="R16" t="s">
        <v>823</v>
      </c>
      <c r="V16" t="s">
        <v>824</v>
      </c>
      <c r="Z16" t="s">
        <v>826</v>
      </c>
    </row>
    <row r="17" spans="1:28" x14ac:dyDescent="0.25">
      <c r="A17" s="16">
        <v>45292</v>
      </c>
      <c r="B17" s="16">
        <v>45292</v>
      </c>
      <c r="C17" t="s">
        <v>525</v>
      </c>
      <c r="D17" t="s">
        <v>531</v>
      </c>
      <c r="E17" s="8">
        <v>100.14</v>
      </c>
      <c r="F17" t="s">
        <v>653</v>
      </c>
    </row>
    <row r="18" spans="1:28" x14ac:dyDescent="0.25">
      <c r="A18" s="16">
        <v>45292</v>
      </c>
      <c r="B18" s="16">
        <v>45292</v>
      </c>
      <c r="C18" t="s">
        <v>526</v>
      </c>
      <c r="D18" t="s">
        <v>531</v>
      </c>
      <c r="E18" s="8">
        <v>100.74</v>
      </c>
      <c r="F18" t="s">
        <v>653</v>
      </c>
      <c r="S18" t="s">
        <v>4</v>
      </c>
      <c r="T18" t="s">
        <v>3</v>
      </c>
      <c r="V18" t="s">
        <v>4</v>
      </c>
      <c r="W18" t="s">
        <v>7</v>
      </c>
      <c r="X18" t="s">
        <v>825</v>
      </c>
      <c r="Z18" t="s">
        <v>4</v>
      </c>
      <c r="AA18" t="s">
        <v>7</v>
      </c>
      <c r="AB18" t="s">
        <v>825</v>
      </c>
    </row>
    <row r="19" spans="1:28" x14ac:dyDescent="0.25">
      <c r="A19" s="16">
        <v>45292</v>
      </c>
      <c r="B19" s="16">
        <v>45292</v>
      </c>
      <c r="C19" t="s">
        <v>527</v>
      </c>
      <c r="D19" t="s">
        <v>531</v>
      </c>
      <c r="E19" s="8">
        <v>98.06</v>
      </c>
      <c r="F19" t="s">
        <v>653</v>
      </c>
      <c r="R19">
        <v>2016</v>
      </c>
      <c r="S19">
        <v>98.37</v>
      </c>
      <c r="T19">
        <v>99.36</v>
      </c>
      <c r="V19" s="8">
        <f>+'CI Trend'!AQ6</f>
        <v>63.281882080974157</v>
      </c>
      <c r="W19" s="8">
        <f>+'CI Trend'!AQ7</f>
        <v>51.900486040330627</v>
      </c>
      <c r="X19" s="8">
        <f>+'CI Trend'!AQ8</f>
        <v>0</v>
      </c>
      <c r="Z19" s="8">
        <f>+S19-V19</f>
        <v>35.088117919025848</v>
      </c>
      <c r="AA19" s="8">
        <f>+T19-W19</f>
        <v>47.459513959669373</v>
      </c>
    </row>
    <row r="20" spans="1:28" x14ac:dyDescent="0.25">
      <c r="A20" s="16">
        <v>45292</v>
      </c>
      <c r="B20" s="16">
        <v>45292</v>
      </c>
      <c r="C20" t="s">
        <v>231</v>
      </c>
      <c r="D20" t="s">
        <v>531</v>
      </c>
      <c r="E20" s="8">
        <v>0</v>
      </c>
      <c r="R20">
        <v>2017</v>
      </c>
      <c r="S20">
        <v>98.13</v>
      </c>
      <c r="T20">
        <v>99.14</v>
      </c>
      <c r="V20" s="8">
        <f>+'CI Trend'!AR6</f>
        <v>62.667879753847885</v>
      </c>
      <c r="W20" s="8">
        <f>+'CI Trend'!AR7</f>
        <v>47.178114702642979</v>
      </c>
      <c r="X20" s="8">
        <f>+'CI Trend'!AR8</f>
        <v>33.64</v>
      </c>
      <c r="Z20" s="8">
        <f t="shared" ref="Z20:AA28" si="0">+S20-V20</f>
        <v>35.462120246152111</v>
      </c>
      <c r="AA20" s="8">
        <f t="shared" si="0"/>
        <v>51.961885297357021</v>
      </c>
      <c r="AB20" s="8">
        <f>+T20-X20</f>
        <v>65.5</v>
      </c>
    </row>
    <row r="21" spans="1:28" x14ac:dyDescent="0.25">
      <c r="A21" s="16">
        <v>45292</v>
      </c>
      <c r="B21" s="16">
        <v>45292</v>
      </c>
      <c r="C21" t="s">
        <v>236</v>
      </c>
      <c r="D21" t="s">
        <v>531</v>
      </c>
      <c r="E21" s="8">
        <v>79.98</v>
      </c>
      <c r="F21" t="s">
        <v>653</v>
      </c>
      <c r="R21">
        <v>2018</v>
      </c>
      <c r="S21">
        <v>97.66</v>
      </c>
      <c r="T21">
        <v>98.61</v>
      </c>
      <c r="V21" s="8">
        <f>+'CI Trend'!AS6</f>
        <v>60.863121305588329</v>
      </c>
      <c r="W21" s="8">
        <f>+'CI Trend'!AS7</f>
        <v>45.237497693801501</v>
      </c>
      <c r="X21" s="8">
        <f>+'CI Trend'!AS8</f>
        <v>39.09764666383375</v>
      </c>
      <c r="Z21" s="8">
        <f t="shared" si="0"/>
        <v>36.796878694411667</v>
      </c>
      <c r="AA21" s="8">
        <f t="shared" si="0"/>
        <v>53.372502306198498</v>
      </c>
      <c r="AB21" s="8">
        <f t="shared" ref="AB21:AB28" si="1">+T21-X21</f>
        <v>59.51235333616625</v>
      </c>
    </row>
    <row r="22" spans="1:28" x14ac:dyDescent="0.25">
      <c r="A22" s="16">
        <v>45292</v>
      </c>
      <c r="B22" s="16">
        <v>44927</v>
      </c>
      <c r="C22" t="s">
        <v>30</v>
      </c>
      <c r="D22" t="s">
        <v>531</v>
      </c>
      <c r="E22" s="8">
        <v>0</v>
      </c>
      <c r="R22">
        <v>2019</v>
      </c>
      <c r="S22">
        <v>96.59</v>
      </c>
      <c r="T22">
        <v>97.26</v>
      </c>
      <c r="V22" s="8">
        <f>+'CI Trend'!AT6</f>
        <v>58.086587983738774</v>
      </c>
      <c r="W22" s="8">
        <f>+'CI Trend'!AT7</f>
        <v>38.653140121327112</v>
      </c>
      <c r="X22" s="8">
        <f>+'CI Trend'!AT8</f>
        <v>30.108851344683323</v>
      </c>
      <c r="Z22" s="8">
        <f t="shared" si="0"/>
        <v>38.50341201626123</v>
      </c>
      <c r="AA22" s="8">
        <f t="shared" si="0"/>
        <v>58.606859878672893</v>
      </c>
      <c r="AB22" s="8">
        <f t="shared" si="1"/>
        <v>67.151148655316689</v>
      </c>
    </row>
    <row r="23" spans="1:28" x14ac:dyDescent="0.25">
      <c r="A23" s="16">
        <v>45292</v>
      </c>
      <c r="B23" s="16">
        <v>45292</v>
      </c>
      <c r="C23" t="s">
        <v>30</v>
      </c>
      <c r="D23" t="s">
        <v>531</v>
      </c>
      <c r="E23" s="8">
        <v>0</v>
      </c>
      <c r="R23">
        <v>2020</v>
      </c>
      <c r="S23">
        <v>95.61</v>
      </c>
      <c r="T23">
        <v>96.27</v>
      </c>
      <c r="V23" s="8">
        <f>+'CI Trend'!AU6</f>
        <v>54.76250762154914</v>
      </c>
      <c r="W23" s="8">
        <f>+'CI Trend'!AU7</f>
        <v>42.136654583905496</v>
      </c>
      <c r="X23" s="8">
        <f>+'CI Trend'!AU8</f>
        <v>31.481638380492861</v>
      </c>
      <c r="Z23" s="8">
        <f t="shared" si="0"/>
        <v>40.847492378450859</v>
      </c>
      <c r="AA23" s="8">
        <f t="shared" si="0"/>
        <v>54.1333454160945</v>
      </c>
      <c r="AB23" s="8">
        <f t="shared" si="1"/>
        <v>64.788361619507128</v>
      </c>
    </row>
    <row r="24" spans="1:28" x14ac:dyDescent="0.25">
      <c r="A24" s="16">
        <v>45292</v>
      </c>
      <c r="B24" s="16">
        <v>45292</v>
      </c>
      <c r="C24" t="s">
        <v>238</v>
      </c>
      <c r="D24" t="s">
        <v>531</v>
      </c>
      <c r="E24" s="8">
        <v>32</v>
      </c>
      <c r="F24" t="s">
        <v>653</v>
      </c>
      <c r="R24">
        <v>2021</v>
      </c>
      <c r="S24">
        <v>94.63</v>
      </c>
      <c r="T24">
        <v>95.29</v>
      </c>
      <c r="V24" s="8">
        <f>+'CI Trend'!AV6</f>
        <v>53.717956174981033</v>
      </c>
      <c r="W24" s="8">
        <f>+'CI Trend'!AV7</f>
        <v>41.821512929244939</v>
      </c>
      <c r="X24" s="8">
        <f>+'CI Trend'!AV8</f>
        <v>36.964289320926227</v>
      </c>
      <c r="Z24" s="8">
        <f t="shared" si="0"/>
        <v>40.912043825018962</v>
      </c>
      <c r="AA24" s="8">
        <f t="shared" si="0"/>
        <v>53.468487070755067</v>
      </c>
      <c r="AB24" s="8">
        <f t="shared" si="1"/>
        <v>58.325710679073779</v>
      </c>
    </row>
    <row r="25" spans="1:28" x14ac:dyDescent="0.25">
      <c r="A25" s="16">
        <v>45292</v>
      </c>
      <c r="B25" s="16">
        <v>44927</v>
      </c>
      <c r="C25" t="s">
        <v>5</v>
      </c>
      <c r="D25" t="s">
        <v>531</v>
      </c>
      <c r="E25" s="8">
        <v>50</v>
      </c>
      <c r="R25">
        <v>2022</v>
      </c>
      <c r="S25">
        <v>93.15</v>
      </c>
      <c r="T25">
        <v>93.81</v>
      </c>
      <c r="V25" s="8">
        <f>+'CI Trend'!AW6</f>
        <v>53.407431487636629</v>
      </c>
      <c r="W25" s="8">
        <f>+'CI Trend'!AW7</f>
        <v>41.499166320052083</v>
      </c>
      <c r="X25" s="8">
        <f>+'CI Trend'!AW8</f>
        <v>39.161223731186084</v>
      </c>
      <c r="Z25" s="8">
        <f t="shared" si="0"/>
        <v>39.742568512363377</v>
      </c>
      <c r="AA25" s="8">
        <f t="shared" si="0"/>
        <v>52.310833679947919</v>
      </c>
      <c r="AB25" s="8">
        <f t="shared" si="1"/>
        <v>54.648776268813918</v>
      </c>
    </row>
    <row r="26" spans="1:28" x14ac:dyDescent="0.25">
      <c r="A26" s="16">
        <v>45292</v>
      </c>
      <c r="B26" s="16">
        <v>45292</v>
      </c>
      <c r="C26" t="s">
        <v>5</v>
      </c>
      <c r="D26" t="s">
        <v>531</v>
      </c>
      <c r="E26" s="39">
        <v>48.5</v>
      </c>
      <c r="R26">
        <v>2023</v>
      </c>
      <c r="S26">
        <v>91.68</v>
      </c>
      <c r="T26">
        <v>92.32</v>
      </c>
      <c r="V26" s="8">
        <f>+'CI Trend'!AX6</f>
        <v>51</v>
      </c>
      <c r="W26" s="8">
        <f>+'CI Trend'!AX7</f>
        <v>41</v>
      </c>
      <c r="X26" s="8">
        <f>+'CI Trend'!AX8</f>
        <v>40.5</v>
      </c>
      <c r="Z26" s="8">
        <f t="shared" si="0"/>
        <v>40.680000000000007</v>
      </c>
      <c r="AA26" s="8">
        <f t="shared" si="0"/>
        <v>51.319999999999993</v>
      </c>
      <c r="AB26" s="8">
        <f t="shared" si="1"/>
        <v>51.819999999999993</v>
      </c>
    </row>
    <row r="27" spans="1:28" x14ac:dyDescent="0.25">
      <c r="A27" s="16">
        <v>45292</v>
      </c>
      <c r="B27" s="16">
        <v>44927</v>
      </c>
      <c r="C27" t="s">
        <v>7</v>
      </c>
      <c r="D27" t="s">
        <v>531</v>
      </c>
      <c r="E27" s="39">
        <v>39</v>
      </c>
      <c r="R27">
        <v>2024</v>
      </c>
      <c r="S27">
        <v>90.21</v>
      </c>
      <c r="T27">
        <v>90.84</v>
      </c>
      <c r="V27" s="8">
        <f>+'CI Trend'!AY6</f>
        <v>50</v>
      </c>
      <c r="W27" s="8">
        <f>+'CI Trend'!AY7</f>
        <v>40.5</v>
      </c>
      <c r="X27" s="8">
        <f>+'CI Trend'!AY8</f>
        <v>41.45</v>
      </c>
      <c r="Z27" s="8">
        <f t="shared" si="0"/>
        <v>40.209999999999994</v>
      </c>
      <c r="AA27" s="8">
        <f t="shared" si="0"/>
        <v>50.34</v>
      </c>
      <c r="AB27" s="8">
        <f t="shared" si="1"/>
        <v>49.39</v>
      </c>
    </row>
    <row r="28" spans="1:28" x14ac:dyDescent="0.25">
      <c r="A28" s="16">
        <v>45292</v>
      </c>
      <c r="B28" s="16">
        <v>45292</v>
      </c>
      <c r="C28" t="s">
        <v>7</v>
      </c>
      <c r="D28" t="s">
        <v>531</v>
      </c>
      <c r="E28" s="39">
        <v>37.5</v>
      </c>
      <c r="R28">
        <v>2025</v>
      </c>
      <c r="S28">
        <v>88.25</v>
      </c>
      <c r="T28">
        <v>88.87</v>
      </c>
      <c r="V28" s="8">
        <v>50</v>
      </c>
      <c r="W28" s="8">
        <v>40</v>
      </c>
      <c r="X28" s="8">
        <v>38.25</v>
      </c>
      <c r="Z28" s="8">
        <f t="shared" si="0"/>
        <v>38.25</v>
      </c>
      <c r="AA28" s="8">
        <f t="shared" si="0"/>
        <v>48.870000000000005</v>
      </c>
      <c r="AB28" s="8">
        <f t="shared" si="1"/>
        <v>50.620000000000005</v>
      </c>
    </row>
    <row r="29" spans="1:28" x14ac:dyDescent="0.25">
      <c r="A29" s="16">
        <v>45292</v>
      </c>
      <c r="B29" s="16">
        <v>44927</v>
      </c>
      <c r="C29" t="s">
        <v>225</v>
      </c>
      <c r="D29" t="s">
        <v>531</v>
      </c>
      <c r="E29" s="39">
        <v>34</v>
      </c>
    </row>
    <row r="30" spans="1:28" x14ac:dyDescent="0.25">
      <c r="A30" s="16">
        <v>45292</v>
      </c>
      <c r="B30" s="16">
        <v>45292</v>
      </c>
      <c r="C30" t="s">
        <v>225</v>
      </c>
      <c r="D30" t="s">
        <v>531</v>
      </c>
      <c r="E30" s="39">
        <v>32.5</v>
      </c>
    </row>
    <row r="31" spans="1:28" x14ac:dyDescent="0.25">
      <c r="A31" s="16">
        <v>45292</v>
      </c>
      <c r="B31" s="16">
        <v>44927</v>
      </c>
      <c r="C31" t="s">
        <v>578</v>
      </c>
      <c r="D31" t="s">
        <v>532</v>
      </c>
      <c r="E31" s="9">
        <v>3103</v>
      </c>
    </row>
    <row r="32" spans="1:28" x14ac:dyDescent="0.25">
      <c r="A32" s="16">
        <v>45292</v>
      </c>
      <c r="B32" s="16">
        <v>45292</v>
      </c>
      <c r="C32" t="s">
        <v>578</v>
      </c>
      <c r="D32" t="s">
        <v>532</v>
      </c>
      <c r="E32" s="9">
        <v>3103</v>
      </c>
    </row>
    <row r="33" spans="1:8" x14ac:dyDescent="0.25">
      <c r="A33" s="16">
        <v>45292</v>
      </c>
      <c r="B33" s="16">
        <v>45292</v>
      </c>
      <c r="C33" t="s">
        <v>626</v>
      </c>
      <c r="D33" t="s">
        <v>532</v>
      </c>
      <c r="E33">
        <v>3.4</v>
      </c>
      <c r="F33" t="s">
        <v>682</v>
      </c>
      <c r="H33" t="s">
        <v>681</v>
      </c>
    </row>
    <row r="34" spans="1:8" x14ac:dyDescent="0.25">
      <c r="A34" s="16">
        <v>45292</v>
      </c>
      <c r="B34" s="16">
        <v>45292</v>
      </c>
      <c r="C34" t="s">
        <v>627</v>
      </c>
      <c r="D34" t="s">
        <v>532</v>
      </c>
      <c r="E34">
        <v>0.9</v>
      </c>
      <c r="F34" t="s">
        <v>682</v>
      </c>
    </row>
    <row r="35" spans="1:8" x14ac:dyDescent="0.25">
      <c r="A35" s="16">
        <v>45292</v>
      </c>
      <c r="B35" s="16">
        <v>44927</v>
      </c>
      <c r="C35" t="s">
        <v>4</v>
      </c>
      <c r="D35" t="s">
        <v>575</v>
      </c>
      <c r="E35" s="122"/>
    </row>
    <row r="36" spans="1:8" x14ac:dyDescent="0.25">
      <c r="A36" s="16">
        <v>45292</v>
      </c>
      <c r="B36" s="16">
        <v>45292</v>
      </c>
      <c r="C36" t="s">
        <v>4</v>
      </c>
      <c r="D36" t="s">
        <v>575</v>
      </c>
      <c r="E36" s="122"/>
    </row>
    <row r="37" spans="1:8" x14ac:dyDescent="0.25">
      <c r="A37" s="16">
        <v>45292</v>
      </c>
      <c r="B37" s="16">
        <v>44927</v>
      </c>
      <c r="C37" t="s">
        <v>3</v>
      </c>
      <c r="D37" t="s">
        <v>575</v>
      </c>
      <c r="E37" s="122"/>
    </row>
    <row r="38" spans="1:8" x14ac:dyDescent="0.25">
      <c r="A38" s="16">
        <v>45292</v>
      </c>
      <c r="B38" s="16">
        <v>45292</v>
      </c>
      <c r="C38" t="s">
        <v>3</v>
      </c>
      <c r="D38" t="s">
        <v>575</v>
      </c>
      <c r="E38" s="122"/>
    </row>
    <row r="39" spans="1:8" x14ac:dyDescent="0.25">
      <c r="A39" s="16">
        <v>45292</v>
      </c>
      <c r="B39" s="16">
        <v>44927</v>
      </c>
      <c r="C39" t="s">
        <v>230</v>
      </c>
      <c r="D39" t="s">
        <v>575</v>
      </c>
      <c r="E39" s="114">
        <v>0.5</v>
      </c>
    </row>
    <row r="40" spans="1:8" x14ac:dyDescent="0.25">
      <c r="A40" s="16">
        <v>45292</v>
      </c>
      <c r="B40" s="16">
        <v>45292</v>
      </c>
      <c r="C40" t="s">
        <v>230</v>
      </c>
      <c r="D40" t="s">
        <v>575</v>
      </c>
      <c r="E40" s="114">
        <v>0.35</v>
      </c>
    </row>
    <row r="41" spans="1:8" x14ac:dyDescent="0.25">
      <c r="A41" s="16">
        <v>45292</v>
      </c>
      <c r="B41" s="16">
        <v>44927</v>
      </c>
      <c r="C41" t="s">
        <v>577</v>
      </c>
      <c r="D41" t="s">
        <v>575</v>
      </c>
      <c r="E41" s="114">
        <v>0.12</v>
      </c>
    </row>
    <row r="42" spans="1:8" x14ac:dyDescent="0.25">
      <c r="A42" s="16">
        <v>45292</v>
      </c>
      <c r="B42" s="16">
        <v>45292</v>
      </c>
      <c r="C42" t="s">
        <v>577</v>
      </c>
      <c r="D42" t="s">
        <v>575</v>
      </c>
      <c r="E42" s="114">
        <v>0.08</v>
      </c>
    </row>
    <row r="43" spans="1:8" x14ac:dyDescent="0.25">
      <c r="A43" s="16">
        <v>45292</v>
      </c>
      <c r="B43" s="16">
        <v>44927</v>
      </c>
      <c r="C43" t="s">
        <v>238</v>
      </c>
      <c r="D43" t="s">
        <v>575</v>
      </c>
      <c r="E43" s="114">
        <v>0.25</v>
      </c>
    </row>
    <row r="44" spans="1:8" x14ac:dyDescent="0.25">
      <c r="A44" s="16">
        <v>45292</v>
      </c>
      <c r="B44" s="16">
        <v>45292</v>
      </c>
      <c r="C44" t="s">
        <v>238</v>
      </c>
      <c r="D44" t="s">
        <v>575</v>
      </c>
      <c r="E44" s="114">
        <v>0.18</v>
      </c>
    </row>
    <row r="45" spans="1:8" x14ac:dyDescent="0.25">
      <c r="A45" s="16">
        <v>45292</v>
      </c>
      <c r="B45" s="16">
        <v>45292</v>
      </c>
      <c r="C45" t="s">
        <v>5</v>
      </c>
      <c r="D45" t="s">
        <v>559</v>
      </c>
      <c r="E45" s="97">
        <v>0.10199999999999999</v>
      </c>
    </row>
    <row r="46" spans="1:8" x14ac:dyDescent="0.25">
      <c r="A46" s="16">
        <v>45292</v>
      </c>
      <c r="B46" s="16">
        <v>44927</v>
      </c>
      <c r="C46" t="s">
        <v>5</v>
      </c>
      <c r="D46" t="s">
        <v>559</v>
      </c>
      <c r="E46" s="97">
        <v>0.10199999999999999</v>
      </c>
    </row>
    <row r="47" spans="1:8" x14ac:dyDescent="0.25">
      <c r="A47" s="16">
        <v>45292</v>
      </c>
      <c r="B47" s="16">
        <v>45292</v>
      </c>
      <c r="C47" t="s">
        <v>7</v>
      </c>
      <c r="D47" t="s">
        <v>559</v>
      </c>
      <c r="E47" s="97">
        <v>0.11700000000000001</v>
      </c>
    </row>
    <row r="48" spans="1:8" x14ac:dyDescent="0.25">
      <c r="A48" s="16">
        <v>45292</v>
      </c>
      <c r="B48" s="16">
        <v>44927</v>
      </c>
      <c r="C48" t="s">
        <v>7</v>
      </c>
      <c r="D48" t="s">
        <v>559</v>
      </c>
      <c r="E48" s="97">
        <v>0.11</v>
      </c>
    </row>
    <row r="49" spans="1:5" x14ac:dyDescent="0.25">
      <c r="A49" s="16">
        <v>45292</v>
      </c>
      <c r="B49" s="16">
        <v>45292</v>
      </c>
      <c r="C49" t="s">
        <v>225</v>
      </c>
      <c r="D49" t="s">
        <v>559</v>
      </c>
      <c r="E49" s="97">
        <v>5.5E-2</v>
      </c>
    </row>
    <row r="50" spans="1:5" x14ac:dyDescent="0.25">
      <c r="A50" s="16">
        <v>45292</v>
      </c>
      <c r="B50" s="16">
        <v>44927</v>
      </c>
      <c r="C50" t="s">
        <v>225</v>
      </c>
      <c r="D50" t="s">
        <v>559</v>
      </c>
      <c r="E50" s="97">
        <v>4.2999999999999997E-2</v>
      </c>
    </row>
    <row r="51" spans="1:5" x14ac:dyDescent="0.25">
      <c r="A51" s="16">
        <v>45292</v>
      </c>
      <c r="B51" s="16">
        <v>45292</v>
      </c>
      <c r="C51" t="s">
        <v>30</v>
      </c>
      <c r="D51" t="s">
        <v>559</v>
      </c>
      <c r="E51" s="97">
        <v>0.97499999999999998</v>
      </c>
    </row>
    <row r="52" spans="1:5" x14ac:dyDescent="0.25">
      <c r="A52" s="16">
        <v>45292</v>
      </c>
      <c r="B52" s="16">
        <v>44927</v>
      </c>
      <c r="C52" t="s">
        <v>30</v>
      </c>
      <c r="D52" t="s">
        <v>559</v>
      </c>
      <c r="E52" s="97">
        <v>0.95</v>
      </c>
    </row>
    <row r="53" spans="1:5" x14ac:dyDescent="0.25">
      <c r="A53" s="16">
        <v>45292</v>
      </c>
      <c r="B53" s="16">
        <v>45292</v>
      </c>
      <c r="C53" t="s">
        <v>238</v>
      </c>
      <c r="D53" t="s">
        <v>559</v>
      </c>
      <c r="E53" s="97">
        <v>0.6</v>
      </c>
    </row>
    <row r="54" spans="1:5" x14ac:dyDescent="0.25">
      <c r="A54" s="16">
        <v>45292</v>
      </c>
      <c r="B54" s="16">
        <v>44927</v>
      </c>
      <c r="C54" t="s">
        <v>238</v>
      </c>
      <c r="D54" t="s">
        <v>559</v>
      </c>
      <c r="E54" s="97">
        <v>0.5</v>
      </c>
    </row>
    <row r="55" spans="1:5" x14ac:dyDescent="0.25">
      <c r="A55" s="16"/>
      <c r="B55" s="16"/>
    </row>
    <row r="56" spans="1:5" x14ac:dyDescent="0.25">
      <c r="A56" s="16"/>
      <c r="B56" s="16"/>
    </row>
    <row r="57" spans="1:5" x14ac:dyDescent="0.25">
      <c r="A57" s="16"/>
      <c r="B57" s="16"/>
    </row>
  </sheetData>
  <hyperlinks>
    <hyperlink ref="H4" r:id="rId1" xr:uid="{00000000-0004-0000-0900-000000000000}"/>
  </hyperlinks>
  <pageMargins left="0.7" right="0.7" top="0.75" bottom="0.75" header="0.3" footer="0.3"/>
  <pageSetup orientation="portrait" horizontalDpi="200" verticalDpi="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55"/>
  <sheetViews>
    <sheetView workbookViewId="0">
      <pane xSplit="1" ySplit="1" topLeftCell="B24" activePane="bottomRight" state="frozen"/>
      <selection pane="topRight" activeCell="C1" sqref="C1"/>
      <selection pane="bottomLeft" activeCell="A4" sqref="A4"/>
      <selection pane="bottomRight" activeCell="A35" sqref="A35:K38"/>
    </sheetView>
  </sheetViews>
  <sheetFormatPr defaultRowHeight="15" x14ac:dyDescent="0.25"/>
  <cols>
    <col min="1" max="1" width="31.7109375" customWidth="1"/>
    <col min="2" max="2" width="10.7109375" hidden="1" customWidth="1"/>
    <col min="3" max="3" width="10" hidden="1" customWidth="1"/>
    <col min="4" max="6" width="10.7109375" hidden="1" customWidth="1"/>
    <col min="7" max="11" width="9.140625" customWidth="1"/>
    <col min="12" max="12" width="2.42578125" customWidth="1"/>
    <col min="13" max="13" width="12.42578125" customWidth="1"/>
  </cols>
  <sheetData>
    <row r="1" spans="1:13" ht="18.75" x14ac:dyDescent="0.3">
      <c r="A1" s="170" t="s">
        <v>522</v>
      </c>
      <c r="B1" s="170"/>
      <c r="C1" s="170"/>
      <c r="D1" s="170"/>
      <c r="E1" s="170"/>
      <c r="F1" s="170"/>
      <c r="G1" s="170"/>
      <c r="H1" s="170"/>
      <c r="I1" s="170"/>
      <c r="J1" s="170"/>
    </row>
    <row r="2" spans="1:13" ht="18.75" x14ac:dyDescent="0.3">
      <c r="A2" s="19"/>
      <c r="B2" s="19"/>
      <c r="C2" s="19"/>
      <c r="D2" s="19"/>
      <c r="E2" s="19"/>
      <c r="F2" s="19"/>
      <c r="G2" s="19"/>
      <c r="H2" s="19"/>
      <c r="I2" s="19"/>
    </row>
    <row r="3" spans="1:13" ht="30.75" thickBot="1" x14ac:dyDescent="0.3">
      <c r="A3" s="30" t="s">
        <v>661</v>
      </c>
      <c r="B3" s="20">
        <v>2015</v>
      </c>
      <c r="C3" s="20">
        <v>2016</v>
      </c>
      <c r="D3" s="20">
        <v>2017</v>
      </c>
      <c r="E3" s="20">
        <v>2018</v>
      </c>
      <c r="F3" s="20">
        <v>2019</v>
      </c>
      <c r="G3" s="31">
        <v>2020</v>
      </c>
      <c r="H3" s="20">
        <v>2021</v>
      </c>
      <c r="I3" s="76">
        <v>2022</v>
      </c>
      <c r="J3" s="76" t="s">
        <v>683</v>
      </c>
      <c r="K3" s="76" t="s">
        <v>711</v>
      </c>
      <c r="M3" s="31" t="s">
        <v>820</v>
      </c>
    </row>
    <row r="4" spans="1:13" x14ac:dyDescent="0.25">
      <c r="A4" t="s">
        <v>603</v>
      </c>
      <c r="B4" s="7">
        <f>'AEO Pacific'!G55/'AEO Pacific'!F55-1</f>
        <v>1.3261500207210952E-2</v>
      </c>
      <c r="C4" s="7">
        <f>'AEO Pacific'!H55/'AEO Pacific'!G55-1</f>
        <v>-3.3946830265848549E-2</v>
      </c>
      <c r="D4" s="7">
        <f>'AEO Pacific'!I55/'AEO Pacific'!H55-1</f>
        <v>4.2946655376798759E-3</v>
      </c>
      <c r="E4" s="7">
        <f>'AEO Pacific'!J55/'AEO Pacific'!I55-1</f>
        <v>-8.0391409627755817E-4</v>
      </c>
      <c r="F4" s="7">
        <f>'AEO Pacific'!K55/'AEO Pacific'!J55-1</f>
        <v>-1.6665000166660171E-4</v>
      </c>
      <c r="G4" s="7">
        <f>'AEO Pacific'!L55/'AEO Pacific'!K55-1</f>
        <v>-0.10450316940960602</v>
      </c>
      <c r="H4" s="7">
        <f>'AEO Pacific'!M55/'AEO Pacific'!L55-1</f>
        <v>3.7251682934483554E-2</v>
      </c>
      <c r="I4" s="7">
        <f>'AEO Pacific'!N55/'AEO Pacific'!M55-1</f>
        <v>-5.0669599557704115E-2</v>
      </c>
      <c r="J4" s="7">
        <f>'AEO Pacific'!O55/'AEO Pacific'!N55-1</f>
        <v>-8.2686312182819188E-3</v>
      </c>
      <c r="K4" s="7">
        <f>'AEO Pacific'!P55/'AEO Pacific'!O55-1</f>
        <v>-1.779991179419671E-2</v>
      </c>
    </row>
    <row r="5" spans="1:13" x14ac:dyDescent="0.25">
      <c r="A5" t="s">
        <v>523</v>
      </c>
      <c r="B5" s="33">
        <v>3.9217289403143063E-2</v>
      </c>
      <c r="C5" s="33">
        <v>4.0632393000938016E-2</v>
      </c>
      <c r="D5" s="33">
        <v>1.5996041372245307E-2</v>
      </c>
      <c r="E5" s="7">
        <f>'[1]Quarterly Work'!$C$50</f>
        <v>1.8666000423515072E-3</v>
      </c>
      <c r="F5" s="7">
        <f>'[1]Quarterly Work'!$C$51</f>
        <v>-1.1531428822663781E-2</v>
      </c>
      <c r="G5" s="7">
        <f>'[1]Quarterly Work'!$C$52</f>
        <v>-0.12787605793120127</v>
      </c>
      <c r="H5" s="7">
        <f>'[1]Quarterly Work'!$C$53</f>
        <v>8.4952476556695133E-2</v>
      </c>
      <c r="I5" s="7">
        <f>'[1]Quarterly Work'!C54</f>
        <v>-2.2279331424463367E-2</v>
      </c>
      <c r="J5" s="7">
        <f>'[1]Quarterly Work'!C55</f>
        <v>-1.6698048489139916E-2</v>
      </c>
      <c r="K5" s="7">
        <f>'[1]Quarterly Work'!C56</f>
        <v>1.7527380383466351E-3</v>
      </c>
      <c r="M5" s="7">
        <f>(SUM('[1]Quarterly Work'!$C$27:$C$30)/SUM('[1]Quarterly Work'!$C$3:$C$6))^(1/6)-1</f>
        <v>-1.187607064931373E-2</v>
      </c>
    </row>
    <row r="6" spans="1:13" x14ac:dyDescent="0.25">
      <c r="A6" t="s">
        <v>507</v>
      </c>
      <c r="B6" s="32"/>
      <c r="C6" s="32"/>
      <c r="D6" s="33">
        <f>SUM(Forecast_Main!L82:O82)/SUM(Forecast_Main!H82:K82)-1</f>
        <v>1.0012180250500213E-2</v>
      </c>
      <c r="E6" s="33">
        <f>SUM(Forecast_Main!P82:S82)/SUM(Forecast_Main!L82:O82)-1</f>
        <v>5.7718591254750873E-2</v>
      </c>
      <c r="F6" s="33">
        <f>SUM(Forecast_Main!T82:W82)/SUM(Forecast_Main!P82:S82)-1</f>
        <v>1.5960301225261375E-2</v>
      </c>
      <c r="G6" s="37">
        <f>SUM(Forecast_Main!X82:AA82)/SUM(Forecast_Main!T82:W82)-1</f>
        <v>-0.19095132033319084</v>
      </c>
      <c r="H6" s="85">
        <f>SUM(Forecast_Main!AB82:AE82)/SUM(Forecast_Main!X82:AA82)-1</f>
        <v>7.1866606721267434E-2</v>
      </c>
      <c r="I6" s="85">
        <f>SUM(Forecast_Main!AF82:AI82)/SUM(Forecast_Main!AB82:AE82)-1</f>
        <v>1.3598372976009188E-4</v>
      </c>
      <c r="J6" s="85">
        <f>SUM(Forecast_Main!AJ82:AM82)/SUM(Forecast_Main!AF82:AI82)-1</f>
        <v>-9.2660126013146549E-3</v>
      </c>
      <c r="K6" s="85">
        <f>SUM(Forecast_Main!AN82:AQ82)/SUM(Forecast_Main!AJ82:AM82)-1</f>
        <v>1.7069633782296201E-3</v>
      </c>
      <c r="M6" s="7">
        <f>(SUM(Forecast_Main!AF82:AI82)/SUM(Forecast_Main!H82:K82))^(1/6)-1</f>
        <v>-1.0024023563883433E-2</v>
      </c>
    </row>
    <row r="7" spans="1:13" x14ac:dyDescent="0.25">
      <c r="A7" s="36"/>
      <c r="D7" s="7"/>
      <c r="E7" s="7"/>
    </row>
    <row r="8" spans="1:13" ht="15.75" thickBot="1" x14ac:dyDescent="0.3">
      <c r="A8" s="30" t="s">
        <v>662</v>
      </c>
      <c r="B8" s="20">
        <v>2015</v>
      </c>
      <c r="C8" s="20">
        <v>2016</v>
      </c>
      <c r="D8" s="20">
        <v>2017</v>
      </c>
      <c r="E8" s="20">
        <v>2018</v>
      </c>
      <c r="F8" s="20">
        <v>2019</v>
      </c>
      <c r="G8" s="31">
        <v>2020</v>
      </c>
      <c r="H8" s="20">
        <v>2021</v>
      </c>
      <c r="I8" s="76">
        <v>2022</v>
      </c>
      <c r="J8" s="76" t="s">
        <v>683</v>
      </c>
      <c r="K8" s="76" t="s">
        <v>711</v>
      </c>
    </row>
    <row r="9" spans="1:13" x14ac:dyDescent="0.25">
      <c r="A9" t="s">
        <v>509</v>
      </c>
      <c r="B9" s="21">
        <f>SUM('AEO Renewable'!G16:G17)/SUM('AEO Renewable'!F16:F17)-1</f>
        <v>3.603603603603589E-2</v>
      </c>
      <c r="C9" s="21">
        <f>SUM('AEO Renewable'!H16:H17)/SUM('AEO Renewable'!G16:G17)-1</f>
        <v>1.7391304347826209E-2</v>
      </c>
      <c r="D9" s="21">
        <f>SUM('AEO Renewable'!I16:I17)/SUM('AEO Renewable'!H16:H17)-1</f>
        <v>2.5041025641025616E-2</v>
      </c>
      <c r="E9" s="21">
        <f>SUM('AEO Renewable'!J16:J17)/SUM('AEO Renewable'!I16:I17)-1</f>
        <v>-1.0199299923788763E-2</v>
      </c>
      <c r="F9" s="21">
        <f>SUM('AEO Renewable'!K16:K17)/SUM('AEO Renewable'!J16:J17)-1</f>
        <v>-5.8733044329464246E-3</v>
      </c>
      <c r="G9" s="21">
        <f>SUM('AEO Renewable'!L16:L17)/SUM('AEO Renewable'!K16:K17)-1</f>
        <v>-0.12276649148288188</v>
      </c>
      <c r="H9" s="21">
        <f>SUM('AEO Renewable'!M16:M17)/SUM('AEO Renewable'!L16:L17)-1</f>
        <v>8.2326621059525706E-2</v>
      </c>
      <c r="I9" s="21">
        <f>SUM('AEO Renewable'!N16:N17)/SUM('AEO Renewable'!M16:M17)-1</f>
        <v>2.4063674757506703E-2</v>
      </c>
      <c r="J9" s="21">
        <f>SUM('AEO Renewable'!O16:O17)/SUM('AEO Renewable'!N16:N17)-1</f>
        <v>-1.8380590654047957E-3</v>
      </c>
      <c r="K9" s="21">
        <f>SUM('AEO Renewable'!P16:P17)/SUM('AEO Renewable'!O16:O17)-1</f>
        <v>2.4287149970706245E-2</v>
      </c>
    </row>
    <row r="10" spans="1:13" x14ac:dyDescent="0.25">
      <c r="A10" t="s">
        <v>523</v>
      </c>
      <c r="B10" s="35"/>
      <c r="C10" s="35"/>
      <c r="D10" s="35"/>
      <c r="E10" s="35">
        <f t="shared" ref="E10:K10" si="0">E5</f>
        <v>1.8666000423515072E-3</v>
      </c>
      <c r="F10" s="35">
        <f t="shared" si="0"/>
        <v>-1.1531428822663781E-2</v>
      </c>
      <c r="G10" s="35">
        <f t="shared" si="0"/>
        <v>-0.12787605793120127</v>
      </c>
      <c r="H10" s="35">
        <f t="shared" si="0"/>
        <v>8.4952476556695133E-2</v>
      </c>
      <c r="I10" s="35">
        <f t="shared" si="0"/>
        <v>-2.2279331424463367E-2</v>
      </c>
      <c r="J10" s="35">
        <f t="shared" si="0"/>
        <v>-1.6698048489139916E-2</v>
      </c>
      <c r="K10" s="35">
        <f t="shared" si="0"/>
        <v>1.7527380383466351E-3</v>
      </c>
    </row>
    <row r="11" spans="1:13" x14ac:dyDescent="0.25">
      <c r="A11" t="s">
        <v>507</v>
      </c>
      <c r="B11" s="32"/>
      <c r="C11" s="32"/>
      <c r="D11" s="35">
        <f>SUM(Forecast_Main!L80:O80)/SUM(Forecast_Main!H80:K80)-1</f>
        <v>-1.8743691537150275E-2</v>
      </c>
      <c r="E11" s="35">
        <f>SUM(Forecast_Main!P80:S80)/SUM(Forecast_Main!L80:O80)-1</f>
        <v>-9.3893845961064981E-3</v>
      </c>
      <c r="F11" s="35">
        <f>SUM(Forecast_Main!T80:W80)/SUM(Forecast_Main!P80:S80)-1</f>
        <v>8.0532545043894288E-3</v>
      </c>
      <c r="G11" s="35">
        <f>SUM(Forecast_Main!X80:AA80)/SUM(Forecast_Main!T80:W80)-1</f>
        <v>-0.1854133351957159</v>
      </c>
      <c r="H11" s="86">
        <f>SUM(Forecast_Main!AB80:AE80)/SUM(Forecast_Main!X80:AA80)-1</f>
        <v>0.10721083892970906</v>
      </c>
      <c r="I11" s="86">
        <f>SUM(Forecast_Main!AF80:AI80)/SUM(Forecast_Main!AB80:AE80)-1</f>
        <v>-4.6489873863467701E-2</v>
      </c>
      <c r="J11" s="86">
        <f>SUM(Forecast_Main!AJ80:AM80)/SUM(Forecast_Main!AF80:AI80)-1</f>
        <v>2.4551243732833683E-2</v>
      </c>
      <c r="K11" s="86">
        <f>SUM(Forecast_Main!AN80:AQ80)/SUM(Forecast_Main!AJ80:AM80)-1</f>
        <v>-8.9927058159976481E-3</v>
      </c>
    </row>
    <row r="12" spans="1:13" ht="7.5" customHeight="1" x14ac:dyDescent="0.25">
      <c r="D12" s="21"/>
      <c r="E12" s="21"/>
      <c r="F12" s="21"/>
      <c r="G12" s="21"/>
      <c r="H12" s="21"/>
    </row>
    <row r="13" spans="1:13" x14ac:dyDescent="0.25">
      <c r="A13" s="59" t="s">
        <v>559</v>
      </c>
      <c r="B13" s="59"/>
      <c r="C13" s="59"/>
      <c r="D13" s="87"/>
      <c r="E13" s="87">
        <f>'Table 1 - Volumes'!D7</f>
        <v>0.10083888527214242</v>
      </c>
      <c r="F13" s="87">
        <f>'Table 1 - Volumes'!E7</f>
        <v>0.10005407333001647</v>
      </c>
      <c r="G13" s="148">
        <f>'Table 1 - Volumes'!F7</f>
        <v>0.10073894926513778</v>
      </c>
      <c r="H13" s="148">
        <f>'Table 1 - Volumes'!G7</f>
        <v>0.10406076262599318</v>
      </c>
      <c r="I13" s="148">
        <f>'Table 1 - Volumes'!H7</f>
        <v>9.9209500019534214E-2</v>
      </c>
      <c r="J13" s="148">
        <f>'Table 1 - Volumes'!I7</f>
        <v>0.10259587127116787</v>
      </c>
      <c r="K13" s="148">
        <f>'Table 1 - Volumes'!J7</f>
        <v>0.10150000000000001</v>
      </c>
    </row>
    <row r="14" spans="1:13" x14ac:dyDescent="0.25">
      <c r="A14" s="36"/>
      <c r="D14" s="7"/>
      <c r="E14" s="7"/>
    </row>
    <row r="15" spans="1:13" ht="30.75" thickBot="1" x14ac:dyDescent="0.3">
      <c r="A15" s="30" t="s">
        <v>663</v>
      </c>
      <c r="B15" s="20">
        <v>2015</v>
      </c>
      <c r="C15" s="20">
        <v>2016</v>
      </c>
      <c r="D15" s="20">
        <v>2017</v>
      </c>
      <c r="E15" s="20">
        <v>2018</v>
      </c>
      <c r="F15" s="20">
        <v>2019</v>
      </c>
      <c r="G15" s="31">
        <v>2020</v>
      </c>
      <c r="H15" s="20">
        <v>2021</v>
      </c>
      <c r="I15" s="76">
        <v>2022</v>
      </c>
      <c r="J15" s="76" t="s">
        <v>683</v>
      </c>
      <c r="K15" s="76" t="s">
        <v>711</v>
      </c>
      <c r="M15" s="31" t="s">
        <v>820</v>
      </c>
    </row>
    <row r="16" spans="1:13" x14ac:dyDescent="0.25">
      <c r="A16" t="s">
        <v>603</v>
      </c>
      <c r="B16" s="7">
        <f>'AEO Pacific'!G58/'AEO Pacific'!F58-1</f>
        <v>9.2715231788078611E-3</v>
      </c>
      <c r="C16" s="7">
        <f>'AEO Pacific'!H58/'AEO Pacific'!G58-1</f>
        <v>-1.8372703412073532E-2</v>
      </c>
      <c r="D16" s="7">
        <f>'AEO Pacific'!I58/'AEO Pacific'!H58-1</f>
        <v>1.9430481283422507E-2</v>
      </c>
      <c r="E16" s="7">
        <f>'AEO Pacific'!J58/'AEO Pacific'!I58-1</f>
        <v>1.2131918052178614E-2</v>
      </c>
      <c r="F16" s="7">
        <f>'AEO Pacific'!K58/'AEO Pacific'!J58-1</f>
        <v>4.7409576501227457E-2</v>
      </c>
      <c r="G16" s="7">
        <f>'AEO Pacific'!L58/'AEO Pacific'!K58-1</f>
        <v>-0.13014751816916648</v>
      </c>
      <c r="H16" s="7">
        <f>'AEO Pacific'!M58/'AEO Pacific'!L58-1</f>
        <v>4.1227759550718446E-2</v>
      </c>
      <c r="I16" s="7">
        <f>'AEO Pacific'!N58/'AEO Pacific'!M58-1</f>
        <v>2.8436523860319696E-2</v>
      </c>
      <c r="J16" s="7">
        <f>'AEO Pacific'!O58/'AEO Pacific'!N58-1</f>
        <v>3.3186936652779719E-2</v>
      </c>
      <c r="K16" s="7">
        <f>'AEO Pacific'!P58/'AEO Pacific'!O58-1</f>
        <v>-1.4919675152898715E-2</v>
      </c>
    </row>
    <row r="17" spans="1:13" x14ac:dyDescent="0.25">
      <c r="A17" t="s">
        <v>521</v>
      </c>
      <c r="B17" s="33">
        <v>0</v>
      </c>
      <c r="C17" s="33">
        <v>0</v>
      </c>
      <c r="D17" s="33">
        <v>0</v>
      </c>
      <c r="E17" s="33">
        <f>'[1]Quarterly Work'!$P$50</f>
        <v>2.3188056217289255E-3</v>
      </c>
      <c r="F17" s="33">
        <f>'[1]Quarterly Work'!$P$51</f>
        <v>-8.3545457187869099E-3</v>
      </c>
      <c r="G17" s="33">
        <f>'[1]Quarterly Work'!$P$52</f>
        <v>9.5337275067201688E-2</v>
      </c>
      <c r="H17" s="33">
        <f>'[1]Quarterly Work'!$P$53</f>
        <v>8.6083228648751176E-2</v>
      </c>
      <c r="I17" s="33">
        <f>'[1]Quarterly Work'!P54</f>
        <v>-2.4837967227580804E-2</v>
      </c>
      <c r="J17" s="33">
        <f>'[1]Quarterly Work'!P55</f>
        <v>-2.2197530602122706E-3</v>
      </c>
      <c r="K17" s="33">
        <f>'[1]Quarterly Work'!P56</f>
        <v>-2.6333209702741334E-3</v>
      </c>
      <c r="M17" s="7">
        <f>(SUM('[1]Quarterly Work'!$M$27:$M$30)/SUM('[1]Quarterly Work'!$M$3:$M$6))^(1/6)-1</f>
        <v>1.8169001117603667E-2</v>
      </c>
    </row>
    <row r="18" spans="1:13" x14ac:dyDescent="0.25">
      <c r="A18" t="s">
        <v>507</v>
      </c>
      <c r="B18" s="32"/>
      <c r="C18" s="32"/>
      <c r="D18" s="33">
        <f>SUM(Forecast_Main!L90:O90)/SUM(Forecast_Main!H90:K90)-1</f>
        <v>-2.9292016996185666E-2</v>
      </c>
      <c r="E18" s="33">
        <f>SUM(Forecast_Main!P90:S90)/SUM(Forecast_Main!L90:O90)-1</f>
        <v>4.7834735406939943E-2</v>
      </c>
      <c r="F18" s="33">
        <f>SUM(Forecast_Main!T90:W90)/SUM(Forecast_Main!P90:S90)-1</f>
        <v>3.4774590735333399E-2</v>
      </c>
      <c r="G18" s="37">
        <f>SUM(Forecast_Main!X90:AA90)/SUM(Forecast_Main!T90:W90)-1</f>
        <v>-6.0271332557802593E-2</v>
      </c>
      <c r="H18" s="85">
        <f>SUM(Forecast_Main!AB90:AE90)/SUM(Forecast_Main!X90:AA90)-1</f>
        <v>9.8398693009856153E-2</v>
      </c>
      <c r="I18" s="85">
        <f>SUM(Forecast_Main!AF90:AI90)/SUM(Forecast_Main!AB90:AE90)-1</f>
        <v>7.5182422013478467E-2</v>
      </c>
      <c r="J18" s="85">
        <f>SUM(Forecast_Main!AJ90:AM90)/SUM(Forecast_Main!AF90:AI90)-1</f>
        <v>-4.1497043252940458E-2</v>
      </c>
      <c r="K18" s="85">
        <f>SUM(Forecast_Main!AN90:AQ90)/SUM(Forecast_Main!AJ90:AM90)-1</f>
        <v>-2.6488689644174057E-3</v>
      </c>
      <c r="M18" s="7">
        <f>(SUM(Forecast_Main!AF90:AI90)/SUM(Forecast_Main!H90:K90))^(1/6)-1</f>
        <v>2.6231397689779667E-2</v>
      </c>
    </row>
    <row r="19" spans="1:13" x14ac:dyDescent="0.25">
      <c r="A19" s="36"/>
      <c r="D19" s="7"/>
      <c r="E19" s="7"/>
    </row>
    <row r="20" spans="1:13" ht="15.75" thickBot="1" x14ac:dyDescent="0.3">
      <c r="A20" s="30" t="s">
        <v>664</v>
      </c>
      <c r="B20" s="20">
        <v>2015</v>
      </c>
      <c r="C20" s="20">
        <v>2016</v>
      </c>
      <c r="D20" s="20">
        <v>2017</v>
      </c>
      <c r="E20" s="20">
        <v>2018</v>
      </c>
      <c r="F20" s="20">
        <v>2019</v>
      </c>
      <c r="G20" s="31">
        <v>2020</v>
      </c>
      <c r="H20" s="20">
        <v>2021</v>
      </c>
      <c r="I20" s="76">
        <v>2022</v>
      </c>
      <c r="J20" s="76" t="s">
        <v>683</v>
      </c>
      <c r="K20" s="76" t="s">
        <v>711</v>
      </c>
    </row>
    <row r="21" spans="1:13" x14ac:dyDescent="0.25">
      <c r="A21" t="s">
        <v>509</v>
      </c>
      <c r="B21" s="21">
        <f>'AEO Renewable'!G18/'AEO Renewable'!F18-1</f>
        <v>0.15789473684210531</v>
      </c>
      <c r="C21" s="21">
        <f>'AEO Renewable'!H18/'AEO Renewable'!G18-1</f>
        <v>0.40909090909090917</v>
      </c>
      <c r="D21" s="21">
        <f>'AEO Renewable'!I18/'AEO Renewable'!H18-1</f>
        <v>-0.14230000000000009</v>
      </c>
      <c r="E21" s="21">
        <f>'AEO Renewable'!J18/'AEO Renewable'!I18-1</f>
        <v>0.11078766543682095</v>
      </c>
      <c r="F21" s="21">
        <f>'AEO Renewable'!K18/'AEO Renewable'!J18-1</f>
        <v>-3.0574516496018167E-2</v>
      </c>
      <c r="G21" s="21">
        <f>'AEO Renewable'!L18/'AEO Renewable'!K18-1</f>
        <v>-0.20686030022981761</v>
      </c>
      <c r="H21" s="21">
        <f>'AEO Renewable'!M18/'AEO Renewable'!L18-1</f>
        <v>-5.6203129197180068E-2</v>
      </c>
      <c r="I21" s="21">
        <f>'AEO Renewable'!N18/'AEO Renewable'!M18-1</f>
        <v>-5.9540695395755905E-2</v>
      </c>
      <c r="J21" s="21">
        <f>'AEO Renewable'!O18/'AEO Renewable'!N18-1</f>
        <v>-5.8160475880989937E-2</v>
      </c>
      <c r="K21" s="21">
        <f>'AEO Renewable'!P18/'AEO Renewable'!O18-1</f>
        <v>0.15422987779182473</v>
      </c>
    </row>
    <row r="22" spans="1:13" x14ac:dyDescent="0.25">
      <c r="A22" t="s">
        <v>521</v>
      </c>
      <c r="B22" s="34"/>
      <c r="C22" s="34"/>
      <c r="D22" s="34"/>
      <c r="E22" s="34">
        <f t="shared" ref="E22:K22" si="1">E17</f>
        <v>2.3188056217289255E-3</v>
      </c>
      <c r="F22" s="34">
        <f t="shared" si="1"/>
        <v>-8.3545457187869099E-3</v>
      </c>
      <c r="G22" s="34">
        <f t="shared" si="1"/>
        <v>9.5337275067201688E-2</v>
      </c>
      <c r="H22" s="34">
        <f t="shared" si="1"/>
        <v>8.6083228648751176E-2</v>
      </c>
      <c r="I22" s="34">
        <f t="shared" si="1"/>
        <v>-2.4837967227580804E-2</v>
      </c>
      <c r="J22" s="34">
        <f t="shared" si="1"/>
        <v>-2.2197530602122706E-3</v>
      </c>
      <c r="K22" s="34">
        <f t="shared" si="1"/>
        <v>-2.6333209702741334E-3</v>
      </c>
    </row>
    <row r="23" spans="1:13" x14ac:dyDescent="0.25">
      <c r="A23" t="s">
        <v>507</v>
      </c>
      <c r="B23" s="32"/>
      <c r="C23" s="32"/>
      <c r="D23" s="35">
        <f>SUM(Forecast_Main!L86:O86)/SUM(Forecast_Main!H86:K86)-1</f>
        <v>7.6814143809132984E-2</v>
      </c>
      <c r="E23" s="35">
        <f>SUM(Forecast_Main!P86:S86)/SUM(Forecast_Main!L86:O86)-1</f>
        <v>8.8818388659155367E-3</v>
      </c>
      <c r="F23" s="35">
        <f>SUM(Forecast_Main!T86:W86)/SUM(Forecast_Main!P86:S86)-1</f>
        <v>0.16347984103059243</v>
      </c>
      <c r="G23" s="35">
        <f>SUM(Forecast_Main!X86:AA86)/SUM(Forecast_Main!T86:W86)-1</f>
        <v>0.139277001502913</v>
      </c>
      <c r="H23" s="86">
        <f>SUM(Forecast_Main!AB86:AE86)/SUM(Forecast_Main!X86:AA86)-1</f>
        <v>0.10812551052987418</v>
      </c>
      <c r="I23" s="86">
        <f>SUM(Forecast_Main!AF86:AI86)/SUM(Forecast_Main!AB86:AE86)-1</f>
        <v>7.6278513075505261E-2</v>
      </c>
      <c r="J23" s="86">
        <f>SUM(Forecast_Main!AJ86:AM86)/SUM(Forecast_Main!AF86:AI86)-1</f>
        <v>-2.2363283126874745E-2</v>
      </c>
      <c r="K23" s="86">
        <f>SUM(Forecast_Main!AN86:AQ86)/SUM(Forecast_Main!AJ86:AM86)-1</f>
        <v>3.7128344565085403E-2</v>
      </c>
    </row>
    <row r="24" spans="1:13" ht="7.5" customHeight="1" x14ac:dyDescent="0.25">
      <c r="D24" s="21"/>
      <c r="E24" s="21"/>
      <c r="F24" s="21"/>
      <c r="G24" s="21"/>
      <c r="H24" s="21"/>
    </row>
    <row r="25" spans="1:13" x14ac:dyDescent="0.25">
      <c r="A25" s="59" t="s">
        <v>559</v>
      </c>
      <c r="B25" s="59"/>
      <c r="C25" s="87">
        <f>'Table 1 - Volumes'!B12</f>
        <v>6.2841497339772193E-2</v>
      </c>
      <c r="D25" s="87">
        <f>'Table 1 - Volumes'!C12</f>
        <v>6.9710576546628447E-2</v>
      </c>
      <c r="E25" s="87">
        <f>'Table 1 - Volumes'!D12</f>
        <v>6.7119109796882459E-2</v>
      </c>
      <c r="F25" s="87">
        <f>'Table 1 - Volumes'!E12</f>
        <v>7.5467383810708E-2</v>
      </c>
      <c r="G25" s="87">
        <f>'Table 1 - Volumes'!F12</f>
        <v>9.1492637947454547E-2</v>
      </c>
      <c r="H25" s="87">
        <f>'Table 1 - Volumes'!G12</f>
        <v>9.2302846662562665E-2</v>
      </c>
      <c r="I25" s="87">
        <f>'Table 1 - Volumes'!H12</f>
        <v>9.2396944485550705E-2</v>
      </c>
      <c r="J25" s="87">
        <f>'Table 1 - Volumes'!I12</f>
        <v>9.4241384254592012E-2</v>
      </c>
      <c r="K25" s="87">
        <f>'Table 1 - Volumes'!J12</f>
        <v>9.8000000000000004E-2</v>
      </c>
    </row>
    <row r="26" spans="1:13" x14ac:dyDescent="0.25">
      <c r="D26" s="21"/>
      <c r="E26" s="21"/>
      <c r="F26" s="21"/>
      <c r="G26" s="21"/>
      <c r="H26" s="21"/>
    </row>
    <row r="27" spans="1:13" ht="15.75" thickBot="1" x14ac:dyDescent="0.3">
      <c r="A27" s="30" t="s">
        <v>665</v>
      </c>
      <c r="B27" s="20">
        <v>2015</v>
      </c>
      <c r="C27" s="20">
        <v>2016</v>
      </c>
      <c r="D27" s="20">
        <v>2017</v>
      </c>
      <c r="E27" s="20">
        <v>2018</v>
      </c>
      <c r="F27" s="20">
        <v>2019</v>
      </c>
      <c r="G27" s="31">
        <v>2020</v>
      </c>
      <c r="H27" s="20">
        <v>2021</v>
      </c>
      <c r="I27" s="76">
        <v>2022</v>
      </c>
      <c r="J27" s="76" t="s">
        <v>683</v>
      </c>
      <c r="K27" s="76" t="s">
        <v>711</v>
      </c>
    </row>
    <row r="28" spans="1:13" x14ac:dyDescent="0.25">
      <c r="A28" t="s">
        <v>509</v>
      </c>
      <c r="B28" s="21"/>
      <c r="C28" s="21">
        <f>'AEO Renewable'!H21/'AEO Renewable'!G21-1</f>
        <v>3</v>
      </c>
      <c r="D28" s="21">
        <f>'AEO Renewable'!I21/'AEO Renewable'!H21-1</f>
        <v>0.34932499999999989</v>
      </c>
      <c r="E28" s="21">
        <f>'AEO Renewable'!J21/'AEO Renewable'!I21-1</f>
        <v>0.25883312026383565</v>
      </c>
      <c r="F28" s="21">
        <f>'AEO Renewable'!K21/'AEO Renewable'!J21-1</f>
        <v>-9.7611232945262971E-2</v>
      </c>
      <c r="G28" s="21">
        <f>'AEO Renewable'!L21/'AEO Renewable'!K21-1</f>
        <v>0.13113470665949012</v>
      </c>
      <c r="H28" s="21">
        <f>'AEO Renewable'!M21/'AEO Renewable'!L21-1</f>
        <v>1.1096018802901182</v>
      </c>
      <c r="I28" s="21">
        <f>'AEO Renewable'!N21/'AEO Renewable'!M21-1</f>
        <v>1.0092684360539432</v>
      </c>
      <c r="J28" s="21">
        <f>'AEO Renewable'!O21/'AEO Renewable'!N21-1</f>
        <v>0.19461018771133687</v>
      </c>
      <c r="K28" s="21">
        <f>'AEO Renewable'!P21/'AEO Renewable'!O21-1</f>
        <v>1.5898282882934156E-2</v>
      </c>
    </row>
    <row r="29" spans="1:13" x14ac:dyDescent="0.25">
      <c r="A29" t="s">
        <v>521</v>
      </c>
      <c r="B29" s="35"/>
      <c r="C29" s="35"/>
      <c r="D29" s="35"/>
      <c r="E29" s="35">
        <f t="shared" ref="E29:K29" si="2">E17</f>
        <v>2.3188056217289255E-3</v>
      </c>
      <c r="F29" s="35">
        <f t="shared" si="2"/>
        <v>-8.3545457187869099E-3</v>
      </c>
      <c r="G29" s="35">
        <f t="shared" si="2"/>
        <v>9.5337275067201688E-2</v>
      </c>
      <c r="H29" s="35">
        <f t="shared" si="2"/>
        <v>8.6083228648751176E-2</v>
      </c>
      <c r="I29" s="35">
        <f t="shared" si="2"/>
        <v>-2.4837967227580804E-2</v>
      </c>
      <c r="J29" s="35">
        <f t="shared" si="2"/>
        <v>-2.2197530602122706E-3</v>
      </c>
      <c r="K29" s="35">
        <f t="shared" si="2"/>
        <v>-2.6333209702741334E-3</v>
      </c>
    </row>
    <row r="30" spans="1:13" x14ac:dyDescent="0.25">
      <c r="A30" t="s">
        <v>507</v>
      </c>
      <c r="B30" s="32"/>
      <c r="C30" s="32"/>
      <c r="D30" s="32"/>
      <c r="E30" s="35">
        <f>Forecast_Main!S88/Forecast_Main!O88-1</f>
        <v>0.41535689085367755</v>
      </c>
      <c r="F30" s="35">
        <f>SUM(Forecast_Main!T88:W88)/SUM(Forecast_Main!P88:S88)-1</f>
        <v>12.510102839484981</v>
      </c>
      <c r="G30" s="35">
        <f>SUM(Forecast_Main!X88:AA88)/SUM(Forecast_Main!T88:W88)-1</f>
        <v>6.7908626432509278E-2</v>
      </c>
      <c r="H30" s="86">
        <f>SUM(Forecast_Main!AB88:AE88)/SUM(Forecast_Main!X88:AA88)-1</f>
        <v>-0.43878328522256083</v>
      </c>
      <c r="I30" s="86">
        <f>SUM(Forecast_Main!AF88:AI88)/SUM(Forecast_Main!AB88:AE88)-1</f>
        <v>3.7674437033623569</v>
      </c>
      <c r="J30" s="86">
        <f>SUM(Forecast_Main!AJ88:AM88)/SUM(Forecast_Main!AF88:AI88)-1</f>
        <v>0.63092949926725228</v>
      </c>
      <c r="K30" s="86">
        <f>SUM(Forecast_Main!AN88:AQ88)/SUM(Forecast_Main!AJ88:AM88)-1</f>
        <v>0.11115943501680148</v>
      </c>
    </row>
    <row r="31" spans="1:13" ht="7.5" customHeight="1" x14ac:dyDescent="0.25">
      <c r="E31" s="21"/>
      <c r="F31" s="21"/>
      <c r="G31" s="21"/>
      <c r="H31" s="21"/>
    </row>
    <row r="32" spans="1:13" x14ac:dyDescent="0.25">
      <c r="A32" s="59" t="s">
        <v>559</v>
      </c>
      <c r="B32" s="59"/>
      <c r="C32" s="59"/>
      <c r="D32" s="87"/>
      <c r="E32" s="87">
        <f>'Table 1 - Volumes'!D14</f>
        <v>1.5693197830680492E-3</v>
      </c>
      <c r="F32" s="87">
        <f>'Table 1 - Volumes'!E14</f>
        <v>2.0489169184393329E-2</v>
      </c>
      <c r="G32" s="87">
        <f>'Table 1 - Volumes'!F14</f>
        <v>2.3283912983100143E-2</v>
      </c>
      <c r="H32" s="87">
        <f>'Table 1 - Volumes'!G14</f>
        <v>1.189670129316329E-2</v>
      </c>
      <c r="I32" s="87">
        <f>'Table 1 - Volumes'!H14</f>
        <v>5.2750912319289314E-2</v>
      </c>
      <c r="J32" s="87">
        <f>'Table 1 - Volumes'!I14</f>
        <v>8.9757698094918487E-2</v>
      </c>
      <c r="K32" s="87">
        <f>'Table 1 - Volumes'!J14</f>
        <v>9.9999999999999992E-2</v>
      </c>
    </row>
    <row r="33" spans="1:11" x14ac:dyDescent="0.25">
      <c r="A33" s="36" t="s">
        <v>587</v>
      </c>
      <c r="E33" s="7"/>
    </row>
    <row r="34" spans="1:11" ht="21" customHeight="1" x14ac:dyDescent="0.25">
      <c r="A34" s="36"/>
      <c r="E34" s="7"/>
    </row>
    <row r="35" spans="1:11" ht="15.75" thickBot="1" x14ac:dyDescent="0.3">
      <c r="A35" s="30" t="s">
        <v>709</v>
      </c>
      <c r="B35" s="20">
        <v>2015</v>
      </c>
      <c r="C35" s="20">
        <v>2016</v>
      </c>
      <c r="D35" s="20">
        <v>2017</v>
      </c>
      <c r="E35" s="20">
        <v>2018</v>
      </c>
      <c r="F35" s="20">
        <v>2019</v>
      </c>
      <c r="G35" s="31">
        <v>2020</v>
      </c>
      <c r="H35" s="20">
        <v>2021</v>
      </c>
      <c r="I35" s="76">
        <v>2022</v>
      </c>
      <c r="J35" s="76" t="s">
        <v>683</v>
      </c>
      <c r="K35" s="76" t="s">
        <v>711</v>
      </c>
    </row>
    <row r="36" spans="1:11" x14ac:dyDescent="0.25">
      <c r="A36" t="s">
        <v>603</v>
      </c>
      <c r="B36" s="21">
        <f>'AEO Pacific'!G66/'AEO Pacific'!F66-1</f>
        <v>0.33333333333333326</v>
      </c>
      <c r="C36" s="21">
        <f>'AEO Pacific'!H66/'AEO Pacific'!G66-1</f>
        <v>0.25</v>
      </c>
      <c r="D36" s="21">
        <f>'AEO Pacific'!I66/'AEO Pacific'!H66-1</f>
        <v>0.72780000000000022</v>
      </c>
      <c r="E36" s="21">
        <f>'AEO Pacific'!J66/'AEO Pacific'!I66-1</f>
        <v>0.1472392638036808</v>
      </c>
      <c r="F36" s="21">
        <f>'AEO Pacific'!K$66/'AEO Pacific'!J$66-1</f>
        <v>7.2041166380789168E-2</v>
      </c>
      <c r="G36" s="21">
        <f>'AEO Pacific'!L$66/'AEO Pacific'!K$66-1</f>
        <v>-6.5317647058823591E-2</v>
      </c>
      <c r="H36" s="21">
        <f>'AEO Pacific'!M$66/'AEO Pacific'!L$66-1</f>
        <v>0.35676165542241467</v>
      </c>
      <c r="I36" s="21">
        <f>'AEO Pacific'!N$66/'AEO Pacific'!M$66-1</f>
        <v>0.34073029538370214</v>
      </c>
      <c r="J36" s="21">
        <f>'AEO Pacific'!O$66/'AEO Pacific'!N$66-1</f>
        <v>0.26305009687240521</v>
      </c>
      <c r="K36" s="21">
        <f>'AEO Pacific'!P$66/'AEO Pacific'!O$66-1</f>
        <v>0.24481746066529353</v>
      </c>
    </row>
    <row r="37" spans="1:11" x14ac:dyDescent="0.25">
      <c r="A37" t="s">
        <v>669</v>
      </c>
      <c r="B37" s="33">
        <f>'Electric Vehicles'!H72</f>
        <v>0.46353358457104865</v>
      </c>
      <c r="C37" s="33">
        <f>'Electric Vehicles'!H73</f>
        <v>0.40926991820660397</v>
      </c>
      <c r="D37" s="33">
        <f>'Electric Vehicles'!H74</f>
        <v>0.36231728288907994</v>
      </c>
      <c r="E37" s="33">
        <f>'Electric Vehicles'!H75</f>
        <v>0.29093491124260362</v>
      </c>
      <c r="F37" s="37">
        <f>'Electric Vehicles'!H76</f>
        <v>0.34801410982600167</v>
      </c>
      <c r="G37" s="37">
        <f>'Electric Vehicles'!H77</f>
        <v>0.22388794211193019</v>
      </c>
      <c r="H37" s="33">
        <f>'Electric Vehicles'!H78</f>
        <v>0.25852594269375118</v>
      </c>
      <c r="I37" s="33">
        <f>'Electric Vehicles'!H79</f>
        <v>0.3223027541934147</v>
      </c>
      <c r="J37" s="33">
        <f>'Electric Vehicles'!H80</f>
        <v>0.36347202770606168</v>
      </c>
      <c r="K37" s="33">
        <f>'Electric Vehicles'!H81</f>
        <v>0.36048713413253441</v>
      </c>
    </row>
    <row r="38" spans="1:11" x14ac:dyDescent="0.25">
      <c r="A38" t="s">
        <v>507</v>
      </c>
      <c r="B38" s="33"/>
      <c r="C38" s="33"/>
      <c r="D38" s="33">
        <f>SUM(Forecast_Main!L96:O96)/SUM(Forecast_Main!H96:K96)-1</f>
        <v>0.23872423490103389</v>
      </c>
      <c r="E38" s="33">
        <f>SUM(Forecast_Main!P96:S96)/SUM(Forecast_Main!L96:O96)-1</f>
        <v>0.36055424562942928</v>
      </c>
      <c r="F38" s="33">
        <f>SUM(Forecast_Main!T96:W96)/SUM(Forecast_Main!P96:S96)-1</f>
        <v>0.28732729835002591</v>
      </c>
      <c r="G38" s="37">
        <f>SUM(Forecast_Main!X96:AA96)/SUM(Forecast_Main!T96:W96)-1</f>
        <v>0.27617673356502315</v>
      </c>
      <c r="H38" s="85">
        <f>SUM(Forecast_Main!AB96:AE96)/SUM(Forecast_Main!X96:AA96)-1</f>
        <v>0.26977770290448122</v>
      </c>
      <c r="I38" s="85">
        <f>SUM(Forecast_Main!AF96:AI96)/SUM(Forecast_Main!AB96:AE96)-1</f>
        <v>0.48118758951545448</v>
      </c>
      <c r="J38" s="85">
        <f>SUM(Forecast_Main!AJ96:AM96)/SUM(Forecast_Main!AF96:AI96)-1</f>
        <v>0.17721277128249224</v>
      </c>
      <c r="K38" s="85">
        <f>SUM(Forecast_Main!AN96:AQ96)/SUM(Forecast_Main!AJ96:AM96)-1</f>
        <v>0.3799560209359798</v>
      </c>
    </row>
    <row r="39" spans="1:11" x14ac:dyDescent="0.25">
      <c r="B39" s="88"/>
      <c r="C39" s="88"/>
      <c r="D39" s="88"/>
      <c r="E39" s="88"/>
      <c r="F39" s="88"/>
      <c r="G39" s="38"/>
    </row>
    <row r="40" spans="1:11" ht="15.75" thickBot="1" x14ac:dyDescent="0.3">
      <c r="A40" s="30" t="s">
        <v>710</v>
      </c>
      <c r="B40" s="20">
        <v>2015</v>
      </c>
      <c r="C40" s="20">
        <v>2016</v>
      </c>
      <c r="D40" s="20">
        <v>2017</v>
      </c>
      <c r="E40" s="20">
        <v>2018</v>
      </c>
      <c r="F40" s="20">
        <v>2019</v>
      </c>
      <c r="G40" s="31">
        <v>2020</v>
      </c>
      <c r="H40" s="20">
        <v>2021</v>
      </c>
      <c r="I40" s="76">
        <v>2022</v>
      </c>
      <c r="J40" s="76" t="s">
        <v>683</v>
      </c>
      <c r="K40" s="76" t="s">
        <v>711</v>
      </c>
    </row>
    <row r="41" spans="1:11" x14ac:dyDescent="0.25">
      <c r="A41" t="s">
        <v>603</v>
      </c>
      <c r="B41" s="21" t="e">
        <f>'AEO Pacific'!G71/'AEO Pacific'!F71-1</f>
        <v>#DIV/0!</v>
      </c>
      <c r="C41" s="21" t="e">
        <f>'AEO Pacific'!H71/'AEO Pacific'!G71-1</f>
        <v>#DIV/0!</v>
      </c>
      <c r="D41" s="21" t="e">
        <f>'AEO Pacific'!I71/'AEO Pacific'!H71-1</f>
        <v>#DIV/0!</v>
      </c>
      <c r="E41" s="21">
        <f>'AEO Pacific'!J71/'AEO Pacific'!I71-1</f>
        <v>0.39802053807908555</v>
      </c>
      <c r="F41" s="21">
        <f>'AEO Pacific'!K$66/'AEO Pacific'!J$66-1</f>
        <v>7.2041166380789168E-2</v>
      </c>
      <c r="G41" s="21">
        <f>'AEO Pacific'!L$66/'AEO Pacific'!K$66-1</f>
        <v>-6.5317647058823591E-2</v>
      </c>
      <c r="H41" s="21">
        <f>'AEO Pacific'!M$66/'AEO Pacific'!L$66-1</f>
        <v>0.35676165542241467</v>
      </c>
      <c r="I41" s="21">
        <f>'AEO Pacific'!N$66/'AEO Pacific'!M$66-1</f>
        <v>0.34073029538370214</v>
      </c>
      <c r="J41" s="21">
        <f>'AEO Pacific'!O$66/'AEO Pacific'!N$66-1</f>
        <v>0.26305009687240521</v>
      </c>
      <c r="K41" s="21">
        <f>'AEO Pacific'!P$66/'AEO Pacific'!O$66-1</f>
        <v>0.24481746066529353</v>
      </c>
    </row>
    <row r="42" spans="1:11" x14ac:dyDescent="0.25">
      <c r="A42" t="s">
        <v>507</v>
      </c>
      <c r="B42" s="33"/>
      <c r="C42" s="33"/>
      <c r="D42" s="33" t="e">
        <f>SUM(Forecast_Main!L101:O101)/SUM(Forecast_Main!H101:K101)-1</f>
        <v>#DIV/0!</v>
      </c>
      <c r="E42" s="33" t="e">
        <f>SUM(Forecast_Main!P101:S101)/SUM(Forecast_Main!L101:O101)-1</f>
        <v>#DIV/0!</v>
      </c>
      <c r="F42" s="33">
        <f>SUM(Forecast_Main!T101:W101)/SUM(Forecast_Main!P101:S101)-1</f>
        <v>0.28521819253078795</v>
      </c>
      <c r="G42" s="37">
        <f>SUM(Forecast_Main!X101:AA101)/SUM(Forecast_Main!T101:W101)-1</f>
        <v>0.4564001689647128</v>
      </c>
      <c r="H42" s="85">
        <f>SUM(Forecast_Main!AB101:AE101)/SUM(Forecast_Main!X101:AA101)-1</f>
        <v>0.53866970763647881</v>
      </c>
      <c r="I42" s="85">
        <f>SUM(Forecast_Main!AF101:AI101)/SUM(Forecast_Main!AB101:AE101)-1</f>
        <v>0.27418680006044838</v>
      </c>
      <c r="J42" s="85">
        <f>SUM(Forecast_Main!AJ101:AM101)/SUM(Forecast_Main!AF101:AI101)-1</f>
        <v>-9.0708101816089126E-2</v>
      </c>
      <c r="K42" s="85">
        <f>SUM(Forecast_Main!AN101:AQ101)/SUM(Forecast_Main!AJ101:AM101)-1</f>
        <v>0.77883062772802614</v>
      </c>
    </row>
    <row r="43" spans="1:11" x14ac:dyDescent="0.25">
      <c r="B43" s="88"/>
      <c r="C43" s="88"/>
      <c r="D43" s="88"/>
      <c r="E43" s="88"/>
      <c r="F43" s="88"/>
      <c r="G43" s="38"/>
    </row>
    <row r="44" spans="1:11" x14ac:dyDescent="0.25">
      <c r="B44" s="7"/>
      <c r="C44" s="7"/>
      <c r="D44" s="7"/>
      <c r="E44" s="7"/>
      <c r="F44" s="7"/>
      <c r="G44" s="7"/>
      <c r="H44" s="7"/>
      <c r="I44" s="7"/>
    </row>
    <row r="45" spans="1:11" ht="15.75" thickBot="1" x14ac:dyDescent="0.3">
      <c r="A45" s="30" t="s">
        <v>666</v>
      </c>
      <c r="B45" s="20">
        <v>2015</v>
      </c>
      <c r="C45" s="20">
        <v>2016</v>
      </c>
      <c r="D45" s="20">
        <v>2017</v>
      </c>
      <c r="E45" s="20">
        <v>2018</v>
      </c>
      <c r="F45" s="20">
        <v>2019</v>
      </c>
      <c r="G45" s="31">
        <v>2020</v>
      </c>
      <c r="H45" s="20">
        <v>2021</v>
      </c>
      <c r="I45" s="76">
        <v>2022</v>
      </c>
      <c r="J45" s="76" t="s">
        <v>683</v>
      </c>
      <c r="K45" s="76" t="s">
        <v>711</v>
      </c>
    </row>
    <row r="46" spans="1:11" x14ac:dyDescent="0.25">
      <c r="A46" t="s">
        <v>603</v>
      </c>
      <c r="B46" s="21">
        <f>'AEO Pacific'!G64/'AEO Pacific'!F64-1</f>
        <v>0.11111111111111116</v>
      </c>
      <c r="C46" s="21">
        <f>'AEO Pacific'!H64/'AEO Pacific'!G64-1</f>
        <v>0.79999999999999982</v>
      </c>
      <c r="D46" s="21">
        <f>'AEO Pacific'!I64/'AEO Pacific'!H64-1</f>
        <v>1.1944444444444535E-2</v>
      </c>
      <c r="E46" s="21">
        <f>'AEO Pacific'!J64/'AEO Pacific'!I64-1</f>
        <v>0.17101290145484493</v>
      </c>
      <c r="F46" s="21">
        <f>'AEO Pacific'!K64/'AEO Pacific'!J64-1</f>
        <v>0.18996718237224575</v>
      </c>
      <c r="G46" s="21">
        <f>'AEO Pacific'!L64/'AEO Pacific'!K64-1</f>
        <v>-0.20207233472539587</v>
      </c>
      <c r="H46" s="21">
        <f>'AEO Pacific'!M64/'AEO Pacific'!L64-1</f>
        <v>0.71061077371253645</v>
      </c>
      <c r="I46" s="21">
        <f>'AEO Pacific'!N64/'AEO Pacific'!M64-1</f>
        <v>-0.17087602828691018</v>
      </c>
      <c r="J46" s="21">
        <f>'AEO Pacific'!O64/'AEO Pacific'!N64-1</f>
        <v>9.5178416013925071E-2</v>
      </c>
      <c r="K46" s="21">
        <f>'AEO Pacific'!P64/'AEO Pacific'!O64-1</f>
        <v>0.13401570297847987</v>
      </c>
    </row>
    <row r="47" spans="1:11" x14ac:dyDescent="0.25">
      <c r="A47" t="s">
        <v>507</v>
      </c>
      <c r="B47" s="32"/>
      <c r="C47" s="32"/>
      <c r="D47" s="33">
        <f>SUM(Forecast_Main!L107:O107)/SUM(Forecast_Main!H107:K107)-1</f>
        <v>0.83492424147241273</v>
      </c>
      <c r="E47" s="33">
        <f>SUM(Forecast_Main!P107:S107)/SUM(Forecast_Main!L107:O107)-1</f>
        <v>0.11404965468329031</v>
      </c>
      <c r="F47" s="33">
        <f>SUM(Forecast_Main!T107:W107)/SUM(Forecast_Main!P107:S107)-1</f>
        <v>7.1990745682903867E-2</v>
      </c>
      <c r="G47" s="37">
        <f>SUM(Forecast_Main!X107:AA107)/SUM(Forecast_Main!T107:W107)-1</f>
        <v>-7.0938422262859513E-3</v>
      </c>
      <c r="H47" s="85">
        <f>SUM(Forecast_Main!AB107:AE107)/SUM(Forecast_Main!X107:AA107)-1</f>
        <v>0.15823930084076121</v>
      </c>
      <c r="I47" s="85">
        <f>SUM(Forecast_Main!AF107:AI107)/SUM(Forecast_Main!AB107:AE107)-1</f>
        <v>3.864744693998845E-2</v>
      </c>
      <c r="J47" s="85">
        <f>SUM(Forecast_Main!AJ107:AM107)/SUM(Forecast_Main!AF107:AI107)-1</f>
        <v>9.4618625516351695E-2</v>
      </c>
      <c r="K47" s="85">
        <f>SUM(Forecast_Main!AN107:AQ107)/SUM(Forecast_Main!AJ107:AM107)-1</f>
        <v>0.14999999999999991</v>
      </c>
    </row>
    <row r="48" spans="1:11" ht="7.5" customHeight="1" x14ac:dyDescent="0.25">
      <c r="D48" s="88"/>
      <c r="E48" s="88"/>
      <c r="F48" s="88"/>
      <c r="G48" s="38"/>
      <c r="H48" s="38"/>
    </row>
    <row r="49" spans="1:11" x14ac:dyDescent="0.25">
      <c r="A49" s="59" t="s">
        <v>519</v>
      </c>
      <c r="B49" s="59"/>
      <c r="C49" s="59"/>
      <c r="D49" s="89"/>
      <c r="E49" s="89">
        <f>'Table 1 - Volumes'!D22</f>
        <v>0.55618258125832576</v>
      </c>
      <c r="F49" s="89">
        <f>'Table 1 - Volumes'!E22</f>
        <v>0.67113999987929474</v>
      </c>
      <c r="G49" s="89">
        <f>'Table 1 - Volumes'!F22</f>
        <v>0.88724337092201688</v>
      </c>
      <c r="H49" s="89">
        <f>'Table 1 - Volumes'!G22</f>
        <v>0.91415016734387033</v>
      </c>
      <c r="I49" s="89">
        <f>'Table 1 - Volumes'!H22</f>
        <v>0.93974157094167421</v>
      </c>
      <c r="J49" s="89">
        <f>'Table 1 - Volumes'!I22</f>
        <v>0.95963340357226101</v>
      </c>
      <c r="K49" s="89">
        <f>'Table 1 - Volumes'!J22</f>
        <v>0.97499999999999998</v>
      </c>
    </row>
    <row r="51" spans="1:11" ht="15.75" thickBot="1" x14ac:dyDescent="0.3">
      <c r="A51" s="30" t="s">
        <v>667</v>
      </c>
      <c r="D51" s="20">
        <v>2017</v>
      </c>
      <c r="E51" s="20">
        <v>2018</v>
      </c>
      <c r="F51" s="20">
        <v>2019</v>
      </c>
      <c r="G51" s="31">
        <v>2020</v>
      </c>
      <c r="H51" s="20">
        <v>2021</v>
      </c>
      <c r="I51" s="76">
        <v>2022</v>
      </c>
      <c r="J51" s="76" t="s">
        <v>683</v>
      </c>
      <c r="K51" s="76" t="s">
        <v>711</v>
      </c>
    </row>
    <row r="52" spans="1:11" x14ac:dyDescent="0.25">
      <c r="A52" t="s">
        <v>603</v>
      </c>
      <c r="B52" s="21"/>
      <c r="C52" s="21"/>
      <c r="D52" s="21"/>
      <c r="E52" s="21">
        <f>'AEO Pacific'!J54/'AEO Pacific'!I54-1</f>
        <v>7.7922077922077948E-2</v>
      </c>
      <c r="F52" s="21">
        <f>'AEO Pacific'!K54/'AEO Pacific'!J54-1</f>
        <v>-2.0429544264012667E-2</v>
      </c>
      <c r="G52" s="21">
        <f>'AEO Pacific'!L54/'AEO Pacific'!K54-1</f>
        <v>-0.4732620320855615</v>
      </c>
      <c r="H52" s="21">
        <f>'AEO Pacific'!M54/'AEO Pacific'!L54-1</f>
        <v>0.17258883248730972</v>
      </c>
      <c r="I52" s="21">
        <f>'AEO Pacific'!N54/'AEO Pacific'!M54-1</f>
        <v>0.12813852813852811</v>
      </c>
      <c r="J52" s="21">
        <f>'AEO Pacific'!O54/'AEO Pacific'!N54-1</f>
        <v>4.2210283960092188E-2</v>
      </c>
      <c r="K52" s="21">
        <f>'AEO Pacific'!P54/'AEO Pacific'!O54-1</f>
        <v>2.2091310751104487E-3</v>
      </c>
    </row>
    <row r="53" spans="1:11" x14ac:dyDescent="0.25">
      <c r="A53" t="s">
        <v>507</v>
      </c>
      <c r="D53" s="33">
        <f>SUM(Forecast_Main!L113:O113)/SUM(Forecast_Main!H113:K113)-1</f>
        <v>0.97219062259800149</v>
      </c>
      <c r="E53" s="33">
        <f>SUM(Forecast_Main!P113:S113)/SUM(Forecast_Main!L113:O113)-1</f>
        <v>4.7713947198166666</v>
      </c>
      <c r="F53" s="33">
        <f>SUM(Forecast_Main!T113:W113)/SUM(Forecast_Main!P113:S113)-1</f>
        <v>1.7762385571393455</v>
      </c>
      <c r="G53" s="37">
        <f>SUM(Forecast_Main!X113:AA113)/SUM(Forecast_Main!T113:W113)-1</f>
        <v>-0.28235818945240188</v>
      </c>
      <c r="H53" s="85">
        <f>SUM(Forecast_Main!AB113:AE113)/SUM(Forecast_Main!X113:AA113)-1</f>
        <v>0.65679909000195225</v>
      </c>
      <c r="I53" s="85">
        <f>SUM(Forecast_Main!AF113:AI113)/SUM(Forecast_Main!AB113:AE113)-1</f>
        <v>0.32646374450350391</v>
      </c>
      <c r="J53" s="85">
        <f>SUM(Forecast_Main!AJ113:AM113)/SUM(Forecast_Main!AF113:AI113)-1</f>
        <v>0.33212711484031088</v>
      </c>
      <c r="K53" s="85">
        <f>SUM(Forecast_Main!AN113:AQ113)/SUM(Forecast_Main!AJ113:AM113)-1</f>
        <v>0.31604687578309387</v>
      </c>
    </row>
    <row r="54" spans="1:11" ht="7.5" customHeight="1" x14ac:dyDescent="0.25"/>
    <row r="55" spans="1:11" x14ac:dyDescent="0.25">
      <c r="A55" s="59" t="s">
        <v>816</v>
      </c>
      <c r="B55" s="59"/>
      <c r="C55" s="59"/>
      <c r="D55" s="89"/>
      <c r="E55" s="89"/>
      <c r="F55" s="89"/>
      <c r="G55" s="89"/>
      <c r="H55" s="89">
        <f>+'Table 1 - Volumes'!G27</f>
        <v>0.11840476715559416</v>
      </c>
      <c r="I55" s="89">
        <f>+'Table 1 - Volumes'!H27</f>
        <v>0.20674019641864025</v>
      </c>
      <c r="J55" s="89">
        <f>+'Table 1 - Volumes'!I27</f>
        <v>0.28497663701880738</v>
      </c>
      <c r="K55" s="89">
        <f>+'Table 1 - Volumes'!J27</f>
        <v>0.35</v>
      </c>
    </row>
  </sheetData>
  <mergeCells count="1">
    <mergeCell ref="A1:J1"/>
  </mergeCells>
  <pageMargins left="0.7" right="0.7" top="0.75" bottom="0.75" header="0.3" footer="0.3"/>
  <pageSetup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topLeftCell="A28" zoomScale="75" zoomScaleNormal="75" workbookViewId="0">
      <selection activeCell="M100" sqref="M100"/>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R171"/>
  <sheetViews>
    <sheetView zoomScale="85" zoomScaleNormal="85" workbookViewId="0">
      <pane xSplit="7" ySplit="3" topLeftCell="AG78" activePane="bottomRight" state="frozen"/>
      <selection activeCell="D32" sqref="D32"/>
      <selection pane="topRight" activeCell="D32" sqref="D32"/>
      <selection pane="bottomLeft" activeCell="D32" sqref="D32"/>
      <selection pane="bottomRight" activeCell="AN101" sqref="AN101:AQ101"/>
    </sheetView>
  </sheetViews>
  <sheetFormatPr defaultRowHeight="15" x14ac:dyDescent="0.25"/>
  <cols>
    <col min="5" max="5" width="12.28515625" bestFit="1" customWidth="1"/>
    <col min="6" max="6" width="14.5703125" bestFit="1" customWidth="1"/>
    <col min="7" max="7" width="20" bestFit="1" customWidth="1"/>
    <col min="8" max="32" width="13" customWidth="1"/>
    <col min="33" max="33" width="14.140625" customWidth="1"/>
    <col min="34" max="39" width="14.28515625" customWidth="1"/>
    <col min="40" max="47" width="15.85546875" customWidth="1"/>
  </cols>
  <sheetData>
    <row r="1" spans="1:47" ht="21" x14ac:dyDescent="0.35">
      <c r="E1" s="71" t="s">
        <v>589</v>
      </c>
      <c r="AJ1" s="103" t="s">
        <v>624</v>
      </c>
      <c r="AK1" s="73"/>
      <c r="AL1" s="73"/>
      <c r="AM1" s="73"/>
      <c r="AN1" s="73"/>
      <c r="AO1" s="73"/>
      <c r="AP1" s="73"/>
      <c r="AQ1" s="73"/>
      <c r="AR1" s="73"/>
      <c r="AS1" s="73"/>
      <c r="AT1" s="73"/>
      <c r="AU1" s="73"/>
    </row>
    <row r="2" spans="1:47" x14ac:dyDescent="0.25">
      <c r="A2" s="142" t="s">
        <v>244</v>
      </c>
      <c r="B2" s="142"/>
      <c r="C2" s="142"/>
      <c r="E2" s="15" t="s">
        <v>244</v>
      </c>
      <c r="H2" s="15" t="s">
        <v>219</v>
      </c>
    </row>
    <row r="3" spans="1:47" x14ac:dyDescent="0.25">
      <c r="A3" s="144" t="s">
        <v>220</v>
      </c>
      <c r="B3" s="144" t="s">
        <v>239</v>
      </c>
      <c r="C3" s="144" t="s">
        <v>684</v>
      </c>
      <c r="E3" s="15" t="s">
        <v>220</v>
      </c>
      <c r="F3" s="15" t="s">
        <v>239</v>
      </c>
      <c r="G3" s="15" t="s">
        <v>684</v>
      </c>
      <c r="H3" s="16">
        <v>42370</v>
      </c>
      <c r="I3" s="16">
        <v>42461</v>
      </c>
      <c r="J3" s="16">
        <v>42552</v>
      </c>
      <c r="K3" s="16">
        <v>42644</v>
      </c>
      <c r="L3" s="16">
        <v>42736</v>
      </c>
      <c r="M3" s="16">
        <v>42826</v>
      </c>
      <c r="N3" s="16">
        <v>42917</v>
      </c>
      <c r="O3" s="16">
        <v>43009</v>
      </c>
      <c r="P3" s="16">
        <v>43101</v>
      </c>
      <c r="Q3" s="16">
        <v>43191</v>
      </c>
      <c r="R3" s="16">
        <v>43282</v>
      </c>
      <c r="S3" s="16">
        <v>43374</v>
      </c>
      <c r="T3" s="16">
        <v>43466</v>
      </c>
      <c r="U3" s="16">
        <v>43556</v>
      </c>
      <c r="V3" s="16">
        <v>43647</v>
      </c>
      <c r="W3" s="16">
        <v>43739</v>
      </c>
      <c r="X3" s="16">
        <v>43831</v>
      </c>
      <c r="Y3" s="16">
        <v>43922</v>
      </c>
      <c r="Z3" s="16">
        <v>44013</v>
      </c>
      <c r="AA3" s="16">
        <v>44105</v>
      </c>
      <c r="AB3" s="16">
        <v>44197</v>
      </c>
      <c r="AC3" s="16">
        <v>44287</v>
      </c>
      <c r="AD3" s="16">
        <v>44378</v>
      </c>
      <c r="AE3" s="16">
        <v>44470</v>
      </c>
      <c r="AF3" s="16">
        <v>44562</v>
      </c>
      <c r="AG3" s="16">
        <v>44652</v>
      </c>
      <c r="AH3" s="16">
        <v>44743</v>
      </c>
      <c r="AI3" s="16">
        <v>44835</v>
      </c>
      <c r="AJ3" s="16">
        <v>44927</v>
      </c>
      <c r="AK3" s="16">
        <v>45017</v>
      </c>
      <c r="AL3" s="16">
        <v>45108</v>
      </c>
      <c r="AM3" s="16">
        <v>45200</v>
      </c>
      <c r="AN3" s="16">
        <v>45292</v>
      </c>
      <c r="AO3" s="16">
        <v>45383</v>
      </c>
      <c r="AP3" s="16">
        <v>45474</v>
      </c>
      <c r="AQ3" s="16">
        <v>45566</v>
      </c>
      <c r="AR3" s="16">
        <v>45658</v>
      </c>
      <c r="AS3" s="16">
        <v>45748</v>
      </c>
      <c r="AT3" s="16">
        <v>45839</v>
      </c>
      <c r="AU3" s="16">
        <v>45931</v>
      </c>
    </row>
    <row r="4" spans="1:47" x14ac:dyDescent="0.25">
      <c r="A4" s="30" t="s">
        <v>223</v>
      </c>
      <c r="B4" s="30" t="s">
        <v>242</v>
      </c>
      <c r="C4" t="s">
        <v>3</v>
      </c>
      <c r="E4" t="s">
        <v>223</v>
      </c>
      <c r="F4" t="s">
        <v>242</v>
      </c>
      <c r="G4" t="s">
        <v>3</v>
      </c>
      <c r="H4">
        <v>190787754</v>
      </c>
      <c r="I4">
        <v>157566921</v>
      </c>
      <c r="J4">
        <v>184886343</v>
      </c>
      <c r="K4">
        <v>163486021</v>
      </c>
      <c r="L4">
        <v>139086543</v>
      </c>
      <c r="M4">
        <v>184749867</v>
      </c>
      <c r="N4">
        <v>193087164</v>
      </c>
      <c r="O4">
        <v>161636376</v>
      </c>
      <c r="P4">
        <v>162000728</v>
      </c>
      <c r="Q4">
        <v>184700513</v>
      </c>
      <c r="R4">
        <v>208472910</v>
      </c>
      <c r="S4">
        <v>172121556</v>
      </c>
      <c r="T4">
        <v>173067446</v>
      </c>
      <c r="U4">
        <v>167000751</v>
      </c>
      <c r="V4">
        <v>188320552</v>
      </c>
      <c r="W4">
        <v>182188128</v>
      </c>
      <c r="X4">
        <v>144363444</v>
      </c>
      <c r="Y4">
        <v>182674337</v>
      </c>
      <c r="Z4">
        <v>174916666</v>
      </c>
      <c r="AA4">
        <v>178080356</v>
      </c>
      <c r="AB4">
        <v>187136760</v>
      </c>
      <c r="AC4">
        <v>186857551</v>
      </c>
      <c r="AD4">
        <v>205598495</v>
      </c>
      <c r="AE4">
        <v>173067964</v>
      </c>
      <c r="AF4">
        <v>200717184</v>
      </c>
      <c r="AG4">
        <v>179682851</v>
      </c>
      <c r="AH4">
        <v>201037082</v>
      </c>
      <c r="AI4">
        <v>193011439</v>
      </c>
      <c r="AJ4">
        <v>159462788</v>
      </c>
    </row>
    <row r="5" spans="1:47" x14ac:dyDescent="0.25">
      <c r="A5" s="30"/>
      <c r="B5" s="30"/>
      <c r="C5" t="s">
        <v>228</v>
      </c>
      <c r="G5" t="s">
        <v>228</v>
      </c>
      <c r="H5">
        <v>0</v>
      </c>
      <c r="I5">
        <v>0</v>
      </c>
      <c r="J5">
        <v>0</v>
      </c>
      <c r="K5">
        <v>0</v>
      </c>
      <c r="L5">
        <v>0</v>
      </c>
      <c r="M5">
        <v>0</v>
      </c>
      <c r="N5">
        <v>0</v>
      </c>
      <c r="O5">
        <v>0</v>
      </c>
      <c r="P5">
        <v>0</v>
      </c>
      <c r="Q5">
        <v>16659</v>
      </c>
      <c r="R5">
        <v>0</v>
      </c>
      <c r="S5">
        <v>0</v>
      </c>
      <c r="T5">
        <v>-1915</v>
      </c>
      <c r="U5">
        <v>-6563</v>
      </c>
      <c r="V5">
        <v>-7587</v>
      </c>
      <c r="W5">
        <v>-5258</v>
      </c>
      <c r="X5">
        <v>-29358</v>
      </c>
      <c r="Y5">
        <v>-11347</v>
      </c>
      <c r="Z5">
        <v>-12518</v>
      </c>
      <c r="AA5">
        <v>-24341</v>
      </c>
      <c r="AB5">
        <v>-59049</v>
      </c>
      <c r="AC5">
        <v>-130131</v>
      </c>
      <c r="AD5">
        <v>-81532</v>
      </c>
      <c r="AE5">
        <v>-71870</v>
      </c>
      <c r="AF5">
        <v>-70738</v>
      </c>
      <c r="AG5">
        <v>-264861</v>
      </c>
      <c r="AH5">
        <v>-475858</v>
      </c>
      <c r="AI5">
        <v>-171343</v>
      </c>
      <c r="AJ5">
        <v>-303649</v>
      </c>
    </row>
    <row r="6" spans="1:47" x14ac:dyDescent="0.25">
      <c r="A6" s="30"/>
      <c r="B6" s="30"/>
      <c r="C6" t="s">
        <v>229</v>
      </c>
      <c r="G6" t="s">
        <v>229</v>
      </c>
      <c r="H6">
        <v>10272272</v>
      </c>
      <c r="I6">
        <v>921340</v>
      </c>
      <c r="J6">
        <v>-556919</v>
      </c>
      <c r="K6">
        <v>2169583</v>
      </c>
      <c r="L6">
        <v>1604260</v>
      </c>
      <c r="M6">
        <v>369644</v>
      </c>
      <c r="N6">
        <v>71965</v>
      </c>
      <c r="O6">
        <v>2358476</v>
      </c>
      <c r="P6">
        <v>-76495</v>
      </c>
      <c r="Q6">
        <v>-3232199</v>
      </c>
      <c r="R6">
        <v>-3865648</v>
      </c>
      <c r="S6">
        <v>-4155248</v>
      </c>
      <c r="T6">
        <v>1815092</v>
      </c>
      <c r="U6">
        <v>2970595</v>
      </c>
      <c r="V6">
        <v>3828923</v>
      </c>
      <c r="W6">
        <v>1063480</v>
      </c>
      <c r="X6">
        <v>-3595701</v>
      </c>
      <c r="Y6">
        <v>-4419614</v>
      </c>
      <c r="Z6">
        <v>-5639152</v>
      </c>
      <c r="AA6">
        <v>-4955786</v>
      </c>
      <c r="AB6">
        <v>-4866175</v>
      </c>
      <c r="AC6">
        <v>-3138844</v>
      </c>
      <c r="AD6">
        <v>-4277246</v>
      </c>
      <c r="AE6">
        <v>-4805022</v>
      </c>
      <c r="AF6">
        <v>-2864283</v>
      </c>
      <c r="AG6">
        <v>-2260403</v>
      </c>
      <c r="AH6">
        <v>-7078291</v>
      </c>
      <c r="AI6">
        <v>-7105738</v>
      </c>
      <c r="AJ6">
        <v>-7140239</v>
      </c>
    </row>
    <row r="7" spans="1:47" x14ac:dyDescent="0.25">
      <c r="A7" s="30"/>
      <c r="B7" s="30"/>
      <c r="C7" t="s">
        <v>4</v>
      </c>
      <c r="G7" t="s">
        <v>4</v>
      </c>
      <c r="H7">
        <v>375239852</v>
      </c>
      <c r="I7">
        <v>326790235</v>
      </c>
      <c r="J7">
        <v>377613067</v>
      </c>
      <c r="K7">
        <v>320334675</v>
      </c>
      <c r="L7">
        <v>263889421</v>
      </c>
      <c r="M7">
        <v>350623417</v>
      </c>
      <c r="N7">
        <v>398951677</v>
      </c>
      <c r="O7">
        <v>357091065</v>
      </c>
      <c r="P7">
        <v>321842960</v>
      </c>
      <c r="Q7">
        <v>396147902</v>
      </c>
      <c r="R7">
        <v>389448668</v>
      </c>
      <c r="S7">
        <v>366263564</v>
      </c>
      <c r="T7">
        <v>354689704</v>
      </c>
      <c r="U7">
        <v>375127081</v>
      </c>
      <c r="V7">
        <v>380415507</v>
      </c>
      <c r="W7">
        <v>386761381</v>
      </c>
      <c r="X7">
        <v>338058278</v>
      </c>
      <c r="Y7">
        <v>262650168</v>
      </c>
      <c r="Z7">
        <v>393227227</v>
      </c>
      <c r="AA7">
        <v>319318522</v>
      </c>
      <c r="AB7">
        <v>337981676</v>
      </c>
      <c r="AC7">
        <v>335095137</v>
      </c>
      <c r="AD7">
        <v>395591110</v>
      </c>
      <c r="AE7">
        <v>334415334</v>
      </c>
      <c r="AF7">
        <v>326964912</v>
      </c>
      <c r="AG7">
        <v>343293483</v>
      </c>
      <c r="AH7">
        <v>372983416</v>
      </c>
      <c r="AI7">
        <v>377834066</v>
      </c>
      <c r="AJ7">
        <v>326924611</v>
      </c>
    </row>
    <row r="8" spans="1:47" x14ac:dyDescent="0.25">
      <c r="A8" s="30"/>
      <c r="B8" s="30"/>
      <c r="C8" t="s">
        <v>237</v>
      </c>
      <c r="G8" t="s">
        <v>237</v>
      </c>
      <c r="H8">
        <v>6826453</v>
      </c>
      <c r="I8">
        <v>1428586</v>
      </c>
      <c r="J8">
        <v>1836989</v>
      </c>
      <c r="K8">
        <v>17687671</v>
      </c>
      <c r="L8">
        <v>15472789</v>
      </c>
      <c r="M8">
        <v>19442225</v>
      </c>
      <c r="N8">
        <v>26862864</v>
      </c>
      <c r="O8">
        <v>20220327</v>
      </c>
      <c r="P8">
        <v>18561719</v>
      </c>
      <c r="Q8">
        <v>20979029</v>
      </c>
      <c r="R8">
        <v>19554903</v>
      </c>
      <c r="S8">
        <v>13918141</v>
      </c>
      <c r="T8">
        <v>19781062</v>
      </c>
      <c r="U8">
        <v>20857756</v>
      </c>
      <c r="V8">
        <v>18078829</v>
      </c>
      <c r="W8">
        <v>17233972</v>
      </c>
      <c r="X8">
        <v>-12749274</v>
      </c>
      <c r="Y8">
        <v>-11222100</v>
      </c>
      <c r="Z8">
        <v>-14910867</v>
      </c>
      <c r="AA8">
        <v>-14199456</v>
      </c>
      <c r="AB8">
        <v>-10843419</v>
      </c>
      <c r="AC8">
        <v>-14709221</v>
      </c>
      <c r="AD8">
        <v>-16674099</v>
      </c>
      <c r="AE8">
        <v>-15181418</v>
      </c>
      <c r="AF8">
        <v>-13881035</v>
      </c>
      <c r="AG8">
        <v>-15383726</v>
      </c>
      <c r="AH8">
        <v>-20156700</v>
      </c>
      <c r="AI8">
        <v>-19642598</v>
      </c>
      <c r="AJ8">
        <v>-20515516</v>
      </c>
    </row>
    <row r="9" spans="1:47" x14ac:dyDescent="0.25">
      <c r="A9" s="30"/>
      <c r="B9" s="30" t="s">
        <v>243</v>
      </c>
      <c r="C9" s="30"/>
      <c r="F9" t="s">
        <v>243</v>
      </c>
      <c r="H9">
        <v>583126331</v>
      </c>
      <c r="I9">
        <v>486707082</v>
      </c>
      <c r="J9">
        <v>563779480</v>
      </c>
      <c r="K9">
        <v>503677950</v>
      </c>
      <c r="L9">
        <v>420053013</v>
      </c>
      <c r="M9">
        <v>555185153</v>
      </c>
      <c r="N9">
        <v>618973670</v>
      </c>
      <c r="O9">
        <v>541306244</v>
      </c>
      <c r="P9">
        <v>502328912</v>
      </c>
      <c r="Q9">
        <v>598611904</v>
      </c>
      <c r="R9">
        <v>613610833</v>
      </c>
      <c r="S9">
        <v>548148013</v>
      </c>
      <c r="T9">
        <v>549351389</v>
      </c>
      <c r="U9">
        <v>565949620</v>
      </c>
      <c r="V9">
        <v>590636224</v>
      </c>
      <c r="W9">
        <v>587241703</v>
      </c>
      <c r="X9">
        <v>466047389</v>
      </c>
      <c r="Y9">
        <v>429671444</v>
      </c>
      <c r="Z9">
        <v>547581356</v>
      </c>
      <c r="AA9">
        <v>478219295</v>
      </c>
      <c r="AB9">
        <v>509349793</v>
      </c>
      <c r="AC9">
        <v>503974492</v>
      </c>
      <c r="AD9">
        <v>580156728</v>
      </c>
      <c r="AE9">
        <v>487424988</v>
      </c>
      <c r="AF9">
        <v>510866040</v>
      </c>
      <c r="AG9">
        <v>505067344</v>
      </c>
      <c r="AH9">
        <v>546309649</v>
      </c>
      <c r="AI9">
        <v>543925826</v>
      </c>
      <c r="AJ9">
        <v>458427995</v>
      </c>
    </row>
    <row r="10" spans="1:47" x14ac:dyDescent="0.25">
      <c r="A10" s="30"/>
      <c r="B10" s="30" t="s">
        <v>240</v>
      </c>
      <c r="C10" t="s">
        <v>226</v>
      </c>
      <c r="F10" t="s">
        <v>240</v>
      </c>
      <c r="G10" t="s">
        <v>226</v>
      </c>
      <c r="H10">
        <v>0</v>
      </c>
      <c r="I10">
        <v>0</v>
      </c>
      <c r="J10">
        <v>218045</v>
      </c>
      <c r="K10">
        <v>336127</v>
      </c>
      <c r="L10">
        <v>319232</v>
      </c>
      <c r="M10">
        <v>423939</v>
      </c>
      <c r="N10">
        <v>362447</v>
      </c>
      <c r="O10">
        <v>402283</v>
      </c>
      <c r="P10">
        <v>187421</v>
      </c>
      <c r="Q10">
        <v>322942</v>
      </c>
      <c r="R10">
        <v>368794</v>
      </c>
      <c r="S10">
        <v>457503</v>
      </c>
      <c r="T10">
        <v>429380</v>
      </c>
      <c r="U10">
        <v>471796</v>
      </c>
      <c r="V10">
        <v>495990</v>
      </c>
      <c r="W10">
        <v>532362</v>
      </c>
      <c r="X10">
        <v>593515</v>
      </c>
      <c r="Y10">
        <v>641800</v>
      </c>
      <c r="Z10">
        <v>674289</v>
      </c>
      <c r="AA10">
        <v>720233</v>
      </c>
      <c r="AB10">
        <v>748636</v>
      </c>
      <c r="AC10">
        <v>818595</v>
      </c>
      <c r="AD10">
        <v>945323</v>
      </c>
      <c r="AE10">
        <v>971286</v>
      </c>
      <c r="AF10">
        <v>920224</v>
      </c>
      <c r="AG10">
        <v>906922</v>
      </c>
      <c r="AH10">
        <v>957071</v>
      </c>
      <c r="AI10">
        <v>935563</v>
      </c>
      <c r="AJ10">
        <v>985392</v>
      </c>
    </row>
    <row r="11" spans="1:47" x14ac:dyDescent="0.25">
      <c r="A11" s="30"/>
      <c r="B11" s="30"/>
      <c r="C11" t="s">
        <v>227</v>
      </c>
      <c r="G11" t="s">
        <v>227</v>
      </c>
      <c r="H11">
        <v>88727</v>
      </c>
      <c r="I11">
        <v>81346</v>
      </c>
      <c r="J11">
        <v>98006</v>
      </c>
      <c r="K11">
        <v>92354</v>
      </c>
      <c r="L11">
        <v>99904</v>
      </c>
      <c r="M11">
        <v>115353</v>
      </c>
      <c r="N11">
        <v>104296</v>
      </c>
      <c r="O11">
        <v>33816</v>
      </c>
      <c r="P11">
        <v>84406</v>
      </c>
      <c r="Q11">
        <v>111748</v>
      </c>
      <c r="R11">
        <v>105494</v>
      </c>
      <c r="S11">
        <v>81027</v>
      </c>
      <c r="T11">
        <v>74326</v>
      </c>
      <c r="U11">
        <v>83726</v>
      </c>
      <c r="V11">
        <v>60935</v>
      </c>
      <c r="W11">
        <v>75549</v>
      </c>
      <c r="X11">
        <v>61614</v>
      </c>
      <c r="Y11">
        <v>67090</v>
      </c>
      <c r="Z11">
        <v>86146</v>
      </c>
      <c r="AA11">
        <v>74656</v>
      </c>
      <c r="AB11">
        <v>0</v>
      </c>
      <c r="AC11">
        <v>0</v>
      </c>
      <c r="AD11">
        <v>0</v>
      </c>
      <c r="AE11">
        <v>0</v>
      </c>
      <c r="AF11">
        <v>0</v>
      </c>
      <c r="AG11">
        <v>0</v>
      </c>
      <c r="AH11">
        <v>0</v>
      </c>
      <c r="AI11">
        <v>0</v>
      </c>
      <c r="AJ11">
        <v>0</v>
      </c>
    </row>
    <row r="12" spans="1:47" x14ac:dyDescent="0.25">
      <c r="A12" s="30"/>
      <c r="B12" s="30"/>
      <c r="C12" t="s">
        <v>7</v>
      </c>
      <c r="G12" t="s">
        <v>7</v>
      </c>
      <c r="H12">
        <v>11353817</v>
      </c>
      <c r="I12">
        <v>11119753</v>
      </c>
      <c r="J12">
        <v>13040561</v>
      </c>
      <c r="K12">
        <v>11380628</v>
      </c>
      <c r="L12">
        <v>9024384</v>
      </c>
      <c r="M12">
        <v>13381643</v>
      </c>
      <c r="N12">
        <v>14467683</v>
      </c>
      <c r="O12">
        <v>14095269</v>
      </c>
      <c r="P12">
        <v>10797938</v>
      </c>
      <c r="Q12">
        <v>13219212</v>
      </c>
      <c r="R12">
        <v>14939801</v>
      </c>
      <c r="S12">
        <v>13234476</v>
      </c>
      <c r="T12">
        <v>11226878</v>
      </c>
      <c r="U12">
        <v>16376995</v>
      </c>
      <c r="V12">
        <v>16836304</v>
      </c>
      <c r="W12">
        <v>15256559</v>
      </c>
      <c r="X12">
        <v>15477625</v>
      </c>
      <c r="Y12">
        <v>16370864</v>
      </c>
      <c r="Z12">
        <v>18513397</v>
      </c>
      <c r="AA12">
        <v>18868338</v>
      </c>
      <c r="AB12">
        <v>15348621</v>
      </c>
      <c r="AC12">
        <v>20412041</v>
      </c>
      <c r="AD12">
        <v>21240995</v>
      </c>
      <c r="AE12">
        <v>19666822</v>
      </c>
      <c r="AF12">
        <v>17881781</v>
      </c>
      <c r="AG12">
        <v>23968070</v>
      </c>
      <c r="AH12">
        <v>16999715</v>
      </c>
      <c r="AI12">
        <v>23526297</v>
      </c>
      <c r="AJ12">
        <v>17967191</v>
      </c>
    </row>
    <row r="13" spans="1:47" x14ac:dyDescent="0.25">
      <c r="A13" s="30"/>
      <c r="B13" s="30"/>
      <c r="C13" t="s">
        <v>225</v>
      </c>
      <c r="G13" t="s">
        <v>225</v>
      </c>
      <c r="H13">
        <v>0</v>
      </c>
      <c r="I13">
        <v>0</v>
      </c>
      <c r="J13">
        <v>0</v>
      </c>
      <c r="K13">
        <v>0</v>
      </c>
      <c r="L13">
        <v>0</v>
      </c>
      <c r="M13">
        <v>0</v>
      </c>
      <c r="N13">
        <v>0</v>
      </c>
      <c r="O13">
        <v>337496</v>
      </c>
      <c r="P13">
        <v>301585</v>
      </c>
      <c r="Q13">
        <v>202848</v>
      </c>
      <c r="R13">
        <v>226799</v>
      </c>
      <c r="S13">
        <v>488983</v>
      </c>
      <c r="T13">
        <v>161527</v>
      </c>
      <c r="U13">
        <v>455869</v>
      </c>
      <c r="V13">
        <v>11311233</v>
      </c>
      <c r="W13">
        <v>4290785</v>
      </c>
      <c r="X13">
        <v>7187193</v>
      </c>
      <c r="Y13">
        <v>6251613</v>
      </c>
      <c r="Z13">
        <v>206541</v>
      </c>
      <c r="AA13">
        <v>3942228</v>
      </c>
      <c r="AB13">
        <v>6937535</v>
      </c>
      <c r="AC13">
        <v>-458422</v>
      </c>
      <c r="AD13">
        <v>3338045</v>
      </c>
      <c r="AE13">
        <v>66684</v>
      </c>
      <c r="AF13">
        <v>14182521</v>
      </c>
      <c r="AG13">
        <v>5088086</v>
      </c>
      <c r="AH13">
        <v>8691920</v>
      </c>
      <c r="AI13">
        <v>19071444</v>
      </c>
      <c r="AJ13">
        <v>24023579</v>
      </c>
    </row>
    <row r="14" spans="1:47" x14ac:dyDescent="0.25">
      <c r="A14" s="30"/>
      <c r="B14" s="30"/>
      <c r="C14" t="s">
        <v>230</v>
      </c>
      <c r="G14" t="s">
        <v>230</v>
      </c>
      <c r="H14">
        <v>0</v>
      </c>
      <c r="I14">
        <v>0</v>
      </c>
      <c r="J14">
        <v>0</v>
      </c>
      <c r="K14">
        <v>0</v>
      </c>
      <c r="L14">
        <v>0</v>
      </c>
      <c r="M14">
        <v>0</v>
      </c>
      <c r="N14">
        <v>0</v>
      </c>
      <c r="O14">
        <v>0</v>
      </c>
      <c r="P14">
        <v>431079</v>
      </c>
      <c r="Q14">
        <v>422832</v>
      </c>
      <c r="R14">
        <v>440204</v>
      </c>
      <c r="S14">
        <v>433671</v>
      </c>
      <c r="T14">
        <v>477625</v>
      </c>
      <c r="U14">
        <v>490452</v>
      </c>
      <c r="V14">
        <v>605468</v>
      </c>
      <c r="W14">
        <v>647037</v>
      </c>
      <c r="X14">
        <v>690933</v>
      </c>
      <c r="Y14">
        <v>710134</v>
      </c>
      <c r="Z14">
        <v>871512</v>
      </c>
      <c r="AA14">
        <v>961477</v>
      </c>
      <c r="AB14">
        <v>969710</v>
      </c>
      <c r="AC14">
        <v>1280664</v>
      </c>
      <c r="AD14">
        <v>1312785</v>
      </c>
      <c r="AE14">
        <v>1412985</v>
      </c>
      <c r="AF14">
        <v>1557283</v>
      </c>
      <c r="AG14">
        <v>1557120</v>
      </c>
      <c r="AH14">
        <v>1524201</v>
      </c>
      <c r="AI14">
        <v>1701933</v>
      </c>
      <c r="AJ14">
        <v>944598</v>
      </c>
    </row>
    <row r="15" spans="1:47" x14ac:dyDescent="0.25">
      <c r="A15" s="30"/>
      <c r="B15" s="30"/>
      <c r="C15" t="s">
        <v>231</v>
      </c>
      <c r="G15" t="s">
        <v>231</v>
      </c>
      <c r="H15">
        <v>7061</v>
      </c>
      <c r="I15">
        <v>10979</v>
      </c>
      <c r="J15">
        <v>15031</v>
      </c>
      <c r="K15">
        <v>14084</v>
      </c>
      <c r="L15">
        <v>14322</v>
      </c>
      <c r="M15">
        <v>18144</v>
      </c>
      <c r="N15">
        <v>24117</v>
      </c>
      <c r="O15">
        <v>22967</v>
      </c>
      <c r="P15">
        <v>18643</v>
      </c>
      <c r="Q15">
        <v>26424</v>
      </c>
      <c r="R15">
        <v>34852</v>
      </c>
      <c r="S15">
        <v>43869</v>
      </c>
      <c r="T15">
        <v>43384</v>
      </c>
      <c r="U15">
        <v>54052</v>
      </c>
      <c r="V15">
        <v>70193</v>
      </c>
      <c r="W15">
        <v>69198</v>
      </c>
      <c r="X15">
        <v>54300</v>
      </c>
      <c r="Y15">
        <v>37633</v>
      </c>
      <c r="Z15">
        <v>72090</v>
      </c>
      <c r="AA15">
        <v>67128</v>
      </c>
      <c r="AB15">
        <v>70162</v>
      </c>
      <c r="AC15">
        <v>108611</v>
      </c>
      <c r="AD15">
        <v>141880</v>
      </c>
      <c r="AE15">
        <v>139929</v>
      </c>
      <c r="AF15">
        <v>144219</v>
      </c>
      <c r="AG15">
        <v>205827</v>
      </c>
      <c r="AH15">
        <v>264249</v>
      </c>
      <c r="AI15">
        <v>264419</v>
      </c>
      <c r="AJ15">
        <v>241448</v>
      </c>
    </row>
    <row r="16" spans="1:47" x14ac:dyDescent="0.25">
      <c r="A16" s="30"/>
      <c r="B16" s="30"/>
      <c r="C16" t="s">
        <v>232</v>
      </c>
      <c r="G16" t="s">
        <v>232</v>
      </c>
      <c r="H16">
        <v>10084584</v>
      </c>
      <c r="I16">
        <v>10636624</v>
      </c>
      <c r="J16">
        <v>9704693</v>
      </c>
      <c r="K16">
        <v>10227805</v>
      </c>
      <c r="L16">
        <v>9776863</v>
      </c>
      <c r="M16">
        <v>9310276</v>
      </c>
      <c r="N16">
        <v>9212448</v>
      </c>
      <c r="O16">
        <v>8937202</v>
      </c>
      <c r="P16">
        <v>8411434</v>
      </c>
      <c r="Q16">
        <v>8861240</v>
      </c>
      <c r="R16">
        <v>9273634</v>
      </c>
      <c r="S16">
        <v>8795011</v>
      </c>
      <c r="T16">
        <v>7797055</v>
      </c>
      <c r="U16">
        <v>9379218</v>
      </c>
      <c r="V16">
        <v>14044376</v>
      </c>
      <c r="W16">
        <v>13891154</v>
      </c>
      <c r="X16">
        <v>12854775</v>
      </c>
      <c r="Y16">
        <v>13932401</v>
      </c>
      <c r="Z16">
        <v>19053482</v>
      </c>
      <c r="AA16">
        <v>27292139</v>
      </c>
      <c r="AB16">
        <v>22584196</v>
      </c>
      <c r="AC16">
        <v>35493502</v>
      </c>
      <c r="AD16">
        <v>34468597</v>
      </c>
      <c r="AE16">
        <v>28661261</v>
      </c>
      <c r="AF16">
        <v>25250064</v>
      </c>
      <c r="AG16">
        <v>32001986</v>
      </c>
      <c r="AH16">
        <v>28346134</v>
      </c>
      <c r="AI16">
        <v>28895213</v>
      </c>
      <c r="AJ16">
        <v>28979394</v>
      </c>
    </row>
    <row r="17" spans="1:36" x14ac:dyDescent="0.25">
      <c r="A17" s="30"/>
      <c r="B17" s="30"/>
      <c r="C17" t="s">
        <v>233</v>
      </c>
      <c r="G17" t="s">
        <v>233</v>
      </c>
      <c r="H17">
        <v>1219304</v>
      </c>
      <c r="I17">
        <v>0</v>
      </c>
      <c r="J17">
        <v>341382</v>
      </c>
      <c r="K17">
        <v>0</v>
      </c>
      <c r="L17">
        <v>0</v>
      </c>
      <c r="M17">
        <v>0</v>
      </c>
      <c r="N17">
        <v>0</v>
      </c>
      <c r="O17">
        <v>0</v>
      </c>
      <c r="P17">
        <v>0</v>
      </c>
      <c r="Q17">
        <v>0</v>
      </c>
      <c r="R17">
        <v>0</v>
      </c>
      <c r="S17">
        <v>0</v>
      </c>
      <c r="T17">
        <v>0</v>
      </c>
      <c r="U17">
        <v>298937</v>
      </c>
      <c r="V17">
        <v>0</v>
      </c>
      <c r="W17">
        <v>172797</v>
      </c>
      <c r="X17">
        <v>9787</v>
      </c>
      <c r="Y17">
        <v>53494</v>
      </c>
      <c r="Z17">
        <v>-312</v>
      </c>
      <c r="AA17">
        <v>0</v>
      </c>
      <c r="AB17">
        <v>0</v>
      </c>
      <c r="AC17">
        <v>0</v>
      </c>
      <c r="AD17">
        <v>0</v>
      </c>
      <c r="AE17">
        <v>0</v>
      </c>
      <c r="AF17">
        <v>0</v>
      </c>
      <c r="AG17">
        <v>0</v>
      </c>
      <c r="AH17">
        <v>0</v>
      </c>
      <c r="AI17">
        <v>0</v>
      </c>
      <c r="AJ17">
        <v>40197</v>
      </c>
    </row>
    <row r="18" spans="1:36" x14ac:dyDescent="0.25">
      <c r="A18" s="30"/>
      <c r="B18" s="30"/>
      <c r="C18" t="s">
        <v>234</v>
      </c>
      <c r="G18" t="s">
        <v>234</v>
      </c>
      <c r="H18">
        <v>14139186</v>
      </c>
      <c r="I18">
        <v>13543571</v>
      </c>
      <c r="J18">
        <v>16763834</v>
      </c>
      <c r="K18">
        <v>11612820</v>
      </c>
      <c r="L18">
        <v>12743468</v>
      </c>
      <c r="M18">
        <v>17354390</v>
      </c>
      <c r="N18">
        <v>15301245</v>
      </c>
      <c r="O18">
        <v>22286606</v>
      </c>
      <c r="P18">
        <v>23044585</v>
      </c>
      <c r="Q18">
        <v>24546488</v>
      </c>
      <c r="R18">
        <v>29679739</v>
      </c>
      <c r="S18">
        <v>30617772</v>
      </c>
      <c r="T18">
        <v>26435068</v>
      </c>
      <c r="U18">
        <v>27263997</v>
      </c>
      <c r="V18">
        <v>30484265</v>
      </c>
      <c r="W18">
        <v>27523886</v>
      </c>
      <c r="X18">
        <v>24578817</v>
      </c>
      <c r="Y18">
        <v>19132482</v>
      </c>
      <c r="Z18">
        <v>21871120</v>
      </c>
      <c r="AA18">
        <v>8254879</v>
      </c>
      <c r="AB18">
        <v>9870790</v>
      </c>
      <c r="AC18">
        <v>9635969</v>
      </c>
      <c r="AD18">
        <v>11299103</v>
      </c>
      <c r="AE18">
        <v>10690465</v>
      </c>
      <c r="AF18">
        <v>10544150</v>
      </c>
      <c r="AG18">
        <v>10371941</v>
      </c>
      <c r="AH18">
        <v>14221301</v>
      </c>
      <c r="AI18">
        <v>6941491</v>
      </c>
      <c r="AJ18">
        <v>10339773</v>
      </c>
    </row>
    <row r="19" spans="1:36" x14ac:dyDescent="0.25">
      <c r="A19" s="30"/>
      <c r="B19" s="30"/>
      <c r="C19" t="s">
        <v>235</v>
      </c>
      <c r="G19" t="s">
        <v>235</v>
      </c>
      <c r="H19">
        <v>24779263</v>
      </c>
      <c r="I19">
        <v>16846719</v>
      </c>
      <c r="J19">
        <v>19851146</v>
      </c>
      <c r="K19">
        <v>15078450</v>
      </c>
      <c r="L19">
        <v>15727391</v>
      </c>
      <c r="M19">
        <v>14239785</v>
      </c>
      <c r="N19">
        <v>21952322</v>
      </c>
      <c r="O19">
        <v>9236517</v>
      </c>
      <c r="P19">
        <v>8661266</v>
      </c>
      <c r="Q19">
        <v>4791519</v>
      </c>
      <c r="R19">
        <v>5968474</v>
      </c>
      <c r="S19">
        <v>2689426</v>
      </c>
      <c r="T19">
        <v>2402287</v>
      </c>
      <c r="U19">
        <v>5458262</v>
      </c>
      <c r="V19">
        <v>962825</v>
      </c>
      <c r="W19">
        <v>323008</v>
      </c>
      <c r="X19">
        <v>8231</v>
      </c>
      <c r="Y19">
        <v>347882</v>
      </c>
      <c r="Z19">
        <v>-316619</v>
      </c>
      <c r="AA19">
        <v>0</v>
      </c>
      <c r="AB19">
        <v>0</v>
      </c>
      <c r="AC19">
        <v>0</v>
      </c>
      <c r="AD19">
        <v>0</v>
      </c>
      <c r="AE19">
        <v>0</v>
      </c>
      <c r="AF19">
        <v>0</v>
      </c>
      <c r="AG19">
        <v>0</v>
      </c>
      <c r="AH19">
        <v>0</v>
      </c>
      <c r="AI19">
        <v>0</v>
      </c>
      <c r="AJ19">
        <v>0</v>
      </c>
    </row>
    <row r="20" spans="1:36" x14ac:dyDescent="0.25">
      <c r="A20" s="30"/>
      <c r="B20" s="30"/>
      <c r="C20" t="s">
        <v>236</v>
      </c>
      <c r="G20" t="s">
        <v>236</v>
      </c>
      <c r="H20">
        <v>47944</v>
      </c>
      <c r="I20">
        <v>83529</v>
      </c>
      <c r="J20">
        <v>253637</v>
      </c>
      <c r="K20">
        <v>212524</v>
      </c>
      <c r="L20">
        <v>234492</v>
      </c>
      <c r="M20">
        <v>224761</v>
      </c>
      <c r="N20">
        <v>249111</v>
      </c>
      <c r="O20">
        <v>205210</v>
      </c>
      <c r="P20">
        <v>384241</v>
      </c>
      <c r="Q20">
        <v>347101</v>
      </c>
      <c r="R20">
        <v>321762</v>
      </c>
      <c r="S20">
        <v>242110</v>
      </c>
      <c r="T20">
        <v>263261</v>
      </c>
      <c r="U20">
        <v>282897</v>
      </c>
      <c r="V20">
        <v>307650</v>
      </c>
      <c r="W20">
        <v>208357</v>
      </c>
      <c r="X20">
        <v>178452</v>
      </c>
      <c r="Y20">
        <v>91497</v>
      </c>
      <c r="Z20">
        <v>47369</v>
      </c>
      <c r="AA20">
        <v>53691</v>
      </c>
      <c r="AB20">
        <v>143046</v>
      </c>
      <c r="AC20">
        <v>136047</v>
      </c>
      <c r="AD20">
        <v>38773</v>
      </c>
      <c r="AE20">
        <v>9309</v>
      </c>
      <c r="AF20">
        <v>2157</v>
      </c>
      <c r="AG20">
        <v>77472</v>
      </c>
      <c r="AH20">
        <v>74449</v>
      </c>
      <c r="AI20">
        <v>84443</v>
      </c>
      <c r="AJ20">
        <v>2967</v>
      </c>
    </row>
    <row r="21" spans="1:36" x14ac:dyDescent="0.25">
      <c r="A21" s="30"/>
      <c r="B21" s="30"/>
      <c r="C21" t="s">
        <v>245</v>
      </c>
      <c r="G21" t="s">
        <v>245</v>
      </c>
      <c r="H21">
        <v>0</v>
      </c>
      <c r="I21">
        <v>0</v>
      </c>
      <c r="J21">
        <v>0</v>
      </c>
      <c r="K21">
        <v>0</v>
      </c>
      <c r="L21">
        <v>0</v>
      </c>
      <c r="M21">
        <v>0</v>
      </c>
      <c r="N21">
        <v>0</v>
      </c>
      <c r="O21">
        <v>0</v>
      </c>
      <c r="P21">
        <v>0</v>
      </c>
      <c r="Q21">
        <v>0</v>
      </c>
      <c r="R21">
        <v>0</v>
      </c>
      <c r="S21">
        <v>76765</v>
      </c>
      <c r="T21">
        <v>27631</v>
      </c>
      <c r="U21">
        <v>0</v>
      </c>
      <c r="V21">
        <v>0</v>
      </c>
      <c r="W21">
        <v>0</v>
      </c>
      <c r="X21">
        <v>0</v>
      </c>
      <c r="Y21">
        <v>0</v>
      </c>
      <c r="Z21">
        <v>0</v>
      </c>
      <c r="AA21">
        <v>0</v>
      </c>
      <c r="AB21">
        <v>0</v>
      </c>
      <c r="AC21">
        <v>0</v>
      </c>
      <c r="AD21">
        <v>0</v>
      </c>
      <c r="AE21">
        <v>0</v>
      </c>
      <c r="AF21">
        <v>0</v>
      </c>
      <c r="AG21">
        <v>0</v>
      </c>
      <c r="AH21">
        <v>0</v>
      </c>
      <c r="AI21">
        <v>0</v>
      </c>
      <c r="AJ21">
        <v>4959</v>
      </c>
    </row>
    <row r="22" spans="1:36" x14ac:dyDescent="0.25">
      <c r="A22" s="30"/>
      <c r="B22" s="30"/>
      <c r="C22" t="s">
        <v>238</v>
      </c>
      <c r="G22" t="s">
        <v>238</v>
      </c>
      <c r="H22">
        <v>18821</v>
      </c>
      <c r="I22">
        <v>18876</v>
      </c>
      <c r="J22">
        <v>7995</v>
      </c>
      <c r="K22">
        <v>19358</v>
      </c>
      <c r="L22">
        <v>20826</v>
      </c>
      <c r="M22">
        <v>43505</v>
      </c>
      <c r="N22">
        <v>24333</v>
      </c>
      <c r="O22">
        <v>39627</v>
      </c>
      <c r="P22">
        <v>138064</v>
      </c>
      <c r="Q22">
        <v>152677</v>
      </c>
      <c r="R22">
        <v>162962</v>
      </c>
      <c r="S22">
        <v>286715</v>
      </c>
      <c r="T22">
        <v>495110</v>
      </c>
      <c r="U22">
        <v>365157</v>
      </c>
      <c r="V22">
        <v>257693</v>
      </c>
      <c r="W22">
        <v>485144</v>
      </c>
      <c r="X22">
        <v>458192</v>
      </c>
      <c r="Y22">
        <v>68331</v>
      </c>
      <c r="Z22">
        <v>81833</v>
      </c>
      <c r="AA22">
        <v>141995</v>
      </c>
      <c r="AB22">
        <v>419390</v>
      </c>
      <c r="AC22">
        <v>691611</v>
      </c>
      <c r="AD22">
        <v>412444</v>
      </c>
      <c r="AE22">
        <v>631224</v>
      </c>
      <c r="AF22">
        <v>684672</v>
      </c>
      <c r="AG22">
        <v>786185</v>
      </c>
      <c r="AH22">
        <v>409142</v>
      </c>
      <c r="AI22">
        <v>691712</v>
      </c>
      <c r="AJ22">
        <v>730659</v>
      </c>
    </row>
    <row r="23" spans="1:36" x14ac:dyDescent="0.25">
      <c r="A23" s="30"/>
      <c r="B23" s="30"/>
      <c r="C23" t="s">
        <v>597</v>
      </c>
      <c r="G23" t="s">
        <v>597</v>
      </c>
      <c r="H23">
        <v>0</v>
      </c>
      <c r="I23">
        <v>0</v>
      </c>
      <c r="J23">
        <v>0</v>
      </c>
      <c r="K23">
        <v>0</v>
      </c>
      <c r="L23">
        <v>0</v>
      </c>
      <c r="M23">
        <v>0</v>
      </c>
      <c r="N23">
        <v>0</v>
      </c>
      <c r="O23">
        <v>0</v>
      </c>
      <c r="P23">
        <v>0</v>
      </c>
      <c r="Q23">
        <v>0</v>
      </c>
      <c r="R23">
        <v>0</v>
      </c>
      <c r="S23">
        <v>0</v>
      </c>
      <c r="T23">
        <v>0</v>
      </c>
      <c r="U23">
        <v>0</v>
      </c>
      <c r="V23">
        <v>229264</v>
      </c>
      <c r="W23">
        <v>223209</v>
      </c>
      <c r="X23">
        <v>217376</v>
      </c>
      <c r="Y23">
        <v>168376</v>
      </c>
      <c r="Z23">
        <v>147499</v>
      </c>
      <c r="AA23">
        <v>191566</v>
      </c>
      <c r="AB23">
        <v>0</v>
      </c>
      <c r="AC23">
        <v>0</v>
      </c>
      <c r="AD23">
        <v>121787</v>
      </c>
      <c r="AE23">
        <v>167601</v>
      </c>
      <c r="AF23">
        <v>158979</v>
      </c>
      <c r="AG23">
        <v>132720</v>
      </c>
      <c r="AH23">
        <v>205031</v>
      </c>
      <c r="AI23">
        <v>173512</v>
      </c>
      <c r="AJ23">
        <v>220452</v>
      </c>
    </row>
    <row r="24" spans="1:36" x14ac:dyDescent="0.25">
      <c r="A24" s="143"/>
      <c r="B24" s="30" t="s">
        <v>241</v>
      </c>
      <c r="C24" s="30"/>
      <c r="F24" t="s">
        <v>241</v>
      </c>
      <c r="H24">
        <v>61738707</v>
      </c>
      <c r="I24">
        <v>52341397</v>
      </c>
      <c r="J24">
        <v>60294330</v>
      </c>
      <c r="K24">
        <v>48974150</v>
      </c>
      <c r="L24">
        <v>47960882</v>
      </c>
      <c r="M24">
        <v>55111796</v>
      </c>
      <c r="N24">
        <v>61698002</v>
      </c>
      <c r="O24">
        <v>55596993</v>
      </c>
      <c r="P24">
        <v>52460662</v>
      </c>
      <c r="Q24">
        <v>53005031</v>
      </c>
      <c r="R24">
        <v>61522515</v>
      </c>
      <c r="S24">
        <v>57447328</v>
      </c>
      <c r="T24">
        <v>49833532</v>
      </c>
      <c r="U24">
        <v>60981358</v>
      </c>
      <c r="V24">
        <v>75666196</v>
      </c>
      <c r="W24">
        <v>63699045</v>
      </c>
      <c r="X24">
        <v>62370810</v>
      </c>
      <c r="Y24">
        <v>57873597</v>
      </c>
      <c r="Z24">
        <v>61308347</v>
      </c>
      <c r="AA24">
        <v>60568330</v>
      </c>
      <c r="AB24">
        <v>57092086</v>
      </c>
      <c r="AC24">
        <v>68118618</v>
      </c>
      <c r="AD24">
        <v>73319732</v>
      </c>
      <c r="AE24">
        <v>62417566</v>
      </c>
      <c r="AF24">
        <v>71326050</v>
      </c>
      <c r="AG24">
        <v>75096329</v>
      </c>
      <c r="AH24">
        <v>71693213</v>
      </c>
      <c r="AI24">
        <v>82286027</v>
      </c>
      <c r="AJ24">
        <v>84480609</v>
      </c>
    </row>
    <row r="25" spans="1:36" x14ac:dyDescent="0.25">
      <c r="A25" s="30" t="s">
        <v>221</v>
      </c>
      <c r="B25" s="30" t="s">
        <v>242</v>
      </c>
      <c r="C25" t="s">
        <v>3</v>
      </c>
      <c r="E25" t="s">
        <v>221</v>
      </c>
      <c r="F25" t="s">
        <v>242</v>
      </c>
      <c r="G25" t="s">
        <v>3</v>
      </c>
      <c r="H25">
        <v>230</v>
      </c>
      <c r="I25">
        <v>998</v>
      </c>
      <c r="J25">
        <v>102</v>
      </c>
      <c r="K25">
        <v>495</v>
      </c>
      <c r="L25">
        <v>322</v>
      </c>
      <c r="M25">
        <v>690</v>
      </c>
      <c r="N25">
        <v>489</v>
      </c>
      <c r="O25">
        <v>418</v>
      </c>
      <c r="P25">
        <v>625</v>
      </c>
      <c r="Q25">
        <v>1068</v>
      </c>
      <c r="R25">
        <v>626</v>
      </c>
      <c r="S25">
        <v>1089</v>
      </c>
      <c r="T25">
        <v>2324</v>
      </c>
      <c r="U25">
        <v>1374</v>
      </c>
      <c r="V25">
        <v>1316</v>
      </c>
      <c r="W25">
        <v>201</v>
      </c>
      <c r="X25">
        <v>411</v>
      </c>
      <c r="Y25">
        <v>179</v>
      </c>
      <c r="Z25">
        <v>1553</v>
      </c>
      <c r="AA25">
        <v>2354</v>
      </c>
      <c r="AB25">
        <v>262</v>
      </c>
      <c r="AC25">
        <v>313</v>
      </c>
      <c r="AD25">
        <v>109</v>
      </c>
      <c r="AE25">
        <v>25</v>
      </c>
      <c r="AF25">
        <v>6</v>
      </c>
      <c r="AG25">
        <v>84</v>
      </c>
      <c r="AH25">
        <v>106</v>
      </c>
      <c r="AI25">
        <v>75</v>
      </c>
      <c r="AJ25">
        <v>657</v>
      </c>
    </row>
    <row r="26" spans="1:36" x14ac:dyDescent="0.25">
      <c r="A26" s="30"/>
      <c r="B26" s="30"/>
      <c r="C26" t="s">
        <v>228</v>
      </c>
      <c r="G26" t="s">
        <v>228</v>
      </c>
      <c r="H26">
        <v>0</v>
      </c>
      <c r="I26">
        <v>0</v>
      </c>
      <c r="J26">
        <v>0</v>
      </c>
      <c r="K26">
        <v>0</v>
      </c>
      <c r="L26">
        <v>0</v>
      </c>
      <c r="M26">
        <v>0</v>
      </c>
      <c r="N26">
        <v>0</v>
      </c>
      <c r="O26">
        <v>0</v>
      </c>
      <c r="P26">
        <v>0</v>
      </c>
      <c r="Q26">
        <v>12</v>
      </c>
      <c r="R26">
        <v>0</v>
      </c>
      <c r="S26">
        <v>0</v>
      </c>
      <c r="T26">
        <v>0</v>
      </c>
      <c r="U26">
        <v>0</v>
      </c>
      <c r="V26">
        <v>0</v>
      </c>
      <c r="W26">
        <v>0</v>
      </c>
      <c r="X26">
        <v>21</v>
      </c>
      <c r="Y26">
        <v>0</v>
      </c>
      <c r="Z26">
        <v>0</v>
      </c>
      <c r="AA26">
        <v>5</v>
      </c>
      <c r="AB26">
        <v>0</v>
      </c>
      <c r="AC26">
        <v>0</v>
      </c>
      <c r="AD26">
        <v>0</v>
      </c>
      <c r="AE26">
        <v>0</v>
      </c>
      <c r="AF26">
        <v>0</v>
      </c>
      <c r="AG26">
        <v>0</v>
      </c>
      <c r="AH26">
        <v>1</v>
      </c>
      <c r="AI26">
        <v>11</v>
      </c>
      <c r="AJ26">
        <v>0</v>
      </c>
    </row>
    <row r="27" spans="1:36" x14ac:dyDescent="0.25">
      <c r="A27" s="30"/>
      <c r="B27" s="30"/>
      <c r="C27" t="s">
        <v>229</v>
      </c>
      <c r="G27" t="s">
        <v>229</v>
      </c>
      <c r="H27">
        <v>129</v>
      </c>
      <c r="I27">
        <v>185</v>
      </c>
      <c r="J27">
        <v>213</v>
      </c>
      <c r="K27">
        <v>100</v>
      </c>
      <c r="L27">
        <v>158</v>
      </c>
      <c r="M27">
        <v>311</v>
      </c>
      <c r="N27">
        <v>306</v>
      </c>
      <c r="O27">
        <v>214</v>
      </c>
      <c r="P27">
        <v>562</v>
      </c>
      <c r="Q27">
        <v>870</v>
      </c>
      <c r="R27">
        <v>1053</v>
      </c>
      <c r="S27">
        <v>1046</v>
      </c>
      <c r="T27">
        <v>18</v>
      </c>
      <c r="U27">
        <v>219</v>
      </c>
      <c r="V27">
        <v>132</v>
      </c>
      <c r="W27">
        <v>106</v>
      </c>
      <c r="X27">
        <v>610</v>
      </c>
      <c r="Y27">
        <v>498</v>
      </c>
      <c r="Z27">
        <v>740</v>
      </c>
      <c r="AA27">
        <v>607</v>
      </c>
      <c r="AB27">
        <v>1639</v>
      </c>
      <c r="AC27">
        <v>1630</v>
      </c>
      <c r="AD27">
        <v>1642</v>
      </c>
      <c r="AE27">
        <v>1468</v>
      </c>
      <c r="AF27">
        <v>2332</v>
      </c>
      <c r="AG27">
        <v>1962</v>
      </c>
      <c r="AH27">
        <v>3643</v>
      </c>
      <c r="AI27">
        <v>3439</v>
      </c>
      <c r="AJ27">
        <v>4953</v>
      </c>
    </row>
    <row r="28" spans="1:36" x14ac:dyDescent="0.25">
      <c r="A28" s="30"/>
      <c r="B28" s="30"/>
      <c r="C28" t="s">
        <v>4</v>
      </c>
      <c r="G28" t="s">
        <v>4</v>
      </c>
      <c r="H28">
        <v>0</v>
      </c>
      <c r="I28">
        <v>703</v>
      </c>
      <c r="J28">
        <v>123</v>
      </c>
      <c r="K28">
        <v>122</v>
      </c>
      <c r="L28">
        <v>194</v>
      </c>
      <c r="M28">
        <v>841</v>
      </c>
      <c r="N28">
        <v>677</v>
      </c>
      <c r="O28">
        <v>331</v>
      </c>
      <c r="P28">
        <v>128</v>
      </c>
      <c r="Q28">
        <v>1205</v>
      </c>
      <c r="R28">
        <v>401</v>
      </c>
      <c r="S28">
        <v>1794</v>
      </c>
      <c r="T28">
        <v>1564</v>
      </c>
      <c r="U28">
        <v>2099</v>
      </c>
      <c r="V28">
        <v>2409</v>
      </c>
      <c r="W28">
        <v>2</v>
      </c>
      <c r="X28">
        <v>2173</v>
      </c>
      <c r="Y28">
        <v>4738</v>
      </c>
      <c r="Z28">
        <v>1354</v>
      </c>
      <c r="AA28">
        <v>362</v>
      </c>
      <c r="AB28">
        <v>0</v>
      </c>
      <c r="AC28">
        <v>6892</v>
      </c>
      <c r="AD28">
        <v>341</v>
      </c>
      <c r="AE28">
        <v>1747</v>
      </c>
      <c r="AF28">
        <v>2958</v>
      </c>
      <c r="AG28">
        <v>4690</v>
      </c>
      <c r="AH28">
        <v>814</v>
      </c>
      <c r="AI28">
        <v>0</v>
      </c>
      <c r="AJ28">
        <v>983</v>
      </c>
    </row>
    <row r="29" spans="1:36" x14ac:dyDescent="0.25">
      <c r="A29" s="30"/>
      <c r="B29" s="30"/>
      <c r="C29" t="s">
        <v>237</v>
      </c>
      <c r="G29" t="s">
        <v>237</v>
      </c>
      <c r="H29">
        <v>351</v>
      </c>
      <c r="I29">
        <v>388</v>
      </c>
      <c r="J29">
        <v>415</v>
      </c>
      <c r="K29">
        <v>39</v>
      </c>
      <c r="L29">
        <v>86</v>
      </c>
      <c r="M29">
        <v>113</v>
      </c>
      <c r="N29">
        <v>80</v>
      </c>
      <c r="O29">
        <v>75</v>
      </c>
      <c r="P29">
        <v>133</v>
      </c>
      <c r="Q29">
        <v>84</v>
      </c>
      <c r="R29">
        <v>87</v>
      </c>
      <c r="S29">
        <v>201</v>
      </c>
      <c r="T29">
        <v>0</v>
      </c>
      <c r="U29">
        <v>0</v>
      </c>
      <c r="V29">
        <v>0</v>
      </c>
      <c r="W29">
        <v>0</v>
      </c>
      <c r="X29">
        <v>1500</v>
      </c>
      <c r="Y29">
        <v>1314</v>
      </c>
      <c r="Z29">
        <v>1891</v>
      </c>
      <c r="AA29">
        <v>1509</v>
      </c>
      <c r="AB29">
        <v>4714</v>
      </c>
      <c r="AC29">
        <v>5704</v>
      </c>
      <c r="AD29">
        <v>6051</v>
      </c>
      <c r="AE29">
        <v>5410</v>
      </c>
      <c r="AF29">
        <v>10570</v>
      </c>
      <c r="AG29">
        <v>11163</v>
      </c>
      <c r="AH29">
        <v>12837</v>
      </c>
      <c r="AI29">
        <v>11740</v>
      </c>
      <c r="AJ29">
        <v>14631</v>
      </c>
    </row>
    <row r="30" spans="1:36" x14ac:dyDescent="0.25">
      <c r="A30" s="30"/>
      <c r="B30" s="30" t="s">
        <v>243</v>
      </c>
      <c r="C30" s="30"/>
      <c r="F30" t="s">
        <v>243</v>
      </c>
      <c r="H30">
        <v>710</v>
      </c>
      <c r="I30">
        <v>2274</v>
      </c>
      <c r="J30">
        <v>853</v>
      </c>
      <c r="K30">
        <v>756</v>
      </c>
      <c r="L30">
        <v>760</v>
      </c>
      <c r="M30">
        <v>1955</v>
      </c>
      <c r="N30">
        <v>1552</v>
      </c>
      <c r="O30">
        <v>1038</v>
      </c>
      <c r="P30">
        <v>1448</v>
      </c>
      <c r="Q30">
        <v>3239</v>
      </c>
      <c r="R30">
        <v>2167</v>
      </c>
      <c r="S30">
        <v>4130</v>
      </c>
      <c r="T30">
        <v>3906</v>
      </c>
      <c r="U30">
        <v>3692</v>
      </c>
      <c r="V30">
        <v>3857</v>
      </c>
      <c r="W30">
        <v>309</v>
      </c>
      <c r="X30">
        <v>4715</v>
      </c>
      <c r="Y30">
        <v>6729</v>
      </c>
      <c r="Z30">
        <v>5538</v>
      </c>
      <c r="AA30">
        <v>4837</v>
      </c>
      <c r="AB30">
        <v>6615</v>
      </c>
      <c r="AC30">
        <v>14539</v>
      </c>
      <c r="AD30">
        <v>8143</v>
      </c>
      <c r="AE30">
        <v>8650</v>
      </c>
      <c r="AF30">
        <v>15866</v>
      </c>
      <c r="AG30">
        <v>17899</v>
      </c>
      <c r="AH30">
        <v>17401</v>
      </c>
      <c r="AI30">
        <v>15265</v>
      </c>
      <c r="AJ30">
        <v>21224</v>
      </c>
    </row>
    <row r="31" spans="1:36" x14ac:dyDescent="0.25">
      <c r="A31" s="30"/>
      <c r="B31" s="30" t="s">
        <v>240</v>
      </c>
      <c r="C31" t="s">
        <v>226</v>
      </c>
      <c r="F31" t="s">
        <v>240</v>
      </c>
      <c r="G31" t="s">
        <v>226</v>
      </c>
      <c r="H31">
        <v>0</v>
      </c>
      <c r="I31">
        <v>0</v>
      </c>
      <c r="J31">
        <v>1655</v>
      </c>
      <c r="K31">
        <v>2486</v>
      </c>
      <c r="L31">
        <v>1673</v>
      </c>
      <c r="M31">
        <v>2277</v>
      </c>
      <c r="N31">
        <v>2237</v>
      </c>
      <c r="O31">
        <v>2478</v>
      </c>
      <c r="P31">
        <v>876</v>
      </c>
      <c r="Q31">
        <v>1337</v>
      </c>
      <c r="R31">
        <v>1512</v>
      </c>
      <c r="S31">
        <v>1801</v>
      </c>
      <c r="T31">
        <v>1629</v>
      </c>
      <c r="U31">
        <v>1786</v>
      </c>
      <c r="V31">
        <v>1863</v>
      </c>
      <c r="W31">
        <v>2371</v>
      </c>
      <c r="X31">
        <v>2256</v>
      </c>
      <c r="Y31">
        <v>2410</v>
      </c>
      <c r="Z31">
        <v>3097</v>
      </c>
      <c r="AA31">
        <v>3312</v>
      </c>
      <c r="AB31">
        <v>3471</v>
      </c>
      <c r="AC31">
        <v>4521</v>
      </c>
      <c r="AD31">
        <v>9662</v>
      </c>
      <c r="AE31">
        <v>11595</v>
      </c>
      <c r="AF31">
        <v>11716</v>
      </c>
      <c r="AG31">
        <v>8342</v>
      </c>
      <c r="AH31">
        <v>4093</v>
      </c>
      <c r="AI31">
        <v>9021</v>
      </c>
      <c r="AJ31">
        <v>21991</v>
      </c>
    </row>
    <row r="32" spans="1:36" x14ac:dyDescent="0.25">
      <c r="A32" s="30"/>
      <c r="B32" s="30"/>
      <c r="C32" t="s">
        <v>227</v>
      </c>
      <c r="G32" t="s">
        <v>227</v>
      </c>
      <c r="H32">
        <v>474</v>
      </c>
      <c r="I32">
        <v>315</v>
      </c>
      <c r="J32">
        <v>379</v>
      </c>
      <c r="K32">
        <v>357</v>
      </c>
      <c r="L32">
        <v>383</v>
      </c>
      <c r="M32">
        <v>442</v>
      </c>
      <c r="N32">
        <v>397</v>
      </c>
      <c r="O32">
        <v>129</v>
      </c>
      <c r="P32">
        <v>327</v>
      </c>
      <c r="Q32">
        <v>433</v>
      </c>
      <c r="R32">
        <v>409</v>
      </c>
      <c r="S32">
        <v>314</v>
      </c>
      <c r="T32">
        <v>276</v>
      </c>
      <c r="U32">
        <v>311</v>
      </c>
      <c r="V32">
        <v>226</v>
      </c>
      <c r="W32">
        <v>280</v>
      </c>
      <c r="X32">
        <v>219</v>
      </c>
      <c r="Y32">
        <v>241</v>
      </c>
      <c r="Z32">
        <v>360</v>
      </c>
      <c r="AA32">
        <v>312</v>
      </c>
      <c r="AB32">
        <v>0</v>
      </c>
      <c r="AC32">
        <v>0</v>
      </c>
      <c r="AD32">
        <v>0</v>
      </c>
      <c r="AE32">
        <v>0</v>
      </c>
      <c r="AF32">
        <v>0</v>
      </c>
      <c r="AG32">
        <v>0</v>
      </c>
      <c r="AH32">
        <v>0</v>
      </c>
      <c r="AI32">
        <v>0</v>
      </c>
      <c r="AJ32">
        <v>0</v>
      </c>
    </row>
    <row r="33" spans="1:36" x14ac:dyDescent="0.25">
      <c r="A33" s="30"/>
      <c r="B33" s="30"/>
      <c r="C33" t="s">
        <v>7</v>
      </c>
      <c r="G33" t="s">
        <v>7</v>
      </c>
      <c r="H33">
        <v>58529</v>
      </c>
      <c r="I33">
        <v>65175</v>
      </c>
      <c r="J33">
        <v>76526</v>
      </c>
      <c r="K33">
        <v>69420</v>
      </c>
      <c r="L33">
        <v>57466</v>
      </c>
      <c r="M33">
        <v>83384</v>
      </c>
      <c r="N33">
        <v>92219</v>
      </c>
      <c r="O33">
        <v>88392</v>
      </c>
      <c r="P33">
        <v>73382</v>
      </c>
      <c r="Q33">
        <v>88804</v>
      </c>
      <c r="R33">
        <v>101480</v>
      </c>
      <c r="S33">
        <v>91173</v>
      </c>
      <c r="T33">
        <v>83643</v>
      </c>
      <c r="U33">
        <v>121921</v>
      </c>
      <c r="V33">
        <v>125305</v>
      </c>
      <c r="W33">
        <v>116165</v>
      </c>
      <c r="X33">
        <v>116635</v>
      </c>
      <c r="Y33">
        <v>112434</v>
      </c>
      <c r="Z33">
        <v>126284</v>
      </c>
      <c r="AA33">
        <v>126047</v>
      </c>
      <c r="AB33">
        <v>102146</v>
      </c>
      <c r="AC33">
        <v>141521</v>
      </c>
      <c r="AD33">
        <v>145403</v>
      </c>
      <c r="AE33">
        <v>132217</v>
      </c>
      <c r="AF33">
        <v>119832</v>
      </c>
      <c r="AG33">
        <v>172311</v>
      </c>
      <c r="AH33">
        <v>118356</v>
      </c>
      <c r="AI33">
        <v>158177</v>
      </c>
      <c r="AJ33">
        <v>106880</v>
      </c>
    </row>
    <row r="34" spans="1:36" x14ac:dyDescent="0.25">
      <c r="A34" s="30"/>
      <c r="B34" s="30"/>
      <c r="C34" t="s">
        <v>225</v>
      </c>
      <c r="G34" t="s">
        <v>225</v>
      </c>
      <c r="H34">
        <v>0</v>
      </c>
      <c r="I34">
        <v>0</v>
      </c>
      <c r="J34">
        <v>0</v>
      </c>
      <c r="K34">
        <v>0</v>
      </c>
      <c r="L34">
        <v>0</v>
      </c>
      <c r="M34">
        <v>0</v>
      </c>
      <c r="N34">
        <v>0</v>
      </c>
      <c r="O34">
        <v>2863</v>
      </c>
      <c r="P34">
        <v>1967</v>
      </c>
      <c r="Q34">
        <v>1637</v>
      </c>
      <c r="R34">
        <v>1800</v>
      </c>
      <c r="S34">
        <v>4035</v>
      </c>
      <c r="T34">
        <v>907</v>
      </c>
      <c r="U34">
        <v>3104</v>
      </c>
      <c r="V34">
        <v>98814</v>
      </c>
      <c r="W34">
        <v>38390</v>
      </c>
      <c r="X34">
        <v>64363</v>
      </c>
      <c r="Y34">
        <v>53776</v>
      </c>
      <c r="Z34">
        <v>1167</v>
      </c>
      <c r="AA34">
        <v>29176</v>
      </c>
      <c r="AB34">
        <v>43741</v>
      </c>
      <c r="AC34">
        <v>41085</v>
      </c>
      <c r="AD34">
        <v>20232</v>
      </c>
      <c r="AE34">
        <v>27700</v>
      </c>
      <c r="AF34">
        <v>94596</v>
      </c>
      <c r="AG34">
        <v>43478</v>
      </c>
      <c r="AH34">
        <v>112314</v>
      </c>
      <c r="AI34">
        <v>124452</v>
      </c>
      <c r="AJ34">
        <v>142431</v>
      </c>
    </row>
    <row r="35" spans="1:36" x14ac:dyDescent="0.25">
      <c r="A35" s="30"/>
      <c r="B35" s="30"/>
      <c r="C35" t="s">
        <v>230</v>
      </c>
      <c r="G35" t="s">
        <v>230</v>
      </c>
      <c r="H35">
        <v>0</v>
      </c>
      <c r="I35">
        <v>0</v>
      </c>
      <c r="J35">
        <v>0</v>
      </c>
      <c r="K35">
        <v>0</v>
      </c>
      <c r="L35">
        <v>0</v>
      </c>
      <c r="M35">
        <v>0</v>
      </c>
      <c r="N35">
        <v>0</v>
      </c>
      <c r="O35">
        <v>0</v>
      </c>
      <c r="P35">
        <v>4288</v>
      </c>
      <c r="Q35">
        <v>4206</v>
      </c>
      <c r="R35">
        <v>4382</v>
      </c>
      <c r="S35">
        <v>4313</v>
      </c>
      <c r="T35">
        <v>4662</v>
      </c>
      <c r="U35">
        <v>4756</v>
      </c>
      <c r="V35">
        <v>5787</v>
      </c>
      <c r="W35">
        <v>6098</v>
      </c>
      <c r="X35">
        <v>6391</v>
      </c>
      <c r="Y35">
        <v>6459</v>
      </c>
      <c r="Z35">
        <v>7835</v>
      </c>
      <c r="AA35">
        <v>8579</v>
      </c>
      <c r="AB35">
        <v>18392</v>
      </c>
      <c r="AC35">
        <v>28285</v>
      </c>
      <c r="AD35">
        <v>32449</v>
      </c>
      <c r="AE35">
        <v>36097</v>
      </c>
      <c r="AF35">
        <v>38001</v>
      </c>
      <c r="AG35">
        <v>39897</v>
      </c>
      <c r="AH35">
        <v>42917</v>
      </c>
      <c r="AI35">
        <v>46713</v>
      </c>
      <c r="AJ35">
        <v>21487</v>
      </c>
    </row>
    <row r="36" spans="1:36" x14ac:dyDescent="0.25">
      <c r="A36" s="30"/>
      <c r="B36" s="30"/>
      <c r="C36" t="s">
        <v>231</v>
      </c>
      <c r="G36" t="s">
        <v>231</v>
      </c>
      <c r="H36">
        <v>321</v>
      </c>
      <c r="I36">
        <v>500</v>
      </c>
      <c r="J36">
        <v>684</v>
      </c>
      <c r="K36">
        <v>640</v>
      </c>
      <c r="L36">
        <v>649</v>
      </c>
      <c r="M36">
        <v>822</v>
      </c>
      <c r="N36">
        <v>1095</v>
      </c>
      <c r="O36">
        <v>946</v>
      </c>
      <c r="P36">
        <v>539</v>
      </c>
      <c r="Q36">
        <v>761</v>
      </c>
      <c r="R36">
        <v>968</v>
      </c>
      <c r="S36">
        <v>1214</v>
      </c>
      <c r="T36">
        <v>1187</v>
      </c>
      <c r="U36">
        <v>1500</v>
      </c>
      <c r="V36">
        <v>1965</v>
      </c>
      <c r="W36">
        <v>1940</v>
      </c>
      <c r="X36">
        <v>1529</v>
      </c>
      <c r="Y36">
        <v>1032</v>
      </c>
      <c r="Z36">
        <v>1952</v>
      </c>
      <c r="AA36">
        <v>1818</v>
      </c>
      <c r="AB36">
        <v>1759</v>
      </c>
      <c r="AC36">
        <v>2687</v>
      </c>
      <c r="AD36">
        <v>5360</v>
      </c>
      <c r="AE36">
        <v>5498</v>
      </c>
      <c r="AF36">
        <v>5423</v>
      </c>
      <c r="AG36">
        <v>7831</v>
      </c>
      <c r="AH36">
        <v>10139</v>
      </c>
      <c r="AI36">
        <v>10164</v>
      </c>
      <c r="AJ36">
        <v>8864</v>
      </c>
    </row>
    <row r="37" spans="1:36" x14ac:dyDescent="0.25">
      <c r="A37" s="30"/>
      <c r="B37" s="30"/>
      <c r="C37" t="s">
        <v>794</v>
      </c>
      <c r="G37" t="s">
        <v>794</v>
      </c>
      <c r="H37">
        <v>8573</v>
      </c>
      <c r="I37">
        <v>8574</v>
      </c>
      <c r="J37">
        <v>8573</v>
      </c>
      <c r="K37">
        <v>8574</v>
      </c>
      <c r="L37">
        <v>10301</v>
      </c>
      <c r="M37">
        <v>10301</v>
      </c>
      <c r="N37">
        <v>10301</v>
      </c>
      <c r="O37">
        <v>10301</v>
      </c>
      <c r="P37">
        <v>14222</v>
      </c>
      <c r="Q37">
        <v>14222</v>
      </c>
      <c r="R37">
        <v>14223</v>
      </c>
      <c r="S37">
        <v>14223</v>
      </c>
      <c r="T37">
        <v>18317</v>
      </c>
      <c r="U37">
        <v>18317</v>
      </c>
      <c r="V37">
        <v>18318</v>
      </c>
      <c r="W37">
        <v>18318</v>
      </c>
      <c r="X37">
        <v>24872</v>
      </c>
      <c r="Y37">
        <v>24872</v>
      </c>
      <c r="Z37">
        <v>24872</v>
      </c>
      <c r="AA37">
        <v>24872</v>
      </c>
      <c r="AB37">
        <v>32995.5</v>
      </c>
      <c r="AC37">
        <v>32995.5</v>
      </c>
      <c r="AD37">
        <v>39353</v>
      </c>
      <c r="AE37">
        <v>39352</v>
      </c>
      <c r="AF37">
        <v>46402</v>
      </c>
      <c r="AG37">
        <v>46402</v>
      </c>
      <c r="AH37">
        <v>47330</v>
      </c>
      <c r="AI37">
        <v>47330</v>
      </c>
      <c r="AJ37">
        <v>0</v>
      </c>
    </row>
    <row r="38" spans="1:36" x14ac:dyDescent="0.25">
      <c r="A38" s="30"/>
      <c r="B38" s="30"/>
      <c r="C38" t="s">
        <v>232</v>
      </c>
      <c r="G38" t="s">
        <v>232</v>
      </c>
      <c r="H38">
        <v>35773</v>
      </c>
      <c r="I38">
        <v>40149</v>
      </c>
      <c r="J38">
        <v>37633</v>
      </c>
      <c r="K38">
        <v>37148</v>
      </c>
      <c r="L38">
        <v>35320</v>
      </c>
      <c r="M38">
        <v>41860</v>
      </c>
      <c r="N38">
        <v>33280</v>
      </c>
      <c r="O38">
        <v>32285</v>
      </c>
      <c r="P38">
        <v>30356</v>
      </c>
      <c r="Q38">
        <v>31671</v>
      </c>
      <c r="R38">
        <v>33147</v>
      </c>
      <c r="S38">
        <v>35201</v>
      </c>
      <c r="T38">
        <v>27189</v>
      </c>
      <c r="U38">
        <v>34844</v>
      </c>
      <c r="V38">
        <v>51580</v>
      </c>
      <c r="W38">
        <v>55045</v>
      </c>
      <c r="X38">
        <v>45329</v>
      </c>
      <c r="Y38">
        <v>47983</v>
      </c>
      <c r="Z38">
        <v>72658</v>
      </c>
      <c r="AA38">
        <v>98924</v>
      </c>
      <c r="AB38">
        <v>79493</v>
      </c>
      <c r="AC38">
        <v>120639</v>
      </c>
      <c r="AD38">
        <v>117834</v>
      </c>
      <c r="AE38">
        <v>98675</v>
      </c>
      <c r="AF38">
        <v>89264</v>
      </c>
      <c r="AG38">
        <v>106804</v>
      </c>
      <c r="AH38">
        <v>97059</v>
      </c>
      <c r="AI38">
        <v>98292</v>
      </c>
      <c r="AJ38">
        <v>105593</v>
      </c>
    </row>
    <row r="39" spans="1:36" x14ac:dyDescent="0.25">
      <c r="A39" s="30"/>
      <c r="B39" s="30"/>
      <c r="C39" t="s">
        <v>233</v>
      </c>
      <c r="G39" t="s">
        <v>233</v>
      </c>
      <c r="H39">
        <v>2223</v>
      </c>
      <c r="I39">
        <v>0</v>
      </c>
      <c r="J39">
        <v>622</v>
      </c>
      <c r="K39">
        <v>0</v>
      </c>
      <c r="L39">
        <v>0</v>
      </c>
      <c r="M39">
        <v>0</v>
      </c>
      <c r="N39">
        <v>0</v>
      </c>
      <c r="O39">
        <v>0</v>
      </c>
      <c r="P39">
        <v>0</v>
      </c>
      <c r="Q39">
        <v>0</v>
      </c>
      <c r="R39">
        <v>0</v>
      </c>
      <c r="S39">
        <v>0</v>
      </c>
      <c r="T39">
        <v>0</v>
      </c>
      <c r="U39">
        <v>469</v>
      </c>
      <c r="V39">
        <v>0</v>
      </c>
      <c r="W39">
        <v>271</v>
      </c>
      <c r="X39">
        <v>0</v>
      </c>
      <c r="Y39">
        <v>98</v>
      </c>
      <c r="Z39">
        <v>0</v>
      </c>
      <c r="AA39">
        <v>0</v>
      </c>
      <c r="AB39">
        <v>0</v>
      </c>
      <c r="AC39">
        <v>0</v>
      </c>
      <c r="AD39">
        <v>0</v>
      </c>
      <c r="AE39">
        <v>0</v>
      </c>
      <c r="AF39">
        <v>0</v>
      </c>
      <c r="AG39">
        <v>0</v>
      </c>
      <c r="AH39">
        <v>0</v>
      </c>
      <c r="AI39">
        <v>0</v>
      </c>
      <c r="AJ39">
        <v>0</v>
      </c>
    </row>
    <row r="40" spans="1:36" x14ac:dyDescent="0.25">
      <c r="A40" s="30"/>
      <c r="B40" s="30"/>
      <c r="C40" t="s">
        <v>234</v>
      </c>
      <c r="G40" t="s">
        <v>234</v>
      </c>
      <c r="H40">
        <v>40263</v>
      </c>
      <c r="I40">
        <v>40120</v>
      </c>
      <c r="J40">
        <v>51501</v>
      </c>
      <c r="K40">
        <v>36170</v>
      </c>
      <c r="L40">
        <v>44266</v>
      </c>
      <c r="M40">
        <v>52398</v>
      </c>
      <c r="N40">
        <v>47958</v>
      </c>
      <c r="O40">
        <v>70276</v>
      </c>
      <c r="P40">
        <v>68913</v>
      </c>
      <c r="Q40">
        <v>73362</v>
      </c>
      <c r="R40">
        <v>92640</v>
      </c>
      <c r="S40">
        <v>95805</v>
      </c>
      <c r="T40">
        <v>79909</v>
      </c>
      <c r="U40">
        <v>88120</v>
      </c>
      <c r="V40">
        <v>104296</v>
      </c>
      <c r="W40">
        <v>89853</v>
      </c>
      <c r="X40">
        <v>79069</v>
      </c>
      <c r="Y40">
        <v>59772</v>
      </c>
      <c r="Z40">
        <v>73079</v>
      </c>
      <c r="AA40">
        <v>29552</v>
      </c>
      <c r="AB40">
        <v>30850</v>
      </c>
      <c r="AC40">
        <v>30190</v>
      </c>
      <c r="AD40">
        <v>38072</v>
      </c>
      <c r="AE40">
        <v>34197</v>
      </c>
      <c r="AF40">
        <v>32146</v>
      </c>
      <c r="AG40">
        <v>31056</v>
      </c>
      <c r="AH40">
        <v>45346</v>
      </c>
      <c r="AI40">
        <v>23470</v>
      </c>
      <c r="AJ40">
        <v>29714</v>
      </c>
    </row>
    <row r="41" spans="1:36" x14ac:dyDescent="0.25">
      <c r="A41" s="30"/>
      <c r="B41" s="30"/>
      <c r="C41" t="s">
        <v>235</v>
      </c>
      <c r="G41" t="s">
        <v>235</v>
      </c>
      <c r="H41">
        <v>60400</v>
      </c>
      <c r="I41">
        <v>42330</v>
      </c>
      <c r="J41">
        <v>51234</v>
      </c>
      <c r="K41">
        <v>38364</v>
      </c>
      <c r="L41">
        <v>41545</v>
      </c>
      <c r="M41">
        <v>36241</v>
      </c>
      <c r="N41">
        <v>65353</v>
      </c>
      <c r="O41">
        <v>39825</v>
      </c>
      <c r="P41">
        <v>21805</v>
      </c>
      <c r="Q41">
        <v>11729</v>
      </c>
      <c r="R41">
        <v>14563</v>
      </c>
      <c r="S41">
        <v>6624</v>
      </c>
      <c r="T41">
        <v>6067</v>
      </c>
      <c r="U41">
        <v>13083</v>
      </c>
      <c r="V41">
        <v>2282</v>
      </c>
      <c r="W41">
        <v>760</v>
      </c>
      <c r="X41">
        <v>19</v>
      </c>
      <c r="Y41">
        <v>788</v>
      </c>
      <c r="Z41">
        <v>70</v>
      </c>
      <c r="AA41">
        <v>0</v>
      </c>
      <c r="AB41">
        <v>0</v>
      </c>
      <c r="AC41">
        <v>0</v>
      </c>
      <c r="AD41">
        <v>0</v>
      </c>
      <c r="AE41">
        <v>0</v>
      </c>
      <c r="AF41">
        <v>0</v>
      </c>
      <c r="AG41">
        <v>0</v>
      </c>
      <c r="AH41">
        <v>0</v>
      </c>
      <c r="AI41">
        <v>0</v>
      </c>
      <c r="AJ41">
        <v>0</v>
      </c>
    </row>
    <row r="42" spans="1:36" x14ac:dyDescent="0.25">
      <c r="A42" s="30"/>
      <c r="B42" s="30"/>
      <c r="C42" t="s">
        <v>236</v>
      </c>
      <c r="G42" t="s">
        <v>236</v>
      </c>
      <c r="H42">
        <v>61</v>
      </c>
      <c r="I42">
        <v>112</v>
      </c>
      <c r="J42">
        <v>346</v>
      </c>
      <c r="K42">
        <v>292</v>
      </c>
      <c r="L42">
        <v>308</v>
      </c>
      <c r="M42">
        <v>297</v>
      </c>
      <c r="N42">
        <v>327</v>
      </c>
      <c r="O42">
        <v>272</v>
      </c>
      <c r="P42">
        <v>472</v>
      </c>
      <c r="Q42">
        <v>514</v>
      </c>
      <c r="R42">
        <v>486</v>
      </c>
      <c r="S42">
        <v>387</v>
      </c>
      <c r="T42">
        <v>383</v>
      </c>
      <c r="U42">
        <v>399</v>
      </c>
      <c r="V42">
        <v>435</v>
      </c>
      <c r="W42">
        <v>325</v>
      </c>
      <c r="X42">
        <v>263</v>
      </c>
      <c r="Y42">
        <v>136</v>
      </c>
      <c r="Z42">
        <v>99</v>
      </c>
      <c r="AA42">
        <v>113</v>
      </c>
      <c r="AB42">
        <v>302</v>
      </c>
      <c r="AC42">
        <v>284</v>
      </c>
      <c r="AD42">
        <v>89</v>
      </c>
      <c r="AE42">
        <v>16</v>
      </c>
      <c r="AF42">
        <v>2</v>
      </c>
      <c r="AG42">
        <v>162</v>
      </c>
      <c r="AH42">
        <v>156</v>
      </c>
      <c r="AI42">
        <v>178</v>
      </c>
      <c r="AJ42">
        <v>5</v>
      </c>
    </row>
    <row r="43" spans="1:36" x14ac:dyDescent="0.25">
      <c r="A43" s="30"/>
      <c r="B43" s="30"/>
      <c r="C43" t="s">
        <v>245</v>
      </c>
      <c r="G43" t="s">
        <v>245</v>
      </c>
      <c r="H43">
        <v>0</v>
      </c>
      <c r="I43">
        <v>0</v>
      </c>
      <c r="J43">
        <v>0</v>
      </c>
      <c r="K43">
        <v>0</v>
      </c>
      <c r="L43">
        <v>0</v>
      </c>
      <c r="M43">
        <v>0</v>
      </c>
      <c r="N43">
        <v>0</v>
      </c>
      <c r="O43">
        <v>0</v>
      </c>
      <c r="P43">
        <v>0</v>
      </c>
      <c r="Q43">
        <v>0</v>
      </c>
      <c r="R43">
        <v>0</v>
      </c>
      <c r="S43">
        <v>43</v>
      </c>
      <c r="T43">
        <v>10</v>
      </c>
      <c r="U43">
        <v>0</v>
      </c>
      <c r="V43">
        <v>0</v>
      </c>
      <c r="W43">
        <v>0</v>
      </c>
      <c r="X43">
        <v>0</v>
      </c>
      <c r="Y43">
        <v>0</v>
      </c>
      <c r="Z43">
        <v>0</v>
      </c>
      <c r="AA43">
        <v>0</v>
      </c>
      <c r="AB43">
        <v>0</v>
      </c>
      <c r="AC43">
        <v>0</v>
      </c>
      <c r="AD43">
        <v>0</v>
      </c>
      <c r="AE43">
        <v>0</v>
      </c>
      <c r="AF43">
        <v>0</v>
      </c>
      <c r="AG43">
        <v>0</v>
      </c>
      <c r="AH43">
        <v>0</v>
      </c>
      <c r="AI43">
        <v>0</v>
      </c>
      <c r="AJ43">
        <v>0</v>
      </c>
    </row>
    <row r="44" spans="1:36" x14ac:dyDescent="0.25">
      <c r="A44" s="30"/>
      <c r="B44" s="30"/>
      <c r="C44" t="s">
        <v>238</v>
      </c>
      <c r="G44" t="s">
        <v>238</v>
      </c>
      <c r="H44">
        <v>28</v>
      </c>
      <c r="I44">
        <v>28</v>
      </c>
      <c r="J44">
        <v>13</v>
      </c>
      <c r="K44">
        <v>31</v>
      </c>
      <c r="L44">
        <v>32</v>
      </c>
      <c r="M44">
        <v>68</v>
      </c>
      <c r="N44">
        <v>38</v>
      </c>
      <c r="O44">
        <v>61</v>
      </c>
      <c r="P44">
        <v>199</v>
      </c>
      <c r="Q44">
        <v>218</v>
      </c>
      <c r="R44">
        <v>238</v>
      </c>
      <c r="S44">
        <v>535</v>
      </c>
      <c r="T44">
        <v>1219</v>
      </c>
      <c r="U44">
        <v>1385</v>
      </c>
      <c r="V44">
        <v>375</v>
      </c>
      <c r="W44">
        <v>700</v>
      </c>
      <c r="X44">
        <v>305</v>
      </c>
      <c r="Y44">
        <v>45</v>
      </c>
      <c r="Z44">
        <v>57</v>
      </c>
      <c r="AA44">
        <v>107</v>
      </c>
      <c r="AB44">
        <v>1318</v>
      </c>
      <c r="AC44">
        <v>1410</v>
      </c>
      <c r="AD44">
        <v>338</v>
      </c>
      <c r="AE44">
        <v>454</v>
      </c>
      <c r="AF44">
        <v>384</v>
      </c>
      <c r="AG44">
        <v>446</v>
      </c>
      <c r="AH44">
        <v>265</v>
      </c>
      <c r="AI44">
        <v>435</v>
      </c>
      <c r="AJ44">
        <v>354</v>
      </c>
    </row>
    <row r="45" spans="1:36" x14ac:dyDescent="0.25">
      <c r="A45" s="30"/>
      <c r="B45" s="30"/>
      <c r="C45" t="s">
        <v>597</v>
      </c>
      <c r="G45" t="s">
        <v>597</v>
      </c>
      <c r="H45">
        <v>0</v>
      </c>
      <c r="I45">
        <v>0</v>
      </c>
      <c r="J45">
        <v>0</v>
      </c>
      <c r="K45">
        <v>0</v>
      </c>
      <c r="L45">
        <v>0</v>
      </c>
      <c r="M45">
        <v>0</v>
      </c>
      <c r="N45">
        <v>0</v>
      </c>
      <c r="O45">
        <v>0</v>
      </c>
      <c r="P45">
        <v>0</v>
      </c>
      <c r="Q45">
        <v>0</v>
      </c>
      <c r="R45">
        <v>0</v>
      </c>
      <c r="S45">
        <v>0</v>
      </c>
      <c r="T45">
        <v>0</v>
      </c>
      <c r="U45">
        <v>0</v>
      </c>
      <c r="V45">
        <v>1268</v>
      </c>
      <c r="W45">
        <v>1235</v>
      </c>
      <c r="X45">
        <v>1182</v>
      </c>
      <c r="Y45">
        <v>916</v>
      </c>
      <c r="Z45">
        <v>720</v>
      </c>
      <c r="AA45">
        <v>936</v>
      </c>
      <c r="AB45">
        <v>0</v>
      </c>
      <c r="AC45">
        <v>0</v>
      </c>
      <c r="AD45">
        <v>724</v>
      </c>
      <c r="AE45">
        <v>866</v>
      </c>
      <c r="AF45">
        <v>663</v>
      </c>
      <c r="AG45">
        <v>836</v>
      </c>
      <c r="AH45">
        <v>1316</v>
      </c>
      <c r="AI45">
        <v>993</v>
      </c>
      <c r="AJ45">
        <v>1386</v>
      </c>
    </row>
    <row r="46" spans="1:36" x14ac:dyDescent="0.25">
      <c r="A46" s="143"/>
      <c r="B46" s="30" t="s">
        <v>241</v>
      </c>
      <c r="C46" s="30"/>
      <c r="F46" t="s">
        <v>241</v>
      </c>
      <c r="H46">
        <v>206645</v>
      </c>
      <c r="I46">
        <v>197303</v>
      </c>
      <c r="J46">
        <v>229166</v>
      </c>
      <c r="K46">
        <v>193482</v>
      </c>
      <c r="L46">
        <v>191943</v>
      </c>
      <c r="M46">
        <v>228090</v>
      </c>
      <c r="N46">
        <v>253205</v>
      </c>
      <c r="O46">
        <v>247828</v>
      </c>
      <c r="P46">
        <v>217346</v>
      </c>
      <c r="Q46">
        <v>228894</v>
      </c>
      <c r="R46">
        <v>265848</v>
      </c>
      <c r="S46">
        <v>255668</v>
      </c>
      <c r="T46">
        <v>225398</v>
      </c>
      <c r="U46">
        <v>289995</v>
      </c>
      <c r="V46">
        <v>412514</v>
      </c>
      <c r="W46">
        <v>331751</v>
      </c>
      <c r="X46">
        <v>342432</v>
      </c>
      <c r="Y46">
        <v>310962</v>
      </c>
      <c r="Z46">
        <v>312250</v>
      </c>
      <c r="AA46">
        <v>323748</v>
      </c>
      <c r="AB46">
        <v>314467.5</v>
      </c>
      <c r="AC46">
        <v>403617.5</v>
      </c>
      <c r="AD46">
        <v>409516</v>
      </c>
      <c r="AE46">
        <v>386667</v>
      </c>
      <c r="AF46">
        <v>438429</v>
      </c>
      <c r="AG46">
        <v>457565</v>
      </c>
      <c r="AH46">
        <v>479291</v>
      </c>
      <c r="AI46">
        <v>519225</v>
      </c>
      <c r="AJ46">
        <v>438705</v>
      </c>
    </row>
    <row r="47" spans="1:36" x14ac:dyDescent="0.25">
      <c r="A47" s="30" t="s">
        <v>222</v>
      </c>
      <c r="B47" s="30" t="s">
        <v>242</v>
      </c>
      <c r="C47" t="s">
        <v>3</v>
      </c>
      <c r="E47" t="s">
        <v>222</v>
      </c>
      <c r="F47" t="s">
        <v>242</v>
      </c>
      <c r="G47" t="s">
        <v>3</v>
      </c>
      <c r="H47">
        <v>56065</v>
      </c>
      <c r="I47">
        <v>47111</v>
      </c>
      <c r="J47">
        <v>54209</v>
      </c>
      <c r="K47">
        <v>48337</v>
      </c>
      <c r="L47">
        <v>45529</v>
      </c>
      <c r="M47">
        <v>60739</v>
      </c>
      <c r="N47">
        <v>63246</v>
      </c>
      <c r="O47">
        <v>52953</v>
      </c>
      <c r="P47">
        <v>66852</v>
      </c>
      <c r="Q47">
        <v>76577</v>
      </c>
      <c r="R47">
        <v>85850</v>
      </c>
      <c r="S47">
        <v>71455</v>
      </c>
      <c r="T47">
        <v>83000</v>
      </c>
      <c r="U47">
        <v>79497</v>
      </c>
      <c r="V47">
        <v>89450</v>
      </c>
      <c r="W47">
        <v>85464</v>
      </c>
      <c r="X47">
        <v>87193</v>
      </c>
      <c r="Y47">
        <v>109990</v>
      </c>
      <c r="Z47">
        <v>106701</v>
      </c>
      <c r="AA47">
        <v>109403</v>
      </c>
      <c r="AB47">
        <v>137418</v>
      </c>
      <c r="AC47">
        <v>137263</v>
      </c>
      <c r="AD47">
        <v>150795</v>
      </c>
      <c r="AE47">
        <v>126870</v>
      </c>
      <c r="AF47">
        <v>187065</v>
      </c>
      <c r="AG47">
        <v>167540</v>
      </c>
      <c r="AH47">
        <v>187460</v>
      </c>
      <c r="AI47">
        <v>179950</v>
      </c>
      <c r="AJ47">
        <v>181223</v>
      </c>
    </row>
    <row r="48" spans="1:36" x14ac:dyDescent="0.25">
      <c r="A48" s="30"/>
      <c r="B48" s="30"/>
      <c r="C48" t="s">
        <v>228</v>
      </c>
      <c r="G48" t="s">
        <v>228</v>
      </c>
      <c r="H48">
        <v>0</v>
      </c>
      <c r="I48">
        <v>0</v>
      </c>
      <c r="J48">
        <v>0</v>
      </c>
      <c r="K48">
        <v>0</v>
      </c>
      <c r="L48">
        <v>0</v>
      </c>
      <c r="M48">
        <v>0</v>
      </c>
      <c r="N48">
        <v>0</v>
      </c>
      <c r="O48">
        <v>0</v>
      </c>
      <c r="P48">
        <v>0</v>
      </c>
      <c r="Q48">
        <v>0</v>
      </c>
      <c r="R48">
        <v>0</v>
      </c>
      <c r="S48">
        <v>0</v>
      </c>
      <c r="T48">
        <v>3</v>
      </c>
      <c r="U48">
        <v>11</v>
      </c>
      <c r="V48">
        <v>13</v>
      </c>
      <c r="W48">
        <v>9</v>
      </c>
      <c r="X48">
        <v>61</v>
      </c>
      <c r="Y48">
        <v>18</v>
      </c>
      <c r="Z48">
        <v>20</v>
      </c>
      <c r="AA48">
        <v>56</v>
      </c>
      <c r="AB48">
        <v>85</v>
      </c>
      <c r="AC48">
        <v>187</v>
      </c>
      <c r="AD48">
        <v>117</v>
      </c>
      <c r="AE48">
        <v>103</v>
      </c>
      <c r="AF48">
        <v>89</v>
      </c>
      <c r="AG48">
        <v>336</v>
      </c>
      <c r="AH48">
        <v>601</v>
      </c>
      <c r="AI48">
        <v>224</v>
      </c>
      <c r="AJ48">
        <v>318</v>
      </c>
    </row>
    <row r="49" spans="1:36" x14ac:dyDescent="0.25">
      <c r="A49" s="30"/>
      <c r="B49" s="30"/>
      <c r="C49" t="s">
        <v>229</v>
      </c>
      <c r="G49" t="s">
        <v>229</v>
      </c>
      <c r="H49">
        <v>455</v>
      </c>
      <c r="I49">
        <v>213</v>
      </c>
      <c r="J49">
        <v>194</v>
      </c>
      <c r="K49">
        <v>169</v>
      </c>
      <c r="L49">
        <v>262</v>
      </c>
      <c r="M49">
        <v>335</v>
      </c>
      <c r="N49">
        <v>309</v>
      </c>
      <c r="O49">
        <v>367</v>
      </c>
      <c r="P49">
        <v>549</v>
      </c>
      <c r="Q49">
        <v>437</v>
      </c>
      <c r="R49">
        <v>534</v>
      </c>
      <c r="S49">
        <v>488</v>
      </c>
      <c r="T49">
        <v>1056</v>
      </c>
      <c r="U49">
        <v>1593</v>
      </c>
      <c r="V49">
        <v>1623</v>
      </c>
      <c r="W49">
        <v>1064</v>
      </c>
      <c r="X49">
        <v>1669</v>
      </c>
      <c r="Y49">
        <v>1319</v>
      </c>
      <c r="Z49">
        <v>1130</v>
      </c>
      <c r="AA49">
        <v>1139</v>
      </c>
      <c r="AB49">
        <v>1433</v>
      </c>
      <c r="AC49">
        <v>2091</v>
      </c>
      <c r="AD49">
        <v>1839</v>
      </c>
      <c r="AE49">
        <v>1273</v>
      </c>
      <c r="AF49">
        <v>2069</v>
      </c>
      <c r="AG49">
        <v>1838</v>
      </c>
      <c r="AH49">
        <v>1493</v>
      </c>
      <c r="AI49">
        <v>1116</v>
      </c>
      <c r="AJ49">
        <v>1099</v>
      </c>
    </row>
    <row r="50" spans="1:36" x14ac:dyDescent="0.25">
      <c r="A50" s="30"/>
      <c r="B50" s="30"/>
      <c r="C50" t="s">
        <v>4</v>
      </c>
      <c r="G50" t="s">
        <v>4</v>
      </c>
      <c r="H50">
        <v>104547</v>
      </c>
      <c r="I50">
        <v>91755</v>
      </c>
      <c r="J50">
        <v>105333</v>
      </c>
      <c r="K50">
        <v>89375</v>
      </c>
      <c r="L50">
        <v>81068</v>
      </c>
      <c r="M50">
        <v>108298</v>
      </c>
      <c r="N50">
        <v>122947</v>
      </c>
      <c r="O50">
        <v>109770</v>
      </c>
      <c r="P50">
        <v>122722</v>
      </c>
      <c r="Q50">
        <v>152102</v>
      </c>
      <c r="R50">
        <v>148748</v>
      </c>
      <c r="S50">
        <v>141307</v>
      </c>
      <c r="T50">
        <v>155569</v>
      </c>
      <c r="U50">
        <v>165206</v>
      </c>
      <c r="V50">
        <v>167815</v>
      </c>
      <c r="W50">
        <v>168167</v>
      </c>
      <c r="X50">
        <v>189739</v>
      </c>
      <c r="Y50">
        <v>150464</v>
      </c>
      <c r="Z50">
        <v>219530</v>
      </c>
      <c r="AA50">
        <v>177531</v>
      </c>
      <c r="AB50">
        <v>228093</v>
      </c>
      <c r="AC50">
        <v>233036</v>
      </c>
      <c r="AD50">
        <v>267312</v>
      </c>
      <c r="AE50">
        <v>227430</v>
      </c>
      <c r="AF50">
        <v>282883</v>
      </c>
      <c r="AG50">
        <v>298597</v>
      </c>
      <c r="AH50">
        <v>320135</v>
      </c>
      <c r="AI50">
        <v>323479</v>
      </c>
      <c r="AJ50">
        <v>339735</v>
      </c>
    </row>
    <row r="51" spans="1:36" x14ac:dyDescent="0.25">
      <c r="A51" s="30"/>
      <c r="B51" s="30"/>
      <c r="C51" t="s">
        <v>237</v>
      </c>
      <c r="G51" t="s">
        <v>237</v>
      </c>
      <c r="H51">
        <v>484</v>
      </c>
      <c r="I51">
        <v>414</v>
      </c>
      <c r="J51">
        <v>451</v>
      </c>
      <c r="K51">
        <v>387</v>
      </c>
      <c r="L51">
        <v>823</v>
      </c>
      <c r="M51">
        <v>1039</v>
      </c>
      <c r="N51">
        <v>1360</v>
      </c>
      <c r="O51">
        <v>1037</v>
      </c>
      <c r="P51">
        <v>2325</v>
      </c>
      <c r="Q51">
        <v>2519</v>
      </c>
      <c r="R51">
        <v>2359</v>
      </c>
      <c r="S51">
        <v>1816</v>
      </c>
      <c r="T51">
        <v>3929</v>
      </c>
      <c r="U51">
        <v>4353</v>
      </c>
      <c r="V51">
        <v>3916</v>
      </c>
      <c r="W51">
        <v>3907</v>
      </c>
      <c r="X51">
        <v>5726</v>
      </c>
      <c r="Y51">
        <v>5009</v>
      </c>
      <c r="Z51">
        <v>5411</v>
      </c>
      <c r="AA51">
        <v>5339</v>
      </c>
      <c r="AB51">
        <v>7283</v>
      </c>
      <c r="AC51">
        <v>8313</v>
      </c>
      <c r="AD51">
        <v>8371</v>
      </c>
      <c r="AE51">
        <v>7379</v>
      </c>
      <c r="AF51">
        <v>10141</v>
      </c>
      <c r="AG51">
        <v>10283</v>
      </c>
      <c r="AH51">
        <v>10398</v>
      </c>
      <c r="AI51">
        <v>8804</v>
      </c>
      <c r="AJ51">
        <v>6116</v>
      </c>
    </row>
    <row r="52" spans="1:36" x14ac:dyDescent="0.25">
      <c r="A52" s="30"/>
      <c r="B52" s="30" t="s">
        <v>243</v>
      </c>
      <c r="C52" s="30"/>
      <c r="F52" t="s">
        <v>243</v>
      </c>
      <c r="H52">
        <v>161551</v>
      </c>
      <c r="I52">
        <v>139493</v>
      </c>
      <c r="J52">
        <v>160187</v>
      </c>
      <c r="K52">
        <v>138268</v>
      </c>
      <c r="L52">
        <v>127682</v>
      </c>
      <c r="M52">
        <v>170411</v>
      </c>
      <c r="N52">
        <v>187862</v>
      </c>
      <c r="O52">
        <v>164127</v>
      </c>
      <c r="P52">
        <v>192448</v>
      </c>
      <c r="Q52">
        <v>231635</v>
      </c>
      <c r="R52">
        <v>237491</v>
      </c>
      <c r="S52">
        <v>215066</v>
      </c>
      <c r="T52">
        <v>243557</v>
      </c>
      <c r="U52">
        <v>250660</v>
      </c>
      <c r="V52">
        <v>262817</v>
      </c>
      <c r="W52">
        <v>258611</v>
      </c>
      <c r="X52">
        <v>284388</v>
      </c>
      <c r="Y52">
        <v>266800</v>
      </c>
      <c r="Z52">
        <v>332792</v>
      </c>
      <c r="AA52">
        <v>293468</v>
      </c>
      <c r="AB52">
        <v>374312</v>
      </c>
      <c r="AC52">
        <v>380890</v>
      </c>
      <c r="AD52">
        <v>428434</v>
      </c>
      <c r="AE52">
        <v>363055</v>
      </c>
      <c r="AF52">
        <v>482247</v>
      </c>
      <c r="AG52">
        <v>478594</v>
      </c>
      <c r="AH52">
        <v>520087</v>
      </c>
      <c r="AI52">
        <v>513573</v>
      </c>
      <c r="AJ52">
        <v>528491</v>
      </c>
    </row>
    <row r="53" spans="1:36" x14ac:dyDescent="0.25">
      <c r="A53" s="30"/>
      <c r="B53" s="30" t="s">
        <v>240</v>
      </c>
      <c r="C53" t="s">
        <v>226</v>
      </c>
      <c r="F53" t="s">
        <v>240</v>
      </c>
      <c r="G53" t="s">
        <v>226</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row>
    <row r="54" spans="1:36" x14ac:dyDescent="0.25">
      <c r="A54" s="30"/>
      <c r="B54" s="30"/>
      <c r="C54" t="s">
        <v>227</v>
      </c>
      <c r="G54" t="s">
        <v>227</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row>
    <row r="55" spans="1:36" x14ac:dyDescent="0.25">
      <c r="A55" s="30"/>
      <c r="B55" s="30"/>
      <c r="C55" t="s">
        <v>7</v>
      </c>
      <c r="G55" t="s">
        <v>7</v>
      </c>
      <c r="H55">
        <v>148</v>
      </c>
      <c r="I55">
        <v>1256</v>
      </c>
      <c r="J55">
        <v>1287</v>
      </c>
      <c r="K55">
        <v>483</v>
      </c>
      <c r="L55">
        <v>514</v>
      </c>
      <c r="M55">
        <v>906</v>
      </c>
      <c r="N55">
        <v>2144</v>
      </c>
      <c r="O55">
        <v>1286</v>
      </c>
      <c r="P55">
        <v>659</v>
      </c>
      <c r="Q55">
        <v>1134</v>
      </c>
      <c r="R55">
        <v>1096</v>
      </c>
      <c r="S55">
        <v>593</v>
      </c>
      <c r="T55">
        <v>1869</v>
      </c>
      <c r="U55">
        <v>1406</v>
      </c>
      <c r="V55">
        <v>1513</v>
      </c>
      <c r="W55">
        <v>942</v>
      </c>
      <c r="X55">
        <v>159</v>
      </c>
      <c r="Y55">
        <v>3928</v>
      </c>
      <c r="Z55">
        <v>1445</v>
      </c>
      <c r="AA55">
        <v>3193</v>
      </c>
      <c r="AB55">
        <v>1374</v>
      </c>
      <c r="AC55">
        <v>382</v>
      </c>
      <c r="AD55">
        <v>2216</v>
      </c>
      <c r="AE55">
        <v>256</v>
      </c>
      <c r="AF55">
        <v>3822</v>
      </c>
      <c r="AG55">
        <v>10935</v>
      </c>
      <c r="AH55">
        <v>5915</v>
      </c>
      <c r="AI55">
        <v>4481</v>
      </c>
      <c r="AJ55">
        <v>825</v>
      </c>
    </row>
    <row r="56" spans="1:36" x14ac:dyDescent="0.25">
      <c r="A56" s="30"/>
      <c r="B56" s="30"/>
      <c r="C56" t="s">
        <v>225</v>
      </c>
      <c r="G56" t="s">
        <v>225</v>
      </c>
      <c r="H56">
        <v>0</v>
      </c>
      <c r="I56">
        <v>0</v>
      </c>
      <c r="J56">
        <v>0</v>
      </c>
      <c r="K56">
        <v>0</v>
      </c>
      <c r="L56">
        <v>0</v>
      </c>
      <c r="M56">
        <v>0</v>
      </c>
      <c r="N56">
        <v>0</v>
      </c>
      <c r="O56">
        <v>0</v>
      </c>
      <c r="P56">
        <v>18</v>
      </c>
      <c r="Q56">
        <v>0</v>
      </c>
      <c r="R56">
        <v>0</v>
      </c>
      <c r="S56">
        <v>0</v>
      </c>
      <c r="T56">
        <v>0</v>
      </c>
      <c r="U56">
        <v>0</v>
      </c>
      <c r="V56">
        <v>0</v>
      </c>
      <c r="W56">
        <v>0</v>
      </c>
      <c r="X56">
        <v>117</v>
      </c>
      <c r="Y56">
        <v>208</v>
      </c>
      <c r="Z56">
        <v>302</v>
      </c>
      <c r="AA56">
        <v>141</v>
      </c>
      <c r="AB56">
        <v>15454</v>
      </c>
      <c r="AC56">
        <v>29012</v>
      </c>
      <c r="AD56">
        <v>176</v>
      </c>
      <c r="AE56">
        <v>13383</v>
      </c>
      <c r="AF56">
        <v>4527</v>
      </c>
      <c r="AG56">
        <v>7887</v>
      </c>
      <c r="AH56">
        <v>28791</v>
      </c>
      <c r="AI56">
        <v>150</v>
      </c>
      <c r="AJ56">
        <v>164</v>
      </c>
    </row>
    <row r="57" spans="1:36" x14ac:dyDescent="0.25">
      <c r="A57" s="30"/>
      <c r="B57" s="30"/>
      <c r="C57" t="s">
        <v>230</v>
      </c>
      <c r="G57" t="s">
        <v>230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row>
    <row r="58" spans="1:36" x14ac:dyDescent="0.25">
      <c r="A58" s="30"/>
      <c r="B58" s="30"/>
      <c r="C58" t="s">
        <v>231</v>
      </c>
      <c r="G58" t="s">
        <v>231</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row>
    <row r="59" spans="1:36" x14ac:dyDescent="0.25">
      <c r="A59" s="30"/>
      <c r="B59" s="30"/>
      <c r="C59" t="s">
        <v>232</v>
      </c>
      <c r="G59" t="s">
        <v>232</v>
      </c>
      <c r="H59">
        <v>0</v>
      </c>
      <c r="I59">
        <v>1516</v>
      </c>
      <c r="J59">
        <v>2383</v>
      </c>
      <c r="K59">
        <v>0</v>
      </c>
      <c r="L59">
        <v>0</v>
      </c>
      <c r="M59">
        <v>8226</v>
      </c>
      <c r="N59">
        <v>0</v>
      </c>
      <c r="O59">
        <v>0</v>
      </c>
      <c r="P59">
        <v>292</v>
      </c>
      <c r="Q59">
        <v>0</v>
      </c>
      <c r="R59">
        <v>0</v>
      </c>
      <c r="S59">
        <v>3765</v>
      </c>
      <c r="T59">
        <v>0</v>
      </c>
      <c r="U59">
        <v>388</v>
      </c>
      <c r="V59">
        <v>354</v>
      </c>
      <c r="W59">
        <v>4915</v>
      </c>
      <c r="X59">
        <v>106</v>
      </c>
      <c r="Y59">
        <v>3</v>
      </c>
      <c r="Z59">
        <v>6032</v>
      </c>
      <c r="AA59">
        <v>1252</v>
      </c>
      <c r="AB59">
        <v>1528</v>
      </c>
      <c r="AC59">
        <v>22</v>
      </c>
      <c r="AD59">
        <v>259</v>
      </c>
      <c r="AE59">
        <v>1640</v>
      </c>
      <c r="AF59">
        <v>5681</v>
      </c>
      <c r="AG59">
        <v>232</v>
      </c>
      <c r="AH59">
        <v>3642</v>
      </c>
      <c r="AI59">
        <v>25</v>
      </c>
      <c r="AJ59">
        <v>0</v>
      </c>
    </row>
    <row r="60" spans="1:36" x14ac:dyDescent="0.25">
      <c r="A60" s="30"/>
      <c r="B60" s="30"/>
      <c r="C60" t="s">
        <v>233</v>
      </c>
      <c r="G60" t="s">
        <v>233</v>
      </c>
      <c r="H60">
        <v>0</v>
      </c>
      <c r="I60">
        <v>0</v>
      </c>
      <c r="J60">
        <v>0</v>
      </c>
      <c r="K60">
        <v>0</v>
      </c>
      <c r="L60">
        <v>0</v>
      </c>
      <c r="M60">
        <v>0</v>
      </c>
      <c r="N60">
        <v>0</v>
      </c>
      <c r="O60">
        <v>0</v>
      </c>
      <c r="P60">
        <v>0</v>
      </c>
      <c r="Q60">
        <v>0</v>
      </c>
      <c r="R60">
        <v>0</v>
      </c>
      <c r="S60">
        <v>0</v>
      </c>
      <c r="T60">
        <v>0</v>
      </c>
      <c r="U60">
        <v>0</v>
      </c>
      <c r="V60">
        <v>0</v>
      </c>
      <c r="W60">
        <v>0</v>
      </c>
      <c r="X60">
        <v>4</v>
      </c>
      <c r="Y60">
        <v>0</v>
      </c>
      <c r="Z60">
        <v>0</v>
      </c>
      <c r="AA60">
        <v>0</v>
      </c>
      <c r="AB60">
        <v>0</v>
      </c>
      <c r="AC60">
        <v>0</v>
      </c>
      <c r="AD60">
        <v>0</v>
      </c>
      <c r="AE60">
        <v>0</v>
      </c>
      <c r="AF60">
        <v>0</v>
      </c>
      <c r="AG60">
        <v>0</v>
      </c>
      <c r="AH60">
        <v>0</v>
      </c>
      <c r="AI60">
        <v>0</v>
      </c>
      <c r="AJ60">
        <v>28</v>
      </c>
    </row>
    <row r="61" spans="1:36" x14ac:dyDescent="0.25">
      <c r="A61" s="30"/>
      <c r="B61" s="30"/>
      <c r="C61" t="s">
        <v>234</v>
      </c>
      <c r="G61" t="s">
        <v>234</v>
      </c>
      <c r="H61">
        <v>0</v>
      </c>
      <c r="I61">
        <v>1817</v>
      </c>
      <c r="J61">
        <v>1447</v>
      </c>
      <c r="K61">
        <v>2771</v>
      </c>
      <c r="L61">
        <v>7370</v>
      </c>
      <c r="M61">
        <v>2800</v>
      </c>
      <c r="N61">
        <v>3123</v>
      </c>
      <c r="O61">
        <v>3653</v>
      </c>
      <c r="P61">
        <v>3494</v>
      </c>
      <c r="Q61">
        <v>2984</v>
      </c>
      <c r="R61">
        <v>5393</v>
      </c>
      <c r="S61">
        <v>3490</v>
      </c>
      <c r="T61">
        <v>4010</v>
      </c>
      <c r="U61">
        <v>8574</v>
      </c>
      <c r="V61">
        <v>11085</v>
      </c>
      <c r="W61">
        <v>1691</v>
      </c>
      <c r="X61">
        <v>1334</v>
      </c>
      <c r="Y61">
        <v>0</v>
      </c>
      <c r="Z61">
        <v>4652</v>
      </c>
      <c r="AA61">
        <v>3455</v>
      </c>
      <c r="AB61">
        <v>149</v>
      </c>
      <c r="AC61">
        <v>89</v>
      </c>
      <c r="AD61">
        <v>2854</v>
      </c>
      <c r="AE61">
        <v>860</v>
      </c>
      <c r="AF61">
        <v>651</v>
      </c>
      <c r="AG61">
        <v>127</v>
      </c>
      <c r="AH61">
        <v>2953</v>
      </c>
      <c r="AI61">
        <v>2868</v>
      </c>
      <c r="AJ61">
        <v>0</v>
      </c>
    </row>
    <row r="62" spans="1:36" x14ac:dyDescent="0.25">
      <c r="A62" s="30"/>
      <c r="B62" s="30"/>
      <c r="C62" t="s">
        <v>235</v>
      </c>
      <c r="G62" t="s">
        <v>235</v>
      </c>
      <c r="H62">
        <v>0</v>
      </c>
      <c r="I62">
        <v>480</v>
      </c>
      <c r="J62">
        <v>2618</v>
      </c>
      <c r="K62">
        <v>905</v>
      </c>
      <c r="L62">
        <v>3234</v>
      </c>
      <c r="M62">
        <v>2470</v>
      </c>
      <c r="N62">
        <v>12273</v>
      </c>
      <c r="O62">
        <v>17390</v>
      </c>
      <c r="P62">
        <v>203</v>
      </c>
      <c r="Q62">
        <v>0</v>
      </c>
      <c r="R62">
        <v>10</v>
      </c>
      <c r="S62">
        <v>206</v>
      </c>
      <c r="T62">
        <v>282</v>
      </c>
      <c r="U62">
        <v>9</v>
      </c>
      <c r="V62">
        <v>4</v>
      </c>
      <c r="W62">
        <v>0</v>
      </c>
      <c r="X62">
        <v>0</v>
      </c>
      <c r="Y62">
        <v>0</v>
      </c>
      <c r="Z62">
        <v>788</v>
      </c>
      <c r="AA62">
        <v>0</v>
      </c>
      <c r="AB62">
        <v>0</v>
      </c>
      <c r="AC62">
        <v>0</v>
      </c>
      <c r="AD62">
        <v>0</v>
      </c>
      <c r="AE62">
        <v>0</v>
      </c>
      <c r="AF62">
        <v>0</v>
      </c>
      <c r="AG62">
        <v>0</v>
      </c>
      <c r="AH62">
        <v>0</v>
      </c>
      <c r="AI62">
        <v>0</v>
      </c>
      <c r="AJ62">
        <v>0</v>
      </c>
    </row>
    <row r="63" spans="1:36" x14ac:dyDescent="0.25">
      <c r="A63" s="30"/>
      <c r="B63" s="30"/>
      <c r="C63" t="s">
        <v>236</v>
      </c>
      <c r="G63" t="s">
        <v>236</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row>
    <row r="64" spans="1:36" x14ac:dyDescent="0.25">
      <c r="A64" s="30"/>
      <c r="B64" s="30"/>
      <c r="C64" t="s">
        <v>245</v>
      </c>
      <c r="G64" t="s">
        <v>245</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3</v>
      </c>
    </row>
    <row r="65" spans="1:47" x14ac:dyDescent="0.25">
      <c r="A65" s="30"/>
      <c r="B65" s="30"/>
      <c r="C65" t="s">
        <v>238</v>
      </c>
      <c r="G65" t="s">
        <v>238</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row>
    <row r="66" spans="1:47" x14ac:dyDescent="0.25">
      <c r="A66" s="30"/>
      <c r="B66" s="30"/>
      <c r="C66" t="s">
        <v>597</v>
      </c>
      <c r="G66" t="s">
        <v>597</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row>
    <row r="67" spans="1:47" x14ac:dyDescent="0.25">
      <c r="A67" s="143"/>
      <c r="B67" s="30" t="s">
        <v>241</v>
      </c>
      <c r="C67" s="30"/>
      <c r="F67" t="s">
        <v>241</v>
      </c>
      <c r="H67">
        <v>148</v>
      </c>
      <c r="I67">
        <v>5069</v>
      </c>
      <c r="J67">
        <v>7735</v>
      </c>
      <c r="K67">
        <v>4159</v>
      </c>
      <c r="L67">
        <v>11118</v>
      </c>
      <c r="M67">
        <v>14402</v>
      </c>
      <c r="N67">
        <v>17540</v>
      </c>
      <c r="O67">
        <v>22329</v>
      </c>
      <c r="P67">
        <v>4666</v>
      </c>
      <c r="Q67">
        <v>4118</v>
      </c>
      <c r="R67">
        <v>6499</v>
      </c>
      <c r="S67">
        <v>8054</v>
      </c>
      <c r="T67">
        <v>6161</v>
      </c>
      <c r="U67">
        <v>10377</v>
      </c>
      <c r="V67">
        <v>12956</v>
      </c>
      <c r="W67">
        <v>7548</v>
      </c>
      <c r="X67">
        <v>1720</v>
      </c>
      <c r="Y67">
        <v>4139</v>
      </c>
      <c r="Z67">
        <v>13219</v>
      </c>
      <c r="AA67">
        <v>8041</v>
      </c>
      <c r="AB67">
        <v>18505</v>
      </c>
      <c r="AC67">
        <v>29505</v>
      </c>
      <c r="AD67">
        <v>5505</v>
      </c>
      <c r="AE67">
        <v>16139</v>
      </c>
      <c r="AF67">
        <v>14681</v>
      </c>
      <c r="AG67">
        <v>19181</v>
      </c>
      <c r="AH67">
        <v>41301</v>
      </c>
      <c r="AI67">
        <v>7524</v>
      </c>
      <c r="AJ67">
        <v>1020</v>
      </c>
    </row>
    <row r="72" spans="1:47" x14ac:dyDescent="0.25">
      <c r="AG72" s="7">
        <f>SUM(AF80:AG80)/SUM(AF79:AG80)</f>
        <v>0.10462411590215569</v>
      </c>
    </row>
    <row r="73" spans="1:47" x14ac:dyDescent="0.25">
      <c r="AG73" s="7">
        <f>SUM(AF86:AG86)/SUM(AF85:AG86,AF88:AG88)</f>
        <v>9.5457386096585869E-2</v>
      </c>
    </row>
    <row r="74" spans="1:47" x14ac:dyDescent="0.25">
      <c r="AG74" s="7">
        <f>SUM(AF88:AG88)/SUM(AF85:AG86,AF88:AG88)</f>
        <v>4.3966259502372339E-2</v>
      </c>
    </row>
    <row r="75" spans="1:47" x14ac:dyDescent="0.25">
      <c r="E75" s="97"/>
      <c r="F75" s="97"/>
      <c r="G75" s="97"/>
      <c r="H75" s="98"/>
      <c r="I75" s="98"/>
      <c r="J75" s="98"/>
      <c r="K75" s="98"/>
      <c r="L75" s="98"/>
      <c r="M75" s="98"/>
      <c r="N75" s="98"/>
      <c r="O75" s="98"/>
      <c r="P75" s="98"/>
      <c r="Q75" s="98"/>
      <c r="R75" s="98"/>
      <c r="S75" s="98"/>
      <c r="T75" s="98"/>
      <c r="U75" s="98"/>
      <c r="V75" s="98"/>
      <c r="W75" s="98"/>
      <c r="X75" s="98"/>
      <c r="Y75" s="98"/>
      <c r="Z75" s="98"/>
      <c r="AA75" s="98"/>
    </row>
    <row r="76" spans="1:47" x14ac:dyDescent="0.25">
      <c r="H76" s="9"/>
      <c r="I76" s="9"/>
      <c r="J76" s="9"/>
      <c r="K76" s="9"/>
      <c r="L76" s="9"/>
      <c r="M76" s="9"/>
      <c r="N76" s="9"/>
      <c r="O76" s="9"/>
      <c r="P76" s="9"/>
      <c r="Q76" s="9"/>
      <c r="R76" s="9"/>
      <c r="S76" s="9"/>
      <c r="T76" s="9"/>
      <c r="U76" s="9"/>
      <c r="V76" s="9"/>
    </row>
    <row r="77" spans="1:47" ht="21" x14ac:dyDescent="0.35">
      <c r="E77" s="71" t="s">
        <v>622</v>
      </c>
      <c r="F77" s="30"/>
      <c r="G77" s="30"/>
      <c r="H77" s="9" t="s">
        <v>685</v>
      </c>
      <c r="I77" s="9" t="s">
        <v>686</v>
      </c>
      <c r="J77" s="9" t="s">
        <v>687</v>
      </c>
      <c r="K77" s="9" t="s">
        <v>688</v>
      </c>
      <c r="L77" s="9" t="s">
        <v>689</v>
      </c>
      <c r="M77" s="9" t="s">
        <v>690</v>
      </c>
      <c r="N77" s="9" t="s">
        <v>691</v>
      </c>
      <c r="O77" s="9" t="s">
        <v>692</v>
      </c>
      <c r="P77" s="9" t="s">
        <v>693</v>
      </c>
      <c r="Q77" s="9" t="s">
        <v>694</v>
      </c>
      <c r="R77" s="9" t="s">
        <v>695</v>
      </c>
      <c r="S77" s="9" t="s">
        <v>696</v>
      </c>
      <c r="T77" s="9" t="s">
        <v>697</v>
      </c>
      <c r="U77" s="9" t="s">
        <v>698</v>
      </c>
      <c r="V77" s="9" t="s">
        <v>699</v>
      </c>
      <c r="W77" s="9" t="s">
        <v>700</v>
      </c>
      <c r="X77" s="9" t="s">
        <v>701</v>
      </c>
      <c r="Y77" s="9" t="s">
        <v>702</v>
      </c>
      <c r="Z77" s="9" t="s">
        <v>703</v>
      </c>
      <c r="AA77" s="9" t="s">
        <v>704</v>
      </c>
      <c r="AB77" s="9" t="s">
        <v>705</v>
      </c>
      <c r="AC77" s="9" t="s">
        <v>706</v>
      </c>
      <c r="AD77" s="9" t="s">
        <v>707</v>
      </c>
      <c r="AE77" s="9" t="s">
        <v>708</v>
      </c>
      <c r="AF77" s="9" t="s">
        <v>771</v>
      </c>
      <c r="AG77" s="9" t="s">
        <v>772</v>
      </c>
      <c r="AH77" s="9" t="s">
        <v>773</v>
      </c>
      <c r="AI77" s="9" t="s">
        <v>774</v>
      </c>
      <c r="AJ77" s="9" t="s">
        <v>775</v>
      </c>
      <c r="AK77" s="9" t="s">
        <v>776</v>
      </c>
      <c r="AL77" s="9" t="s">
        <v>777</v>
      </c>
      <c r="AM77" s="9" t="s">
        <v>778</v>
      </c>
      <c r="AN77" s="9" t="s">
        <v>789</v>
      </c>
      <c r="AO77" s="9" t="s">
        <v>790</v>
      </c>
      <c r="AP77" s="9" t="s">
        <v>791</v>
      </c>
      <c r="AQ77" s="9" t="s">
        <v>792</v>
      </c>
      <c r="AR77" s="9" t="s">
        <v>914</v>
      </c>
      <c r="AS77" s="9" t="s">
        <v>915</v>
      </c>
      <c r="AT77" s="9" t="s">
        <v>916</v>
      </c>
      <c r="AU77" s="9" t="s">
        <v>917</v>
      </c>
    </row>
    <row r="78" spans="1:47" x14ac:dyDescent="0.25">
      <c r="F78" s="30" t="s">
        <v>564</v>
      </c>
      <c r="G78" s="30"/>
      <c r="H78" s="52">
        <f t="shared" ref="H78:AU78" si="0">H3</f>
        <v>42370</v>
      </c>
      <c r="I78" s="52">
        <f t="shared" si="0"/>
        <v>42461</v>
      </c>
      <c r="J78" s="52">
        <f t="shared" si="0"/>
        <v>42552</v>
      </c>
      <c r="K78" s="52">
        <f t="shared" si="0"/>
        <v>42644</v>
      </c>
      <c r="L78" s="52">
        <f t="shared" si="0"/>
        <v>42736</v>
      </c>
      <c r="M78" s="52">
        <f t="shared" si="0"/>
        <v>42826</v>
      </c>
      <c r="N78" s="52">
        <f t="shared" si="0"/>
        <v>42917</v>
      </c>
      <c r="O78" s="52">
        <f t="shared" si="0"/>
        <v>43009</v>
      </c>
      <c r="P78" s="52">
        <f t="shared" si="0"/>
        <v>43101</v>
      </c>
      <c r="Q78" s="52">
        <f t="shared" si="0"/>
        <v>43191</v>
      </c>
      <c r="R78" s="52">
        <f t="shared" si="0"/>
        <v>43282</v>
      </c>
      <c r="S78" s="52">
        <f t="shared" si="0"/>
        <v>43374</v>
      </c>
      <c r="T78" s="52">
        <f t="shared" si="0"/>
        <v>43466</v>
      </c>
      <c r="U78" s="52">
        <f t="shared" si="0"/>
        <v>43556</v>
      </c>
      <c r="V78" s="52">
        <f t="shared" si="0"/>
        <v>43647</v>
      </c>
      <c r="W78" s="52">
        <f t="shared" si="0"/>
        <v>43739</v>
      </c>
      <c r="X78" s="52">
        <f t="shared" si="0"/>
        <v>43831</v>
      </c>
      <c r="Y78" s="52">
        <f t="shared" si="0"/>
        <v>43922</v>
      </c>
      <c r="Z78" s="52">
        <f t="shared" si="0"/>
        <v>44013</v>
      </c>
      <c r="AA78" s="52">
        <f t="shared" si="0"/>
        <v>44105</v>
      </c>
      <c r="AB78" s="52">
        <f t="shared" si="0"/>
        <v>44197</v>
      </c>
      <c r="AC78" s="52">
        <f t="shared" si="0"/>
        <v>44287</v>
      </c>
      <c r="AD78" s="52">
        <f t="shared" si="0"/>
        <v>44378</v>
      </c>
      <c r="AE78" s="52">
        <f t="shared" si="0"/>
        <v>44470</v>
      </c>
      <c r="AF78" s="52">
        <f t="shared" si="0"/>
        <v>44562</v>
      </c>
      <c r="AG78" s="52">
        <f t="shared" si="0"/>
        <v>44652</v>
      </c>
      <c r="AH78" s="52">
        <f>AH3</f>
        <v>44743</v>
      </c>
      <c r="AI78" s="52">
        <f t="shared" si="0"/>
        <v>44835</v>
      </c>
      <c r="AJ78" s="52">
        <f t="shared" ref="AJ78" si="1">AJ3</f>
        <v>44927</v>
      </c>
      <c r="AK78" s="52">
        <f t="shared" si="0"/>
        <v>45017</v>
      </c>
      <c r="AL78" s="52">
        <f t="shared" si="0"/>
        <v>45108</v>
      </c>
      <c r="AM78" s="52">
        <f t="shared" si="0"/>
        <v>45200</v>
      </c>
      <c r="AN78" s="52">
        <f t="shared" si="0"/>
        <v>45292</v>
      </c>
      <c r="AO78" s="52">
        <f t="shared" si="0"/>
        <v>45383</v>
      </c>
      <c r="AP78" s="52">
        <f t="shared" si="0"/>
        <v>45474</v>
      </c>
      <c r="AQ78" s="52">
        <f t="shared" si="0"/>
        <v>45566</v>
      </c>
      <c r="AR78" s="52">
        <f t="shared" si="0"/>
        <v>45658</v>
      </c>
      <c r="AS78" s="52">
        <f t="shared" si="0"/>
        <v>45748</v>
      </c>
      <c r="AT78" s="52">
        <f t="shared" si="0"/>
        <v>45839</v>
      </c>
      <c r="AU78" s="52">
        <f t="shared" si="0"/>
        <v>45931</v>
      </c>
    </row>
    <row r="79" spans="1:47" x14ac:dyDescent="0.25">
      <c r="G79" t="s">
        <v>511</v>
      </c>
      <c r="H79" s="9">
        <f t="shared" ref="H79:AE79" si="2">SUM(H7,0.9*H8)</f>
        <v>381383659.69999999</v>
      </c>
      <c r="I79" s="9">
        <f t="shared" si="2"/>
        <v>328075962.39999998</v>
      </c>
      <c r="J79" s="9">
        <f t="shared" si="2"/>
        <v>379266357.10000002</v>
      </c>
      <c r="K79" s="9">
        <f t="shared" si="2"/>
        <v>336253578.89999998</v>
      </c>
      <c r="L79" s="9">
        <f t="shared" si="2"/>
        <v>277814931.10000002</v>
      </c>
      <c r="M79" s="9">
        <f t="shared" si="2"/>
        <v>368121419.5</v>
      </c>
      <c r="N79" s="9">
        <f t="shared" si="2"/>
        <v>423128254.60000002</v>
      </c>
      <c r="O79" s="9">
        <f t="shared" si="2"/>
        <v>375289359.30000001</v>
      </c>
      <c r="P79" s="9">
        <f t="shared" si="2"/>
        <v>338548507.10000002</v>
      </c>
      <c r="Q79" s="9">
        <f t="shared" si="2"/>
        <v>415029028.10000002</v>
      </c>
      <c r="R79" s="9">
        <f t="shared" si="2"/>
        <v>407048080.69999999</v>
      </c>
      <c r="S79" s="9">
        <f t="shared" si="2"/>
        <v>378789890.89999998</v>
      </c>
      <c r="T79" s="9">
        <f t="shared" si="2"/>
        <v>372492659.80000001</v>
      </c>
      <c r="U79" s="9">
        <f t="shared" si="2"/>
        <v>393899061.39999998</v>
      </c>
      <c r="V79" s="9">
        <f t="shared" si="2"/>
        <v>396686453.10000002</v>
      </c>
      <c r="W79" s="9">
        <f t="shared" si="2"/>
        <v>402271955.80000001</v>
      </c>
      <c r="X79" s="9">
        <f t="shared" si="2"/>
        <v>326583931.39999998</v>
      </c>
      <c r="Y79" s="9">
        <f t="shared" si="2"/>
        <v>252550278</v>
      </c>
      <c r="Z79" s="9">
        <f t="shared" si="2"/>
        <v>379807446.69999999</v>
      </c>
      <c r="AA79" s="9">
        <f t="shared" si="2"/>
        <v>306539011.60000002</v>
      </c>
      <c r="AB79" s="9">
        <f t="shared" si="2"/>
        <v>328222598.89999998</v>
      </c>
      <c r="AC79" s="9">
        <f t="shared" si="2"/>
        <v>321856838.10000002</v>
      </c>
      <c r="AD79" s="9">
        <f t="shared" si="2"/>
        <v>380584420.89999998</v>
      </c>
      <c r="AE79" s="9">
        <f t="shared" si="2"/>
        <v>320752057.80000001</v>
      </c>
      <c r="AF79" s="9">
        <f>SUM(AF7,0.9*AF8)</f>
        <v>314471980.5</v>
      </c>
      <c r="AG79" s="9">
        <f>SUM(AG7,0.9*AG8)</f>
        <v>329448129.60000002</v>
      </c>
      <c r="AH79" s="9">
        <f>SUM(AH7,0.9*AH8)</f>
        <v>354842386</v>
      </c>
      <c r="AI79" s="9">
        <f>SUM(AI7,0.9*AI8)</f>
        <v>360155727.80000001</v>
      </c>
      <c r="AJ79" s="9">
        <f>SUM(AJ7,0.9*AJ8)</f>
        <v>308460646.60000002</v>
      </c>
      <c r="AK79" s="9">
        <f t="shared" ref="AK79:AQ79" si="3">AK82-AK80</f>
        <v>322173067.25217527</v>
      </c>
      <c r="AL79" s="9">
        <f t="shared" si="3"/>
        <v>354033436.20512414</v>
      </c>
      <c r="AM79" s="9">
        <f t="shared" si="3"/>
        <v>356598031.22697318</v>
      </c>
      <c r="AN79" s="9">
        <f t="shared" si="3"/>
        <v>313286659.7956031</v>
      </c>
      <c r="AO79" s="9">
        <f t="shared" si="3"/>
        <v>322850428.35572135</v>
      </c>
      <c r="AP79" s="9">
        <f t="shared" si="3"/>
        <v>353710803.75759125</v>
      </c>
      <c r="AQ79" s="9">
        <f t="shared" si="3"/>
        <v>355347471.01918048</v>
      </c>
      <c r="AR79" s="9">
        <f>AR82-AR80</f>
        <v>311631715.84034157</v>
      </c>
      <c r="AS79" s="9">
        <f>AS82-AS80</f>
        <v>320869878.34587586</v>
      </c>
      <c r="AT79" s="9">
        <f>AT82-AT80</f>
        <v>351549189.30148512</v>
      </c>
      <c r="AU79" s="9">
        <f>AU82-AU80</f>
        <v>353190151.28289783</v>
      </c>
    </row>
    <row r="80" spans="1:47" x14ac:dyDescent="0.25">
      <c r="G80" t="s">
        <v>5</v>
      </c>
      <c r="H80" s="9">
        <f t="shared" ref="H80:AE80" si="4">SUM(0.1*H8,H16:H19)</f>
        <v>50904982.299999997</v>
      </c>
      <c r="I80" s="9">
        <f t="shared" si="4"/>
        <v>41169772.600000001</v>
      </c>
      <c r="J80" s="9">
        <f t="shared" si="4"/>
        <v>46844753.899999999</v>
      </c>
      <c r="K80" s="9">
        <f t="shared" si="4"/>
        <v>38687842.100000001</v>
      </c>
      <c r="L80" s="9">
        <f t="shared" si="4"/>
        <v>39795000.899999999</v>
      </c>
      <c r="M80" s="9">
        <f t="shared" si="4"/>
        <v>42848673.5</v>
      </c>
      <c r="N80" s="9">
        <f t="shared" si="4"/>
        <v>49152301.399999999</v>
      </c>
      <c r="O80" s="9">
        <f t="shared" si="4"/>
        <v>42482357.700000003</v>
      </c>
      <c r="P80" s="9">
        <f t="shared" si="4"/>
        <v>41973456.899999999</v>
      </c>
      <c r="Q80" s="9">
        <f t="shared" si="4"/>
        <v>40297149.899999999</v>
      </c>
      <c r="R80" s="9">
        <f t="shared" si="4"/>
        <v>46877337.299999997</v>
      </c>
      <c r="S80" s="9">
        <f t="shared" si="4"/>
        <v>43494023.100000001</v>
      </c>
      <c r="T80" s="9">
        <f t="shared" si="4"/>
        <v>38612516.200000003</v>
      </c>
      <c r="U80" s="9">
        <f t="shared" si="4"/>
        <v>44486189.600000001</v>
      </c>
      <c r="V80" s="9">
        <f t="shared" si="4"/>
        <v>47299348.899999999</v>
      </c>
      <c r="W80" s="9">
        <f t="shared" si="4"/>
        <v>43634242.200000003</v>
      </c>
      <c r="X80" s="9">
        <f t="shared" si="4"/>
        <v>36176682.600000001</v>
      </c>
      <c r="Y80" s="9">
        <f t="shared" si="4"/>
        <v>32344049</v>
      </c>
      <c r="Z80" s="9">
        <f t="shared" si="4"/>
        <v>39116584.299999997</v>
      </c>
      <c r="AA80" s="9">
        <f t="shared" si="4"/>
        <v>34127072.399999999</v>
      </c>
      <c r="AB80" s="9">
        <f t="shared" si="4"/>
        <v>31370644.100000001</v>
      </c>
      <c r="AC80" s="9">
        <f t="shared" si="4"/>
        <v>43658548.899999999</v>
      </c>
      <c r="AD80" s="9">
        <f t="shared" si="4"/>
        <v>44100290.100000001</v>
      </c>
      <c r="AE80" s="9">
        <f t="shared" si="4"/>
        <v>37833584.200000003</v>
      </c>
      <c r="AF80" s="9">
        <f>SUM(0.1*AF8,AF16:AF19)</f>
        <v>34406110.5</v>
      </c>
      <c r="AG80" s="9">
        <f>SUM(0.1*AG8,AG16:AG19)</f>
        <v>40835554.399999999</v>
      </c>
      <c r="AH80" s="9">
        <f>SUM(0.1*AH8,AH16:AH19)</f>
        <v>40551765</v>
      </c>
      <c r="AI80" s="9">
        <f>SUM(0.1*AI8,AI16:AI19)</f>
        <v>33872444.200000003</v>
      </c>
      <c r="AJ80" s="9">
        <f>SUM(0.1*AJ8,AJ16:AJ19)</f>
        <v>37307812.399999999</v>
      </c>
      <c r="AK80" s="9">
        <f t="shared" ref="AK80:AQ80" si="5">AK82*AK81</f>
        <v>36195194.429888435</v>
      </c>
      <c r="AL80" s="9">
        <f t="shared" si="5"/>
        <v>39774612.966315396</v>
      </c>
      <c r="AM80" s="9">
        <f t="shared" si="5"/>
        <v>40062737.657312892</v>
      </c>
      <c r="AN80" s="9">
        <f t="shared" si="5"/>
        <v>35390757.895663567</v>
      </c>
      <c r="AO80" s="9">
        <f t="shared" si="5"/>
        <v>36471139.096389227</v>
      </c>
      <c r="AP80" s="9">
        <f t="shared" si="5"/>
        <v>39957313.947017826</v>
      </c>
      <c r="AQ80" s="9">
        <f t="shared" si="5"/>
        <v>40142201.790146708</v>
      </c>
      <c r="AR80" s="9">
        <f>AR82*AR81</f>
        <v>35203805.40656057</v>
      </c>
      <c r="AS80" s="9">
        <f>AS82*AS81</f>
        <v>36247404.17596706</v>
      </c>
      <c r="AT80" s="9">
        <f>AT82*AT81</f>
        <v>39713124.890484966</v>
      </c>
      <c r="AU80" s="9">
        <f>AU82*AU81</f>
        <v>39898497.891167648</v>
      </c>
    </row>
    <row r="81" spans="7:47" x14ac:dyDescent="0.25">
      <c r="G81" s="17" t="s">
        <v>559</v>
      </c>
      <c r="H81" s="53">
        <f>H80/H82</f>
        <v>0.11775692755767568</v>
      </c>
      <c r="I81" s="53">
        <f t="shared" ref="I81:V81" si="6">I80/I82</f>
        <v>0.11149694823150767</v>
      </c>
      <c r="J81" s="53">
        <f t="shared" si="6"/>
        <v>0.10993553721249949</v>
      </c>
      <c r="K81" s="53">
        <f t="shared" si="6"/>
        <v>0.10318369732748199</v>
      </c>
      <c r="L81" s="53">
        <f t="shared" si="6"/>
        <v>0.12529520298502503</v>
      </c>
      <c r="M81" s="53">
        <f t="shared" si="6"/>
        <v>0.10426226684091097</v>
      </c>
      <c r="N81" s="53">
        <f t="shared" si="6"/>
        <v>0.10407437015044083</v>
      </c>
      <c r="O81" s="53">
        <f t="shared" si="6"/>
        <v>0.10168796970044768</v>
      </c>
      <c r="P81" s="53">
        <f t="shared" si="6"/>
        <v>0.11030495180562035</v>
      </c>
      <c r="Q81" s="53">
        <f t="shared" si="6"/>
        <v>8.8501719969195355E-2</v>
      </c>
      <c r="R81" s="53">
        <f t="shared" si="6"/>
        <v>0.10327101202338926</v>
      </c>
      <c r="S81" s="53">
        <f t="shared" si="6"/>
        <v>0.10299711084898204</v>
      </c>
      <c r="T81" s="53">
        <f t="shared" si="6"/>
        <v>9.3923692656207286E-2</v>
      </c>
      <c r="U81" s="53">
        <f t="shared" si="6"/>
        <v>0.10147738661034471</v>
      </c>
      <c r="V81" s="53">
        <f t="shared" si="6"/>
        <v>0.10653347176178395</v>
      </c>
      <c r="W81" s="53">
        <f t="shared" ref="W81:AE81" si="7">W80/W82</f>
        <v>9.7855204515457317E-2</v>
      </c>
      <c r="X81" s="53">
        <f t="shared" si="7"/>
        <v>9.9726048539547349E-2</v>
      </c>
      <c r="Y81" s="53">
        <f t="shared" si="7"/>
        <v>0.11352998615518238</v>
      </c>
      <c r="Z81" s="53">
        <f t="shared" si="7"/>
        <v>9.3373932754886521E-2</v>
      </c>
      <c r="AA81" s="53">
        <f t="shared" si="7"/>
        <v>0.1001774875834132</v>
      </c>
      <c r="AB81" s="123">
        <f t="shared" si="7"/>
        <v>8.7239247985535701E-2</v>
      </c>
      <c r="AC81" s="123">
        <f t="shared" si="7"/>
        <v>0.11944380579524001</v>
      </c>
      <c r="AD81" s="123">
        <f t="shared" si="7"/>
        <v>0.10384242464523287</v>
      </c>
      <c r="AE81" s="123">
        <f t="shared" si="7"/>
        <v>0.1055078055802357</v>
      </c>
      <c r="AF81" s="123">
        <f>AF80/AF82</f>
        <v>9.8619292490911961E-2</v>
      </c>
      <c r="AG81" s="123">
        <f>AG80/AG82</f>
        <v>0.11028180869022573</v>
      </c>
      <c r="AH81" s="123">
        <f>AH80/AH82</f>
        <v>0.10256035628609994</v>
      </c>
      <c r="AI81" s="123">
        <f>AI80/AI82</f>
        <v>8.5964523876734381E-2</v>
      </c>
      <c r="AJ81" s="123">
        <f>AJ80/AJ82</f>
        <v>0.10789825222317342</v>
      </c>
      <c r="AK81" s="123">
        <f>+BR_eth_T1</f>
        <v>0.10100000000000001</v>
      </c>
      <c r="AL81" s="123">
        <f>+BR_eth_T1</f>
        <v>0.10100000000000001</v>
      </c>
      <c r="AM81" s="123">
        <f>+BR_eth_T1</f>
        <v>0.10100000000000001</v>
      </c>
      <c r="AN81" s="123">
        <f t="shared" ref="AN81:AU81" si="8">+BR_eth_T0</f>
        <v>0.10150000000000001</v>
      </c>
      <c r="AO81" s="123">
        <f t="shared" si="8"/>
        <v>0.10150000000000001</v>
      </c>
      <c r="AP81" s="123">
        <f t="shared" si="8"/>
        <v>0.10150000000000001</v>
      </c>
      <c r="AQ81" s="123">
        <f t="shared" si="8"/>
        <v>0.10150000000000001</v>
      </c>
      <c r="AR81" s="123">
        <f t="shared" si="8"/>
        <v>0.10150000000000001</v>
      </c>
      <c r="AS81" s="123">
        <f t="shared" si="8"/>
        <v>0.10150000000000001</v>
      </c>
      <c r="AT81" s="123">
        <f t="shared" si="8"/>
        <v>0.10150000000000001</v>
      </c>
      <c r="AU81" s="123">
        <f t="shared" si="8"/>
        <v>0.10150000000000001</v>
      </c>
    </row>
    <row r="82" spans="7:47" ht="15.75" thickBot="1" x14ac:dyDescent="0.3">
      <c r="G82" s="23" t="s">
        <v>29</v>
      </c>
      <c r="H82" s="54">
        <f>SUM(H79:H80)</f>
        <v>432288642</v>
      </c>
      <c r="I82" s="54">
        <f t="shared" ref="I82:V82" si="9">SUM(I79:I80)</f>
        <v>369245735</v>
      </c>
      <c r="J82" s="54">
        <f t="shared" si="9"/>
        <v>426111111</v>
      </c>
      <c r="K82" s="54">
        <f t="shared" si="9"/>
        <v>374941421</v>
      </c>
      <c r="L82" s="54">
        <f t="shared" si="9"/>
        <v>317609932</v>
      </c>
      <c r="M82" s="54">
        <f t="shared" si="9"/>
        <v>410970093</v>
      </c>
      <c r="N82" s="54">
        <f t="shared" si="9"/>
        <v>472280556</v>
      </c>
      <c r="O82" s="54">
        <f t="shared" si="9"/>
        <v>417771717</v>
      </c>
      <c r="P82" s="54">
        <f t="shared" si="9"/>
        <v>380521964</v>
      </c>
      <c r="Q82" s="54">
        <f t="shared" si="9"/>
        <v>455326178</v>
      </c>
      <c r="R82" s="54">
        <f t="shared" si="9"/>
        <v>453925418</v>
      </c>
      <c r="S82" s="54">
        <f t="shared" si="9"/>
        <v>422283914</v>
      </c>
      <c r="T82" s="54">
        <f t="shared" si="9"/>
        <v>411105176</v>
      </c>
      <c r="U82" s="54">
        <f t="shared" si="9"/>
        <v>438385251</v>
      </c>
      <c r="V82" s="54">
        <f t="shared" si="9"/>
        <v>443985802</v>
      </c>
      <c r="W82" s="54">
        <f t="shared" ref="W82:AE82" si="10">SUM(W79:W80)</f>
        <v>445906198</v>
      </c>
      <c r="X82" s="54">
        <f t="shared" si="10"/>
        <v>362760614</v>
      </c>
      <c r="Y82" s="54">
        <f t="shared" si="10"/>
        <v>284894327</v>
      </c>
      <c r="Z82" s="54">
        <f t="shared" si="10"/>
        <v>418924031</v>
      </c>
      <c r="AA82" s="54">
        <f t="shared" si="10"/>
        <v>340666084</v>
      </c>
      <c r="AB82" s="54">
        <f t="shared" si="10"/>
        <v>359593243</v>
      </c>
      <c r="AC82" s="54">
        <f t="shared" si="10"/>
        <v>365515387</v>
      </c>
      <c r="AD82" s="54">
        <f t="shared" si="10"/>
        <v>424684711</v>
      </c>
      <c r="AE82" s="54">
        <f t="shared" si="10"/>
        <v>358585642</v>
      </c>
      <c r="AF82" s="54">
        <f>SUM(AF79:AF80)</f>
        <v>348878091</v>
      </c>
      <c r="AG82" s="54">
        <f>SUM(AG79:AG80)</f>
        <v>370283684</v>
      </c>
      <c r="AH82" s="54">
        <f>SUM(AH79:AH80)</f>
        <v>395394151</v>
      </c>
      <c r="AI82" s="54">
        <f>SUM(AI79:AI80)</f>
        <v>394028172</v>
      </c>
      <c r="AJ82" s="54">
        <f>SUM(AJ79:AJ80)</f>
        <v>345768459</v>
      </c>
      <c r="AK82" s="99">
        <f t="shared" ref="AK82:AU82" si="11">AG82*(1+AK83)</f>
        <v>358368261.6820637</v>
      </c>
      <c r="AL82" s="99">
        <f t="shared" si="11"/>
        <v>393808049.17143953</v>
      </c>
      <c r="AM82" s="99">
        <f t="shared" si="11"/>
        <v>396660768.88428605</v>
      </c>
      <c r="AN82" s="99">
        <f t="shared" si="11"/>
        <v>348677417.69126666</v>
      </c>
      <c r="AO82" s="99">
        <f t="shared" si="11"/>
        <v>359321567.45211059</v>
      </c>
      <c r="AP82" s="99">
        <f t="shared" si="11"/>
        <v>393668117.7046091</v>
      </c>
      <c r="AQ82" s="99">
        <f t="shared" si="11"/>
        <v>395489672.80932719</v>
      </c>
      <c r="AR82" s="99">
        <f t="shared" si="11"/>
        <v>346835521.24690217</v>
      </c>
      <c r="AS82" s="99">
        <f t="shared" si="11"/>
        <v>357117282.5218429</v>
      </c>
      <c r="AT82" s="99">
        <f t="shared" si="11"/>
        <v>391262314.19197011</v>
      </c>
      <c r="AU82" s="99">
        <f t="shared" si="11"/>
        <v>393088649.17406547</v>
      </c>
    </row>
    <row r="83" spans="7:47" x14ac:dyDescent="0.25">
      <c r="G83" s="100" t="s">
        <v>569</v>
      </c>
      <c r="H83" s="101"/>
      <c r="I83" s="101"/>
      <c r="J83" s="101"/>
      <c r="K83" s="101"/>
      <c r="L83" s="102">
        <f t="shared" ref="L83:W83" si="12">L82/H82-1</f>
        <v>-0.26528272746060255</v>
      </c>
      <c r="M83" s="102">
        <f t="shared" si="12"/>
        <v>0.11299888947938697</v>
      </c>
      <c r="N83" s="102">
        <f t="shared" si="12"/>
        <v>0.10835071841156463</v>
      </c>
      <c r="O83" s="102">
        <f t="shared" si="12"/>
        <v>0.11423196691837356</v>
      </c>
      <c r="P83" s="102">
        <f t="shared" si="12"/>
        <v>0.19807954872141709</v>
      </c>
      <c r="Q83" s="102">
        <f t="shared" si="12"/>
        <v>0.10793020162661815</v>
      </c>
      <c r="R83" s="102">
        <f t="shared" si="12"/>
        <v>-3.8864903004814821E-2</v>
      </c>
      <c r="S83" s="102">
        <f t="shared" si="12"/>
        <v>1.0800628229220122E-2</v>
      </c>
      <c r="T83" s="102">
        <f t="shared" si="12"/>
        <v>8.0371739067340631E-2</v>
      </c>
      <c r="U83" s="102">
        <f t="shared" si="12"/>
        <v>-3.720613445598997E-2</v>
      </c>
      <c r="V83" s="102">
        <f t="shared" si="12"/>
        <v>-2.189702450194142E-2</v>
      </c>
      <c r="W83" s="102">
        <f t="shared" si="12"/>
        <v>5.5939341321914471E-2</v>
      </c>
      <c r="X83" s="102">
        <f t="shared" ref="X83:AJ83" si="13">X82/T82-1</f>
        <v>-0.11759657825373626</v>
      </c>
      <c r="Y83" s="102">
        <f t="shared" si="13"/>
        <v>-0.35012793804050679</v>
      </c>
      <c r="Z83" s="102">
        <f t="shared" si="13"/>
        <v>-5.6447235220373093E-2</v>
      </c>
      <c r="AA83" s="102">
        <f t="shared" si="13"/>
        <v>-0.23601401925343946</v>
      </c>
      <c r="AB83" s="102">
        <f t="shared" si="13"/>
        <v>-8.7312979352273112E-3</v>
      </c>
      <c r="AC83" s="102">
        <f t="shared" si="13"/>
        <v>0.28298583846494063</v>
      </c>
      <c r="AD83" s="102">
        <f t="shared" si="13"/>
        <v>1.3751132839643576E-2</v>
      </c>
      <c r="AE83" s="102">
        <f t="shared" si="13"/>
        <v>5.2601532238237159E-2</v>
      </c>
      <c r="AF83" s="102">
        <f t="shared" si="13"/>
        <v>-2.9797979268481378E-2</v>
      </c>
      <c r="AG83" s="102">
        <f t="shared" si="13"/>
        <v>1.3045407032344691E-2</v>
      </c>
      <c r="AH83" s="102">
        <f t="shared" si="13"/>
        <v>-6.8970130643577598E-2</v>
      </c>
      <c r="AI83" s="102">
        <f t="shared" si="13"/>
        <v>9.8839791248529707E-2</v>
      </c>
      <c r="AJ83" s="102">
        <f t="shared" si="13"/>
        <v>-8.9132338206929784E-3</v>
      </c>
      <c r="AK83" s="104">
        <f>'[1]Quarterly Work'!J32</f>
        <v>-3.2179171896583814E-2</v>
      </c>
      <c r="AL83" s="104">
        <f>'[1]Quarterly Work'!J33</f>
        <v>-4.0114448444648065E-3</v>
      </c>
      <c r="AM83" s="104">
        <f>'[1]Quarterly Work'!$J34</f>
        <v>6.6812402547857808E-3</v>
      </c>
      <c r="AN83" s="104">
        <f>'[1]Quarterly Work'!$J35</f>
        <v>8.4130250043039645E-3</v>
      </c>
      <c r="AO83" s="104">
        <f>'[1]Quarterly Work'!$J36</f>
        <v>2.660128900847436E-3</v>
      </c>
      <c r="AP83" s="104">
        <f>'[1]Quarterly Work'!$J37</f>
        <v>-3.5532911814484258E-4</v>
      </c>
      <c r="AQ83" s="104">
        <f>'[1]Quarterly Work'!$J38</f>
        <v>-2.9523869432636074E-3</v>
      </c>
      <c r="AR83" s="104">
        <f>'[1]Quarterly Work'!$J39</f>
        <v>-5.282522902000486E-3</v>
      </c>
      <c r="AS83" s="104">
        <f>'[1]Quarterly Work'!$J40</f>
        <v>-6.1345745146831332E-3</v>
      </c>
      <c r="AT83" s="104">
        <f>'[1]Quarterly Work'!$J41</f>
        <v>-6.1112480397617075E-3</v>
      </c>
      <c r="AU83" s="104">
        <f>'[1]Quarterly Work'!$J42</f>
        <v>-6.071014745356651E-3</v>
      </c>
    </row>
    <row r="84" spans="7:47" x14ac:dyDescent="0.25">
      <c r="G84" s="17"/>
      <c r="H84" s="9"/>
      <c r="I84" s="9"/>
      <c r="J84" s="9"/>
      <c r="K84" s="9"/>
      <c r="L84" s="38"/>
      <c r="M84" s="38"/>
      <c r="N84" s="38"/>
      <c r="O84" s="38"/>
      <c r="P84" s="38"/>
      <c r="Q84" s="38"/>
      <c r="R84" s="38"/>
      <c r="S84" s="38"/>
      <c r="T84" s="38"/>
      <c r="U84" s="38"/>
      <c r="V84" s="38"/>
      <c r="W84" s="38"/>
    </row>
    <row r="85" spans="7:47" x14ac:dyDescent="0.25">
      <c r="G85" t="s">
        <v>513</v>
      </c>
      <c r="H85" s="9">
        <f t="shared" ref="H85:AE85" si="14">SUM(H4,0.8*H5,0.95*H6)</f>
        <v>200546412.40000001</v>
      </c>
      <c r="I85" s="9">
        <f t="shared" si="14"/>
        <v>158442194</v>
      </c>
      <c r="J85" s="9">
        <f t="shared" si="14"/>
        <v>184357269.94999999</v>
      </c>
      <c r="K85" s="9">
        <f t="shared" si="14"/>
        <v>165547124.84999999</v>
      </c>
      <c r="L85" s="9">
        <f t="shared" si="14"/>
        <v>140610590</v>
      </c>
      <c r="M85" s="9">
        <f t="shared" si="14"/>
        <v>185101028.80000001</v>
      </c>
      <c r="N85" s="9">
        <f t="shared" si="14"/>
        <v>193155530.75</v>
      </c>
      <c r="O85" s="9">
        <f t="shared" si="14"/>
        <v>163876928.19999999</v>
      </c>
      <c r="P85" s="9">
        <f t="shared" si="14"/>
        <v>161928057.75</v>
      </c>
      <c r="Q85" s="9">
        <f t="shared" si="14"/>
        <v>181643251.14999998</v>
      </c>
      <c r="R85" s="9">
        <f t="shared" si="14"/>
        <v>204800544.40000001</v>
      </c>
      <c r="S85" s="9">
        <f t="shared" si="14"/>
        <v>168174070.40000001</v>
      </c>
      <c r="T85" s="9">
        <f t="shared" si="14"/>
        <v>174790251.40000001</v>
      </c>
      <c r="U85" s="9">
        <f t="shared" si="14"/>
        <v>169817565.84999999</v>
      </c>
      <c r="V85" s="9">
        <f t="shared" si="14"/>
        <v>191951959.25</v>
      </c>
      <c r="W85" s="9">
        <f t="shared" si="14"/>
        <v>183194227.59999999</v>
      </c>
      <c r="X85" s="9">
        <f t="shared" si="14"/>
        <v>140924041.65000001</v>
      </c>
      <c r="Y85" s="9">
        <f t="shared" si="14"/>
        <v>178466626.09999999</v>
      </c>
      <c r="Z85" s="9">
        <f t="shared" si="14"/>
        <v>169549457.19999999</v>
      </c>
      <c r="AA85" s="9">
        <f t="shared" si="14"/>
        <v>173352886.5</v>
      </c>
      <c r="AB85" s="9">
        <f t="shared" si="14"/>
        <v>182466654.55000001</v>
      </c>
      <c r="AC85" s="9">
        <f t="shared" si="14"/>
        <v>183771544.39999998</v>
      </c>
      <c r="AD85" s="9">
        <f t="shared" si="14"/>
        <v>201469885.70000002</v>
      </c>
      <c r="AE85" s="9">
        <f t="shared" si="14"/>
        <v>168445697.09999999</v>
      </c>
      <c r="AF85" s="9">
        <f>SUM(AF4,0.8*AF5,0.95*AF6)</f>
        <v>197939524.75</v>
      </c>
      <c r="AG85" s="9">
        <f>SUM(AG4,0.8*AG5,0.95*AG6)</f>
        <v>177323579.34999999</v>
      </c>
      <c r="AH85" s="9">
        <f>SUM(AH4,0.8*AH5,0.95*AH6)</f>
        <v>193932019.15000001</v>
      </c>
      <c r="AI85" s="9">
        <f>SUM(AI4,0.8*AI5,0.95*AI6)</f>
        <v>186123913.5</v>
      </c>
      <c r="AJ85" s="9">
        <f>SUM(AJ4,0.8*AJ5,0.95*AJ6)</f>
        <v>152436641.75</v>
      </c>
      <c r="AK85" s="9">
        <f t="shared" ref="AK85:AU85" si="15">AK90-SUM(AK86,AK88)</f>
        <v>168026825.23922038</v>
      </c>
      <c r="AL85" s="9">
        <f t="shared" si="15"/>
        <v>179567285.06824172</v>
      </c>
      <c r="AM85" s="9">
        <f t="shared" si="15"/>
        <v>191041618.23382699</v>
      </c>
      <c r="AN85" s="9">
        <f t="shared" si="15"/>
        <v>155341854.43391192</v>
      </c>
      <c r="AO85" s="9">
        <f t="shared" si="15"/>
        <v>162959540.25881302</v>
      </c>
      <c r="AP85" s="9">
        <f t="shared" si="15"/>
        <v>174039016.00595221</v>
      </c>
      <c r="AQ85" s="9">
        <f t="shared" si="15"/>
        <v>185075410.50142273</v>
      </c>
      <c r="AR85" s="9">
        <f t="shared" si="15"/>
        <v>158428511.72084758</v>
      </c>
      <c r="AS85" s="9">
        <f t="shared" si="15"/>
        <v>164674406.31623125</v>
      </c>
      <c r="AT85" s="9">
        <f t="shared" si="15"/>
        <v>176024424.50968429</v>
      </c>
      <c r="AU85" s="9">
        <f t="shared" si="15"/>
        <v>187122389.18037409</v>
      </c>
    </row>
    <row r="86" spans="7:47" x14ac:dyDescent="0.25">
      <c r="G86" t="s">
        <v>7</v>
      </c>
      <c r="H86" s="9">
        <f t="shared" ref="H86:AE86" si="16">SUM(H12,H5*0.2*(H12/SUM(H12:H13)),H6*0.05*(H12/SUM(H12:H13)))</f>
        <v>11867430.6</v>
      </c>
      <c r="I86" s="9">
        <f t="shared" si="16"/>
        <v>11165820</v>
      </c>
      <c r="J86" s="9">
        <f t="shared" si="16"/>
        <v>13012715.050000001</v>
      </c>
      <c r="K86" s="9">
        <f t="shared" si="16"/>
        <v>11489107.15</v>
      </c>
      <c r="L86" s="9">
        <f t="shared" si="16"/>
        <v>9104597</v>
      </c>
      <c r="M86" s="9">
        <f t="shared" si="16"/>
        <v>13400125.199999999</v>
      </c>
      <c r="N86" s="9">
        <f t="shared" si="16"/>
        <v>14471281.25</v>
      </c>
      <c r="O86" s="9">
        <f t="shared" si="16"/>
        <v>14210435.268036803</v>
      </c>
      <c r="P86" s="9">
        <f t="shared" si="16"/>
        <v>10794217.172234204</v>
      </c>
      <c r="Q86" s="9">
        <f t="shared" si="16"/>
        <v>13063325.912483048</v>
      </c>
      <c r="R86" s="9">
        <f t="shared" si="16"/>
        <v>14749408.915234635</v>
      </c>
      <c r="S86" s="9">
        <f t="shared" si="16"/>
        <v>13034116.418898588</v>
      </c>
      <c r="T86" s="9">
        <f t="shared" si="16"/>
        <v>11315967.817921368</v>
      </c>
      <c r="U86" s="9">
        <f t="shared" si="16"/>
        <v>16520225.203099381</v>
      </c>
      <c r="V86" s="9">
        <f t="shared" si="16"/>
        <v>16949908.901677188</v>
      </c>
      <c r="W86" s="9">
        <f t="shared" si="16"/>
        <v>15297240.151916169</v>
      </c>
      <c r="X86" s="9">
        <f t="shared" si="16"/>
        <v>15350841.541714288</v>
      </c>
      <c r="Y86" s="9">
        <f t="shared" si="16"/>
        <v>16209307.994214851</v>
      </c>
      <c r="Z86" s="9">
        <f t="shared" si="16"/>
        <v>18232074.320047941</v>
      </c>
      <c r="AA86" s="9">
        <f t="shared" si="16"/>
        <v>18659345.943063095</v>
      </c>
      <c r="AB86" s="9">
        <f t="shared" si="16"/>
        <v>15172919.190588832</v>
      </c>
      <c r="AC86" s="9">
        <f t="shared" si="16"/>
        <v>20224869.014682226</v>
      </c>
      <c r="AD86" s="9">
        <f t="shared" si="16"/>
        <v>21042085.188800845</v>
      </c>
      <c r="AE86" s="9">
        <f t="shared" si="16"/>
        <v>19413057.3360608</v>
      </c>
      <c r="AF86" s="9">
        <f>SUM(AF12,AF5*0.2*(AF12/SUM(AF12:AF13)),AF6*0.05*(AF12/SUM(AF12:AF13)))</f>
        <v>17794022.708823826</v>
      </c>
      <c r="AG86" s="9">
        <f>SUM(AG12,AG5*0.2*(AG12/SUM(AG12:AG13)),AG6*0.05*(AG12/SUM(AG12:AG13)))</f>
        <v>23831144.927589715</v>
      </c>
      <c r="AH86" s="9">
        <f>SUM(AH12,AH5*0.2*(AH12/SUM(AH12:AH13)),AH6*0.05*(AH12/SUM(AH12:AH13)))</f>
        <v>16702562.383576512</v>
      </c>
      <c r="AI86" s="9">
        <f>SUM(AI12,AI5*0.2*(AI12/SUM(AI12:AI13)),AI6*0.05*(AI12/SUM(AI12:AI13)))</f>
        <v>23311149.478656471</v>
      </c>
      <c r="AJ86" s="9">
        <f>SUM(AJ12,AJ5*0.2*(AJ12/SUM(AJ12:AJ13)),AJ6*0.05*(AJ12/SUM(AJ12:AJ13)))</f>
        <v>17788445.86598783</v>
      </c>
      <c r="AK86" s="9">
        <f t="shared" ref="AK86:AU86" si="17">AK90*AK87</f>
        <v>19348543.512395076</v>
      </c>
      <c r="AL86" s="9">
        <f t="shared" si="17"/>
        <v>20677444.947252076</v>
      </c>
      <c r="AM86" s="9">
        <f t="shared" si="17"/>
        <v>21998731.796622504</v>
      </c>
      <c r="AN86" s="9">
        <f t="shared" si="17"/>
        <v>18981922.362248588</v>
      </c>
      <c r="AO86" s="9">
        <f t="shared" si="17"/>
        <v>19912761.777261443</v>
      </c>
      <c r="AP86" s="9">
        <f t="shared" si="17"/>
        <v>21266612.928408127</v>
      </c>
      <c r="AQ86" s="9">
        <f t="shared" si="17"/>
        <v>22615199.786956895</v>
      </c>
      <c r="AR86" s="9">
        <f t="shared" si="17"/>
        <v>19359094.948432747</v>
      </c>
      <c r="AS86" s="9">
        <f t="shared" si="17"/>
        <v>20122309.001235243</v>
      </c>
      <c r="AT86" s="9">
        <f t="shared" si="17"/>
        <v>21509218.955048706</v>
      </c>
      <c r="AU86" s="9">
        <f t="shared" si="17"/>
        <v>22865329.35121778</v>
      </c>
    </row>
    <row r="87" spans="7:47" x14ac:dyDescent="0.25">
      <c r="G87" s="17" t="s">
        <v>559</v>
      </c>
      <c r="H87" s="53">
        <f>H86/H90</f>
        <v>5.5869384181331347E-2</v>
      </c>
      <c r="I87" s="53">
        <f t="shared" ref="I87:V87" si="18">I86/I90</f>
        <v>6.5833092061322054E-2</v>
      </c>
      <c r="J87" s="53">
        <f t="shared" si="18"/>
        <v>6.5930567152852546E-2</v>
      </c>
      <c r="K87" s="53">
        <f t="shared" si="18"/>
        <v>6.4896925449701173E-2</v>
      </c>
      <c r="L87" s="53">
        <f t="shared" si="18"/>
        <v>6.0812781805495791E-2</v>
      </c>
      <c r="M87" s="53">
        <f t="shared" si="18"/>
        <v>6.7506535503566889E-2</v>
      </c>
      <c r="N87" s="53">
        <f t="shared" si="18"/>
        <v>6.969851875392663E-2</v>
      </c>
      <c r="O87" s="53">
        <f t="shared" si="18"/>
        <v>7.9642577236442066E-2</v>
      </c>
      <c r="P87" s="53">
        <f t="shared" si="18"/>
        <v>6.2385752232972005E-2</v>
      </c>
      <c r="Q87" s="53">
        <f t="shared" si="18"/>
        <v>6.7023368584565382E-2</v>
      </c>
      <c r="R87" s="53">
        <f t="shared" si="18"/>
        <v>6.7111751966367289E-2</v>
      </c>
      <c r="S87" s="53">
        <f t="shared" si="18"/>
        <v>7.1738307743542812E-2</v>
      </c>
      <c r="T87" s="53">
        <f t="shared" si="18"/>
        <v>6.0750667673647646E-2</v>
      </c>
      <c r="U87" s="53">
        <f>U86/U90</f>
        <v>8.8439150430515756E-2</v>
      </c>
      <c r="V87" s="53">
        <f t="shared" si="18"/>
        <v>7.6943815626543066E-2</v>
      </c>
      <c r="W87" s="53">
        <f t="shared" ref="W87:AE87" si="19">W86/W90</f>
        <v>7.5432523813665373E-2</v>
      </c>
      <c r="X87" s="53">
        <f t="shared" si="19"/>
        <v>9.3944557143805119E-2</v>
      </c>
      <c r="Y87" s="53">
        <f t="shared" si="19"/>
        <v>8.0697180491971679E-2</v>
      </c>
      <c r="Z87" s="53">
        <f t="shared" si="19"/>
        <v>9.698689108802698E-2</v>
      </c>
      <c r="AA87" s="53">
        <f t="shared" si="19"/>
        <v>9.5244092818178264E-2</v>
      </c>
      <c r="AB87" s="53">
        <f t="shared" si="19"/>
        <v>7.4196041247198197E-2</v>
      </c>
      <c r="AC87" s="53">
        <f t="shared" si="19"/>
        <v>9.9364502847590033E-2</v>
      </c>
      <c r="AD87" s="53">
        <f t="shared" si="19"/>
        <v>9.3181299323159619E-2</v>
      </c>
      <c r="AE87" s="53">
        <f t="shared" si="19"/>
        <v>0.10330238621613826</v>
      </c>
      <c r="AF87" s="53">
        <f>AF86/AF90</f>
        <v>7.741699533566386E-2</v>
      </c>
      <c r="AG87" s="53">
        <f>AG86/AG90</f>
        <v>0.1155652604957067</v>
      </c>
      <c r="AH87" s="53">
        <f>AH86/AH90</f>
        <v>7.6206662734594796E-2</v>
      </c>
      <c r="AI87" s="53">
        <f>AI86/AI90</f>
        <v>0.10209317735329219</v>
      </c>
      <c r="AJ87" s="123">
        <f>AJ86/AJ90</f>
        <v>9.1688449683914361E-2</v>
      </c>
      <c r="AK87" s="53">
        <f>+BR_bio_T1</f>
        <v>9.5000000000000001E-2</v>
      </c>
      <c r="AL87" s="53">
        <f>+BR_bio_T1</f>
        <v>9.5000000000000001E-2</v>
      </c>
      <c r="AM87" s="53">
        <f>+BR_bio_T1</f>
        <v>9.5000000000000001E-2</v>
      </c>
      <c r="AN87" s="53">
        <f t="shared" ref="AN87:AU87" si="20">+BR_bio_T0</f>
        <v>9.8000000000000004E-2</v>
      </c>
      <c r="AO87" s="53">
        <f t="shared" si="20"/>
        <v>9.8000000000000004E-2</v>
      </c>
      <c r="AP87" s="53">
        <f t="shared" si="20"/>
        <v>9.8000000000000004E-2</v>
      </c>
      <c r="AQ87" s="53">
        <f t="shared" si="20"/>
        <v>9.8000000000000004E-2</v>
      </c>
      <c r="AR87" s="53">
        <f t="shared" si="20"/>
        <v>9.8000000000000004E-2</v>
      </c>
      <c r="AS87" s="53">
        <f t="shared" si="20"/>
        <v>9.8000000000000004E-2</v>
      </c>
      <c r="AT87" s="53">
        <f t="shared" si="20"/>
        <v>9.8000000000000004E-2</v>
      </c>
      <c r="AU87" s="53">
        <f t="shared" si="20"/>
        <v>9.8000000000000004E-2</v>
      </c>
    </row>
    <row r="88" spans="7:47" x14ac:dyDescent="0.25">
      <c r="G88" t="s">
        <v>6</v>
      </c>
      <c r="H88" s="9">
        <f t="shared" ref="H88:AE88" si="21">SUM(H13,H5*0.2*(H13/SUM(H12:H13)),H6*0.05*(H13/SUM(H12:H13)))</f>
        <v>0</v>
      </c>
      <c r="I88" s="9">
        <f t="shared" si="21"/>
        <v>0</v>
      </c>
      <c r="J88" s="9">
        <f t="shared" si="21"/>
        <v>0</v>
      </c>
      <c r="K88" s="9">
        <f t="shared" si="21"/>
        <v>0</v>
      </c>
      <c r="L88" s="9">
        <f t="shared" si="21"/>
        <v>0</v>
      </c>
      <c r="M88" s="9">
        <f t="shared" si="21"/>
        <v>0</v>
      </c>
      <c r="N88" s="9">
        <f t="shared" si="21"/>
        <v>0</v>
      </c>
      <c r="O88" s="9">
        <f t="shared" si="21"/>
        <v>340253.53196319623</v>
      </c>
      <c r="P88" s="9">
        <f t="shared" si="21"/>
        <v>301481.0777657968</v>
      </c>
      <c r="Q88" s="9">
        <f t="shared" si="21"/>
        <v>200455.93751695345</v>
      </c>
      <c r="R88" s="9">
        <f t="shared" si="21"/>
        <v>223908.68476536599</v>
      </c>
      <c r="S88" s="9">
        <f t="shared" si="21"/>
        <v>481580.18110141181</v>
      </c>
      <c r="T88" s="9">
        <f t="shared" si="21"/>
        <v>162808.78207863175</v>
      </c>
      <c r="U88" s="9">
        <f t="shared" si="21"/>
        <v>459855.94690061948</v>
      </c>
      <c r="V88" s="9">
        <f t="shared" si="21"/>
        <v>11387556.848322812</v>
      </c>
      <c r="W88" s="9">
        <f t="shared" si="21"/>
        <v>4302226.2480838317</v>
      </c>
      <c r="X88" s="9">
        <f t="shared" si="21"/>
        <v>7128319.8082857123</v>
      </c>
      <c r="Y88" s="9">
        <f t="shared" si="21"/>
        <v>6189918.905785149</v>
      </c>
      <c r="Z88" s="9">
        <f t="shared" si="21"/>
        <v>203402.47995205966</v>
      </c>
      <c r="AA88" s="9">
        <f t="shared" si="21"/>
        <v>3898562.5569369039</v>
      </c>
      <c r="AB88" s="9">
        <f t="shared" si="21"/>
        <v>6858118.2594111674</v>
      </c>
      <c r="AC88" s="9">
        <f t="shared" si="21"/>
        <v>-454218.41468222882</v>
      </c>
      <c r="AD88" s="9">
        <f t="shared" si="21"/>
        <v>3306786.1111991559</v>
      </c>
      <c r="AE88" s="9">
        <f t="shared" si="21"/>
        <v>65823.563939200656</v>
      </c>
      <c r="AF88" s="9">
        <f>SUM(AF13,AF5*0.2*(AF13/SUM(AF12:AF13)),AF6*0.05*(AF13/SUM(AF12:AF13)))</f>
        <v>14112917.541176174</v>
      </c>
      <c r="AG88" s="9">
        <f>SUM(AG13,AG5*0.2*(AG13/SUM(AG12:AG13)),AG6*0.05*(AG13/SUM(AG12:AG13)))</f>
        <v>5059018.7224102831</v>
      </c>
      <c r="AH88" s="9">
        <f>SUM(AH13,AH5*0.2*(AH13/SUM(AH12:AH13)),AH6*0.05*(AH13/SUM(AH12:AH13)))</f>
        <v>8539986.4664234873</v>
      </c>
      <c r="AI88" s="9">
        <f>SUM(AI13,AI5*0.2*(AI13/SUM(AI12:AI13)),AI6*0.05*(AI13/SUM(AI12:AI13)))</f>
        <v>18897036.021343525</v>
      </c>
      <c r="AJ88" s="9">
        <f>SUM(AJ13,AJ5*0.2*(AJ13/SUM(AJ12:AJ13)),AJ6*0.05*(AJ13/SUM(AJ12:AJ13)))</f>
        <v>23784582.38401217</v>
      </c>
      <c r="AK88" s="9">
        <f t="shared" ref="AK88:AQ88" si="22">AK89*AK90</f>
        <v>16293510.326227432</v>
      </c>
      <c r="AL88" s="9">
        <f t="shared" si="22"/>
        <v>17412585.218738593</v>
      </c>
      <c r="AM88" s="9">
        <f t="shared" si="22"/>
        <v>18525247.828734741</v>
      </c>
      <c r="AN88" s="9">
        <f t="shared" si="22"/>
        <v>19369308.532906722</v>
      </c>
      <c r="AO88" s="9">
        <f t="shared" si="22"/>
        <v>20319144.670674942</v>
      </c>
      <c r="AP88" s="9">
        <f t="shared" si="22"/>
        <v>21700625.437151149</v>
      </c>
      <c r="AQ88" s="9">
        <f t="shared" si="22"/>
        <v>23076734.476486627</v>
      </c>
      <c r="AR88" s="9">
        <f>AR89*AR90</f>
        <v>19754178.518808927</v>
      </c>
      <c r="AS88" s="9">
        <f>AS89*AS90</f>
        <v>20532968.368607391</v>
      </c>
      <c r="AT88" s="9">
        <f>AT89*AT90</f>
        <v>21948182.607192557</v>
      </c>
      <c r="AU88" s="9">
        <f>AU89*AU90</f>
        <v>23331968.725732431</v>
      </c>
    </row>
    <row r="89" spans="7:47" x14ac:dyDescent="0.25">
      <c r="G89" s="17" t="s">
        <v>559</v>
      </c>
      <c r="H89" s="53">
        <f>H88/H90</f>
        <v>0</v>
      </c>
      <c r="I89" s="53">
        <f t="shared" ref="I89:V89" si="23">I88/I90</f>
        <v>0</v>
      </c>
      <c r="J89" s="53">
        <f t="shared" si="23"/>
        <v>0</v>
      </c>
      <c r="K89" s="53">
        <f t="shared" si="23"/>
        <v>0</v>
      </c>
      <c r="L89" s="53">
        <f t="shared" si="23"/>
        <v>0</v>
      </c>
      <c r="M89" s="53">
        <f t="shared" si="23"/>
        <v>0</v>
      </c>
      <c r="N89" s="53">
        <f t="shared" si="23"/>
        <v>0</v>
      </c>
      <c r="O89" s="53">
        <f t="shared" si="23"/>
        <v>1.9069555357184209E-3</v>
      </c>
      <c r="P89" s="53">
        <f t="shared" si="23"/>
        <v>1.7424259230957673E-3</v>
      </c>
      <c r="Q89" s="53">
        <f t="shared" si="23"/>
        <v>1.0284694935403047E-3</v>
      </c>
      <c r="R89" s="53">
        <f t="shared" si="23"/>
        <v>1.0188139878315738E-3</v>
      </c>
      <c r="S89" s="53">
        <f t="shared" si="23"/>
        <v>2.650563039697287E-3</v>
      </c>
      <c r="T89" s="53">
        <f t="shared" si="23"/>
        <v>8.7405181541309028E-4</v>
      </c>
      <c r="U89" s="53">
        <f t="shared" si="23"/>
        <v>2.4617866139428376E-3</v>
      </c>
      <c r="V89" s="53">
        <f t="shared" si="23"/>
        <v>5.1693615561994463E-2</v>
      </c>
      <c r="W89" s="53">
        <f t="shared" ref="W89:AE89" si="24">W88/W90</f>
        <v>2.1214793040279803E-2</v>
      </c>
      <c r="X89" s="53">
        <f t="shared" si="24"/>
        <v>4.3624113098234142E-2</v>
      </c>
      <c r="Y89" s="53">
        <f t="shared" si="24"/>
        <v>3.0816183105971472E-2</v>
      </c>
      <c r="Z89" s="53">
        <f t="shared" si="24"/>
        <v>1.0820147956753792E-3</v>
      </c>
      <c r="AA89" s="53">
        <f t="shared" si="24"/>
        <v>1.9899682184112946E-2</v>
      </c>
      <c r="AB89" s="53">
        <f t="shared" si="24"/>
        <v>3.3536409102412595E-2</v>
      </c>
      <c r="AC89" s="53">
        <f t="shared" si="24"/>
        <v>-2.2315688139367311E-3</v>
      </c>
      <c r="AD89" s="53">
        <f t="shared" si="24"/>
        <v>1.4643540488530614E-2</v>
      </c>
      <c r="AE89" s="53">
        <f t="shared" si="24"/>
        <v>3.5026586005796782E-4</v>
      </c>
      <c r="AF89" s="53">
        <f>AF88/AF90</f>
        <v>6.1401499218951112E-2</v>
      </c>
      <c r="AG89" s="53">
        <f>AG88/AG90</f>
        <v>2.4532888297412278E-2</v>
      </c>
      <c r="AH89" s="53">
        <f>AH88/AH90</f>
        <v>3.8964312987369444E-2</v>
      </c>
      <c r="AI89" s="53">
        <f>AI88/AI90</f>
        <v>8.2761189093012832E-2</v>
      </c>
      <c r="AJ89" s="123">
        <f>AJ88/AJ90</f>
        <v>0.12259482934027036</v>
      </c>
      <c r="AK89" s="53">
        <f>+BR_ren_T1</f>
        <v>0.08</v>
      </c>
      <c r="AL89" s="53">
        <f>+BR_ren_T1</f>
        <v>0.08</v>
      </c>
      <c r="AM89" s="53">
        <f>+BR_ren_T1</f>
        <v>0.08</v>
      </c>
      <c r="AN89" s="53">
        <f t="shared" ref="AN89:AU89" si="25">+BR_ren_T0</f>
        <v>0.1</v>
      </c>
      <c r="AO89" s="53">
        <f t="shared" si="25"/>
        <v>0.1</v>
      </c>
      <c r="AP89" s="53">
        <f t="shared" si="25"/>
        <v>0.1</v>
      </c>
      <c r="AQ89" s="53">
        <f t="shared" si="25"/>
        <v>0.1</v>
      </c>
      <c r="AR89" s="53">
        <f t="shared" si="25"/>
        <v>0.1</v>
      </c>
      <c r="AS89" s="53">
        <f t="shared" si="25"/>
        <v>0.1</v>
      </c>
      <c r="AT89" s="53">
        <f t="shared" si="25"/>
        <v>0.1</v>
      </c>
      <c r="AU89" s="53">
        <f t="shared" si="25"/>
        <v>0.1</v>
      </c>
    </row>
    <row r="90" spans="7:47" ht="15.75" thickBot="1" x14ac:dyDescent="0.3">
      <c r="G90" s="23" t="s">
        <v>508</v>
      </c>
      <c r="H90" s="54">
        <f t="shared" ref="H90:AE90" si="26">SUM(H4:H6,H12:H13)</f>
        <v>212413843</v>
      </c>
      <c r="I90" s="54">
        <f t="shared" si="26"/>
        <v>169608014</v>
      </c>
      <c r="J90" s="54">
        <f t="shared" si="26"/>
        <v>197369985</v>
      </c>
      <c r="K90" s="54">
        <f t="shared" si="26"/>
        <v>177036232</v>
      </c>
      <c r="L90" s="54">
        <f t="shared" si="26"/>
        <v>149715187</v>
      </c>
      <c r="M90" s="54">
        <f t="shared" si="26"/>
        <v>198501154</v>
      </c>
      <c r="N90" s="54">
        <f t="shared" si="26"/>
        <v>207626812</v>
      </c>
      <c r="O90" s="54">
        <f t="shared" si="26"/>
        <v>178427617</v>
      </c>
      <c r="P90" s="54">
        <f t="shared" si="26"/>
        <v>173023756</v>
      </c>
      <c r="Q90" s="54">
        <f t="shared" si="26"/>
        <v>194907033</v>
      </c>
      <c r="R90" s="54">
        <f t="shared" si="26"/>
        <v>219773862</v>
      </c>
      <c r="S90" s="54">
        <f t="shared" si="26"/>
        <v>181689767</v>
      </c>
      <c r="T90" s="54">
        <f t="shared" si="26"/>
        <v>186269028</v>
      </c>
      <c r="U90" s="54">
        <f t="shared" si="26"/>
        <v>186797647</v>
      </c>
      <c r="V90" s="54">
        <f t="shared" si="26"/>
        <v>220289425</v>
      </c>
      <c r="W90" s="54">
        <f t="shared" si="26"/>
        <v>202793694</v>
      </c>
      <c r="X90" s="54">
        <f t="shared" si="26"/>
        <v>163403203</v>
      </c>
      <c r="Y90" s="54">
        <f t="shared" si="26"/>
        <v>200865853</v>
      </c>
      <c r="Z90" s="54">
        <f t="shared" si="26"/>
        <v>187984934</v>
      </c>
      <c r="AA90" s="54">
        <f t="shared" si="26"/>
        <v>195910795</v>
      </c>
      <c r="AB90" s="54">
        <f t="shared" si="26"/>
        <v>204497692</v>
      </c>
      <c r="AC90" s="54">
        <f t="shared" si="26"/>
        <v>203542195</v>
      </c>
      <c r="AD90" s="54">
        <f t="shared" si="26"/>
        <v>225818757</v>
      </c>
      <c r="AE90" s="54">
        <f t="shared" si="26"/>
        <v>187924578</v>
      </c>
      <c r="AF90" s="54">
        <f>SUM(AF4:AF6,AF12:AF13)</f>
        <v>229846465</v>
      </c>
      <c r="AG90" s="54">
        <f>SUM(AG4:AG6,AG12:AG13)</f>
        <v>206213743</v>
      </c>
      <c r="AH90" s="54">
        <f>SUM(AH4:AH6,AH12:AH13)</f>
        <v>219174568</v>
      </c>
      <c r="AI90" s="54">
        <f>SUM(AI4:AI6,AI12:AI13)</f>
        <v>228332099</v>
      </c>
      <c r="AJ90" s="54">
        <f>SUM(AJ4:AJ6,AJ12:AJ13)</f>
        <v>194009670</v>
      </c>
      <c r="AK90" s="99">
        <f t="shared" ref="AK90:AU90" si="27">AG90*(1+AK91)</f>
        <v>203668879.07784289</v>
      </c>
      <c r="AL90" s="99">
        <f t="shared" si="27"/>
        <v>217657315.2342324</v>
      </c>
      <c r="AM90" s="99">
        <f t="shared" si="27"/>
        <v>231565597.85918424</v>
      </c>
      <c r="AN90" s="99">
        <f t="shared" si="27"/>
        <v>193693085.32906723</v>
      </c>
      <c r="AO90" s="99">
        <f t="shared" si="27"/>
        <v>203191446.70674941</v>
      </c>
      <c r="AP90" s="99">
        <f t="shared" si="27"/>
        <v>217006254.37151149</v>
      </c>
      <c r="AQ90" s="99">
        <f t="shared" si="27"/>
        <v>230767344.76486626</v>
      </c>
      <c r="AR90" s="99">
        <f t="shared" si="27"/>
        <v>197541785.18808925</v>
      </c>
      <c r="AS90" s="99">
        <f t="shared" si="27"/>
        <v>205329683.6860739</v>
      </c>
      <c r="AT90" s="99">
        <f t="shared" si="27"/>
        <v>219481826.07192555</v>
      </c>
      <c r="AU90" s="99">
        <f t="shared" si="27"/>
        <v>233319687.25732428</v>
      </c>
    </row>
    <row r="91" spans="7:47" x14ac:dyDescent="0.25">
      <c r="G91" s="100" t="s">
        <v>569</v>
      </c>
      <c r="H91" s="101"/>
      <c r="I91" s="101"/>
      <c r="J91" s="101"/>
      <c r="K91" s="101"/>
      <c r="L91" s="102">
        <f t="shared" ref="L91:W91" si="28">L90/H90-1</f>
        <v>-0.2951721748191336</v>
      </c>
      <c r="M91" s="102">
        <f t="shared" si="28"/>
        <v>0.17035244572818353</v>
      </c>
      <c r="N91" s="102">
        <f t="shared" si="28"/>
        <v>5.196751167610425E-2</v>
      </c>
      <c r="O91" s="102">
        <f t="shared" si="28"/>
        <v>7.8593233954504793E-3</v>
      </c>
      <c r="P91" s="102">
        <f t="shared" si="28"/>
        <v>0.15568606944330909</v>
      </c>
      <c r="Q91" s="102">
        <f t="shared" si="28"/>
        <v>-1.8106297759860834E-2</v>
      </c>
      <c r="R91" s="102">
        <f t="shared" si="28"/>
        <v>5.8504245588474335E-2</v>
      </c>
      <c r="S91" s="102">
        <f t="shared" si="28"/>
        <v>1.8282763928859636E-2</v>
      </c>
      <c r="T91" s="102">
        <f t="shared" si="28"/>
        <v>7.6551753968397307E-2</v>
      </c>
      <c r="U91" s="102">
        <f t="shared" si="28"/>
        <v>-4.1606430897750069E-2</v>
      </c>
      <c r="V91" s="102">
        <f t="shared" si="28"/>
        <v>2.3458795113679987E-3</v>
      </c>
      <c r="W91" s="102">
        <f t="shared" si="28"/>
        <v>0.11615363566402714</v>
      </c>
      <c r="X91" s="102">
        <f t="shared" ref="X91:AJ91" si="29">X90/T90-1</f>
        <v>-0.12275698888598918</v>
      </c>
      <c r="Y91" s="102">
        <f t="shared" si="29"/>
        <v>7.5312543952976041E-2</v>
      </c>
      <c r="Z91" s="102">
        <f t="shared" si="29"/>
        <v>-0.14664567307304921</v>
      </c>
      <c r="AA91" s="102">
        <f t="shared" si="29"/>
        <v>-3.394039954713779E-2</v>
      </c>
      <c r="AB91" s="102">
        <f t="shared" si="29"/>
        <v>0.25149133092574694</v>
      </c>
      <c r="AC91" s="102">
        <f t="shared" si="29"/>
        <v>1.3324026757300489E-2</v>
      </c>
      <c r="AD91" s="102">
        <f t="shared" si="29"/>
        <v>0.20125986798495243</v>
      </c>
      <c r="AE91" s="102">
        <f t="shared" si="29"/>
        <v>-4.0764558175571675E-2</v>
      </c>
      <c r="AF91" s="102">
        <f t="shared" si="29"/>
        <v>0.12395627917404561</v>
      </c>
      <c r="AG91" s="102">
        <f t="shared" si="29"/>
        <v>1.3125278520259576E-2</v>
      </c>
      <c r="AH91" s="102">
        <f t="shared" si="29"/>
        <v>-2.9422662175046854E-2</v>
      </c>
      <c r="AI91" s="102">
        <f t="shared" si="29"/>
        <v>0.21501988420056484</v>
      </c>
      <c r="AJ91" s="102">
        <f t="shared" si="29"/>
        <v>-0.15591623303843283</v>
      </c>
      <c r="AK91" s="104">
        <f>'[1]Quarterly Work'!Q32+AK92</f>
        <v>-1.2340903594175612E-2</v>
      </c>
      <c r="AL91" s="104">
        <f>'[1]Quarterly Work'!Q33+AL92</f>
        <v>-6.9225767369487379E-3</v>
      </c>
      <c r="AM91" s="104">
        <f>'[1]Quarterly Work'!$Q34+AM92</f>
        <v>1.4161385426515238E-2</v>
      </c>
      <c r="AN91" s="104">
        <f>'[1]Quarterly Work'!$Q35+AN92</f>
        <v>-1.6317984094956772E-3</v>
      </c>
      <c r="AO91" s="104">
        <f>'[1]Quarterly Work'!$Q36+AO92</f>
        <v>-2.3441596637402418E-3</v>
      </c>
      <c r="AP91" s="104">
        <f>'[1]Quarterly Work'!$Q37+AP92</f>
        <v>-2.9912197622223857E-3</v>
      </c>
      <c r="AQ91" s="104">
        <f>'[1]Quarterly Work'!$Q38+AQ92</f>
        <v>-3.4472007141724825E-3</v>
      </c>
      <c r="AR91" s="104">
        <f>'[1]Quarterly Work'!$Q39+AR92</f>
        <v>1.9870094239468727E-2</v>
      </c>
      <c r="AS91" s="104">
        <f>'[1]Quarterly Work'!$Q40+AS92</f>
        <v>1.0523262735613326E-2</v>
      </c>
      <c r="AT91" s="104">
        <f>'[1]Quarterly Work'!$Q41+AT92</f>
        <v>1.1407835721526816E-2</v>
      </c>
      <c r="AU91" s="104">
        <f>'[1]Quarterly Work'!$Q42+AU92</f>
        <v>1.1060241192525133E-2</v>
      </c>
    </row>
    <row r="92" spans="7:47" x14ac:dyDescent="0.25">
      <c r="H92" s="9"/>
      <c r="I92" s="9"/>
      <c r="J92" s="9"/>
      <c r="K92" s="9"/>
      <c r="L92" s="9"/>
      <c r="M92" s="9"/>
      <c r="N92" s="9"/>
      <c r="O92" s="9"/>
      <c r="P92" s="9"/>
      <c r="Q92" s="9"/>
      <c r="R92" s="9"/>
      <c r="S92" s="9"/>
      <c r="T92" s="9"/>
      <c r="AE92" s="7"/>
      <c r="AF92" s="7"/>
      <c r="AG92" s="7"/>
      <c r="AH92" s="7"/>
      <c r="AK92" s="7"/>
      <c r="AL92" s="7">
        <f>+AK92</f>
        <v>0</v>
      </c>
      <c r="AM92" s="7">
        <f t="shared" ref="AM92:AU92" si="30">+AL92</f>
        <v>0</v>
      </c>
      <c r="AN92" s="7">
        <f t="shared" si="30"/>
        <v>0</v>
      </c>
      <c r="AO92" s="7">
        <f t="shared" si="30"/>
        <v>0</v>
      </c>
      <c r="AP92" s="7">
        <f t="shared" si="30"/>
        <v>0</v>
      </c>
      <c r="AQ92" s="7">
        <f t="shared" si="30"/>
        <v>0</v>
      </c>
      <c r="AR92" s="7">
        <f t="shared" si="30"/>
        <v>0</v>
      </c>
      <c r="AS92" s="7">
        <f t="shared" si="30"/>
        <v>0</v>
      </c>
      <c r="AT92" s="7">
        <f t="shared" si="30"/>
        <v>0</v>
      </c>
      <c r="AU92" s="7">
        <f t="shared" si="30"/>
        <v>0</v>
      </c>
    </row>
    <row r="93" spans="7:47" x14ac:dyDescent="0.25">
      <c r="G93" t="s">
        <v>819</v>
      </c>
      <c r="H93" s="9">
        <f t="shared" ref="H93:AJ93" si="31">H15</f>
        <v>7061</v>
      </c>
      <c r="I93" s="9">
        <f t="shared" si="31"/>
        <v>10979</v>
      </c>
      <c r="J93" s="9">
        <f t="shared" si="31"/>
        <v>15031</v>
      </c>
      <c r="K93" s="9">
        <f t="shared" si="31"/>
        <v>14084</v>
      </c>
      <c r="L93" s="9">
        <f t="shared" si="31"/>
        <v>14322</v>
      </c>
      <c r="M93" s="9">
        <f t="shared" si="31"/>
        <v>18144</v>
      </c>
      <c r="N93" s="9">
        <f t="shared" si="31"/>
        <v>24117</v>
      </c>
      <c r="O93" s="9">
        <f t="shared" si="31"/>
        <v>22967</v>
      </c>
      <c r="P93" s="9">
        <f t="shared" si="31"/>
        <v>18643</v>
      </c>
      <c r="Q93" s="9">
        <f t="shared" si="31"/>
        <v>26424</v>
      </c>
      <c r="R93" s="9">
        <f t="shared" si="31"/>
        <v>34852</v>
      </c>
      <c r="S93" s="9">
        <f t="shared" si="31"/>
        <v>43869</v>
      </c>
      <c r="T93" s="9">
        <f t="shared" si="31"/>
        <v>43384</v>
      </c>
      <c r="U93" s="9">
        <f t="shared" si="31"/>
        <v>54052</v>
      </c>
      <c r="V93" s="9">
        <f t="shared" si="31"/>
        <v>70193</v>
      </c>
      <c r="W93" s="9">
        <f t="shared" si="31"/>
        <v>69198</v>
      </c>
      <c r="X93" s="9">
        <f t="shared" si="31"/>
        <v>54300</v>
      </c>
      <c r="Y93" s="9">
        <f t="shared" si="31"/>
        <v>37633</v>
      </c>
      <c r="Z93" s="9">
        <f t="shared" si="31"/>
        <v>72090</v>
      </c>
      <c r="AA93" s="9">
        <f t="shared" si="31"/>
        <v>67128</v>
      </c>
      <c r="AB93" s="9">
        <f t="shared" si="31"/>
        <v>70162</v>
      </c>
      <c r="AC93" s="9">
        <f t="shared" si="31"/>
        <v>108611</v>
      </c>
      <c r="AD93" s="9">
        <f t="shared" si="31"/>
        <v>141880</v>
      </c>
      <c r="AE93" s="9">
        <f t="shared" si="31"/>
        <v>139929</v>
      </c>
      <c r="AF93" s="9">
        <f t="shared" si="31"/>
        <v>144219</v>
      </c>
      <c r="AG93" s="9">
        <f t="shared" si="31"/>
        <v>205827</v>
      </c>
      <c r="AH93" s="9">
        <f t="shared" si="31"/>
        <v>264249</v>
      </c>
      <c r="AI93" s="9">
        <f t="shared" si="31"/>
        <v>264419</v>
      </c>
      <c r="AJ93" s="9">
        <f t="shared" si="31"/>
        <v>241448</v>
      </c>
      <c r="AK93" s="149" cm="1">
        <f t="array" ref="AK93">TREND(AA93:AJ93,AA3:AJ3,AK3)+AK100</f>
        <v>284675.7697412502</v>
      </c>
      <c r="AL93" s="149" cm="1">
        <f t="array" ref="AL93">TREND(AB93:AK93,AB3:AK3,AL3)+AL100</f>
        <v>313573.89666098543</v>
      </c>
      <c r="AM93" s="149" cm="1">
        <f t="array" ref="AM93">TREND(AC93:AL93,AC3:AL3,AM3)+AM100</f>
        <v>344066.29765053838</v>
      </c>
      <c r="AN93" s="149" cm="1">
        <f t="array" ref="AN93">TREND(AD93:AM93,AD3:AM3,AN3)+AN100</f>
        <v>384756.24736894853</v>
      </c>
      <c r="AO93" s="149" cm="1">
        <f t="array" ref="AO93">TREND(AE93:AN93,AE3:AN3,AO3)+AO100</f>
        <v>423116.56348322704</v>
      </c>
      <c r="AP93" s="149" cm="1">
        <f t="array" ref="AP93">TREND(AF93:AO93,AF3:AO3,AP3)+AP100</f>
        <v>460076.54828202166</v>
      </c>
      <c r="AQ93" s="149" cm="1">
        <f t="array" ref="AQ93">TREND(AG93:AP93,AG3:AP3,AQ3)+AQ100</f>
        <v>500863.19996687025</v>
      </c>
      <c r="AR93" s="149" cm="1">
        <f t="array" ref="AR93">TREND(AH93:AQ93,AH3:AQ3,AR3)+AR100</f>
        <v>554348.91953502223</v>
      </c>
      <c r="AS93" s="149" cm="1">
        <f t="array" ref="AS93">TREND(AI93:AR93,AI3:AR3,AS3)+AS100</f>
        <v>614935.07345815748</v>
      </c>
      <c r="AT93" s="149" cm="1">
        <f t="array" ref="AT93">TREND(AJ93:AS93,AJ3:AS3,AT3)+AT100</f>
        <v>683837.09695736319</v>
      </c>
      <c r="AU93" s="149" cm="1">
        <f t="array" ref="AU93">TREND(AK93:AT93,AK3:AT3,AU3)+AU100</f>
        <v>748241.40614218265</v>
      </c>
    </row>
    <row r="94" spans="7:47" x14ac:dyDescent="0.25">
      <c r="G94" t="s">
        <v>561</v>
      </c>
      <c r="H94" s="9">
        <f>'Electric Vehicles'!$B$95*(3.6/116.09)*(H93/SUM($H93:$K93))</f>
        <v>191567.53531276336</v>
      </c>
      <c r="I94" s="9">
        <f>'Electric Vehicles'!$B$95*(3.6/116.09)*(I93/SUM($H93:$K93))</f>
        <v>297864.32094587578</v>
      </c>
      <c r="J94" s="9">
        <f>'Electric Vehicles'!$B$95*(3.6/116.09)*(J93/SUM($H93:$K93))</f>
        <v>407796.57602126413</v>
      </c>
      <c r="K94" s="9">
        <f>'Electric Vehicles'!$B$95*(3.6/116.09)*(K93/SUM($H93:$K93))</f>
        <v>382104.11660458281</v>
      </c>
      <c r="L94" s="9">
        <f>'Electric Vehicles'!$B96*(3.6/116.09)*(L93/SUM($L93:$O93))</f>
        <v>281507.37611096178</v>
      </c>
      <c r="M94" s="9">
        <f>'Electric Vehicles'!$B96*(3.6/116.09)*(M93/SUM($L93:$O93))</f>
        <v>356631.04539570527</v>
      </c>
      <c r="N94" s="9">
        <f>'Electric Vehicles'!$B96*(3.6/116.09)*(N93/SUM($L93:$O93))</f>
        <v>474033.89119313407</v>
      </c>
      <c r="O94" s="9">
        <f>'Electric Vehicles'!$B96*(3.6/116.09)*(O93/SUM($L93:$O93))</f>
        <v>451429.96139788156</v>
      </c>
      <c r="P94" s="9">
        <f>'Electric Vehicles'!$B97*(3.6/116.09)*(P93/SUM($P93:$S93))</f>
        <v>318047.5502671334</v>
      </c>
      <c r="Q94" s="9">
        <f>'Electric Vehicles'!$B97*(3.6/116.09)*(Q93/SUM($P93:$S93))</f>
        <v>450790.5631206744</v>
      </c>
      <c r="R94" s="9">
        <f>'Electric Vehicles'!$B97*(3.6/116.09)*(R93/SUM($P93:$S93))</f>
        <v>594571.32553291484</v>
      </c>
      <c r="S94" s="9">
        <f>'Electric Vehicles'!$B97*(3.6/116.09)*(S93/SUM($P93:$S93))</f>
        <v>748400.36381853104</v>
      </c>
      <c r="T94" s="9">
        <f>'Electric Vehicles'!$B98*(3.6/118.383)*(T93/SUM($T93:$W93))</f>
        <v>483822.83333091799</v>
      </c>
      <c r="U94" s="9">
        <f>'Electric Vehicles'!$B98*(3.6/118.383)*(U93/SUM($T93:$W93))</f>
        <v>602793.46734286321</v>
      </c>
      <c r="V94" s="9">
        <f>'Electric Vehicles'!$B98*(3.6/118.383)*(V93/SUM($T93:$W93))</f>
        <v>782799.5606674609</v>
      </c>
      <c r="W94" s="9">
        <f>'Electric Vehicles'!$B98*(3.6/118.383)*(W93/SUM($T93:$W93))</f>
        <v>771703.21825633547</v>
      </c>
      <c r="X94" s="9">
        <f>'Electric Vehicles'!$B99*(3.6/122.48)*(X93/SUM($X93:$AA93))</f>
        <v>808474.95238599239</v>
      </c>
      <c r="Y94" s="9">
        <f>'Electric Vehicles'!$B99*(3.6/122.48)*(Y93/SUM($X93:$AA93))</f>
        <v>560319.29803208204</v>
      </c>
      <c r="Z94" s="9">
        <f>'Electric Vehicles'!$B99*(3.6/122.48)*(Z93/SUM($X93:$AA93))</f>
        <v>1073351.0003223976</v>
      </c>
      <c r="AA94" s="9">
        <f>'Electric Vehicles'!$B99*(3.6/122.48)*(AA93/SUM($X93:$AA93))</f>
        <v>999471.57649662788</v>
      </c>
      <c r="AB94" s="9">
        <f>'Electric Vehicles'!$B100*(3.6/122.48)*(AB93/SUM($AB93:$AE93))</f>
        <v>640259.62228773115</v>
      </c>
      <c r="AC94" s="9">
        <f>'Electric Vehicles'!$B100*(3.6/122.48)*(AC93/SUM($AB93:$AE93))</f>
        <v>991123.93940156733</v>
      </c>
      <c r="AD94" s="9">
        <f>'Electric Vehicles'!$B100*(3.6/122.48)*(AD93/SUM($AB93:$AE93))</f>
        <v>1294718.4403264343</v>
      </c>
      <c r="AE94" s="9">
        <f>'Electric Vehicles'!$B100*(3.6/122.48)*(AE93/SUM($AB93:$AE93))</f>
        <v>1276914.6929548748</v>
      </c>
      <c r="AF94" s="9">
        <f>'Electric Vehicles'!$B101*(3.6/122.48)*(AF93/SUM($AF93:$AI93))</f>
        <v>989501.94662357552</v>
      </c>
      <c r="AG94" s="9">
        <f>'Electric Vehicles'!$B101*(3.6/122.48)*(AG93/SUM($AF93:$AI93))</f>
        <v>1412201.0079649056</v>
      </c>
      <c r="AH94" s="9">
        <f>'Electric Vehicles'!$B101*(3.6/122.48)*(AH93/SUM($AF93:$AI93))</f>
        <v>1813040.5833720469</v>
      </c>
      <c r="AI94" s="9">
        <f>'Electric Vehicles'!$B101*(3.6/122.48)*(AI93/SUM($AF93:$AI93))</f>
        <v>1814206.9715104061</v>
      </c>
      <c r="AJ94" s="150">
        <f>'Electric Vehicles'!$H$44*KWh_T1*(ED_eon_T1/ED_gas_T1)/4</f>
        <v>1545219.5158393206</v>
      </c>
      <c r="AK94" s="150">
        <f>'Electric Vehicles'!$H$45*KWh_T1*(ED_eon_T1/ED_gas_T1)/4</f>
        <v>1672906.6484323971</v>
      </c>
      <c r="AL94" s="150">
        <f>'Electric Vehicles'!$H$46*KWh_T1*(ED_eon_T1/ED_gas_T1)/4</f>
        <v>1801802.2485303723</v>
      </c>
      <c r="AM94" s="150">
        <f>'Electric Vehicles'!$H$47*KWh_T1*(ED_eon_T1/ED_gas_T1)/4</f>
        <v>1928098.5034291313</v>
      </c>
      <c r="AN94" s="150">
        <f>'Electric Vehicles'!$H$48*KWh_T0*(ED_eon_T0/ED_gas_T0)/4</f>
        <v>2109756.2508164598</v>
      </c>
      <c r="AO94" s="150">
        <f>'Electric Vehicles'!$H$49*KWh_T0*(ED_eon_T0/ED_gas_T0)/4</f>
        <v>2280309.777922926</v>
      </c>
      <c r="AP94" s="150">
        <f>'Electric Vehicles'!$H$50*KWh_T0*(ED_eon_T0/ED_gas_T0)/4</f>
        <v>2450293.273187459</v>
      </c>
      <c r="AQ94" s="150">
        <f>'Electric Vehicles'!$H$51*KWh_T0*(ED_eon_T0/ED_gas_T0)/4</f>
        <v>2612341.9252122794</v>
      </c>
      <c r="AR94" s="150">
        <f>'Electric Vehicles'!$H$52*KWh_T0*(ED_eon_T0/ED_gas_T0)/4</f>
        <v>2840787.8861854998</v>
      </c>
      <c r="AS94" s="150">
        <f>'Electric Vehicles'!$H$53*KWh_T0*(ED_eon_T0/ED_gas_T0)/4</f>
        <v>3047002.6053233179</v>
      </c>
      <c r="AT94" s="150">
        <f>'Electric Vehicles'!$H$54*KWh_T0*(ED_eon_T0/ED_gas_T0)/4</f>
        <v>3259328.0658066622</v>
      </c>
      <c r="AU94" s="150">
        <f>'Electric Vehicles'!$H$55*KWh_T0*(ED_eon_T0/ED_gas_T0)/4</f>
        <v>3469236.5912802089</v>
      </c>
    </row>
    <row r="95" spans="7:47" x14ac:dyDescent="0.25">
      <c r="G95" s="17" t="s">
        <v>563</v>
      </c>
      <c r="H95" s="53">
        <f>H94/H96</f>
        <v>0.96445123059040005</v>
      </c>
      <c r="I95" s="53">
        <f t="shared" ref="I95:AU95" si="32">I94/I96</f>
        <v>0.96445123059040005</v>
      </c>
      <c r="J95" s="53">
        <f t="shared" si="32"/>
        <v>0.96445123059040005</v>
      </c>
      <c r="K95" s="53">
        <f t="shared" si="32"/>
        <v>0.96445123059040005</v>
      </c>
      <c r="L95" s="53">
        <f t="shared" si="32"/>
        <v>0.95158695803547244</v>
      </c>
      <c r="M95" s="53">
        <f t="shared" si="32"/>
        <v>0.95158695803547244</v>
      </c>
      <c r="N95" s="53">
        <f t="shared" si="32"/>
        <v>0.95158695803547244</v>
      </c>
      <c r="O95" s="53">
        <f t="shared" si="32"/>
        <v>0.95158695803547244</v>
      </c>
      <c r="P95" s="53">
        <f t="shared" si="32"/>
        <v>0.94462868059347527</v>
      </c>
      <c r="Q95" s="53">
        <f t="shared" si="32"/>
        <v>0.94462868059347527</v>
      </c>
      <c r="R95" s="53">
        <f t="shared" si="32"/>
        <v>0.94462868059347527</v>
      </c>
      <c r="S95" s="53">
        <f t="shared" si="32"/>
        <v>0.94462868059347527</v>
      </c>
      <c r="T95" s="53">
        <f t="shared" si="32"/>
        <v>0.91770971607879626</v>
      </c>
      <c r="U95" s="53">
        <f t="shared" si="32"/>
        <v>0.91770971607879626</v>
      </c>
      <c r="V95" s="53">
        <f t="shared" si="32"/>
        <v>0.91770971607879626</v>
      </c>
      <c r="W95" s="53">
        <f t="shared" si="32"/>
        <v>0.91770971607879626</v>
      </c>
      <c r="X95" s="53">
        <f t="shared" si="32"/>
        <v>0.93706354148340298</v>
      </c>
      <c r="Y95" s="53">
        <f t="shared" si="32"/>
        <v>0.93706354148340298</v>
      </c>
      <c r="Z95" s="53">
        <f t="shared" si="32"/>
        <v>0.93706354148340298</v>
      </c>
      <c r="AA95" s="53">
        <f t="shared" si="32"/>
        <v>0.93706354148340298</v>
      </c>
      <c r="AB95" s="53">
        <f t="shared" si="32"/>
        <v>0.90123892939229355</v>
      </c>
      <c r="AC95" s="53">
        <f t="shared" si="32"/>
        <v>0.90123892939229344</v>
      </c>
      <c r="AD95" s="53">
        <f t="shared" si="32"/>
        <v>0.90123892939229355</v>
      </c>
      <c r="AE95" s="53">
        <f t="shared" si="32"/>
        <v>0.90123892939229355</v>
      </c>
      <c r="AF95" s="53">
        <f t="shared" si="32"/>
        <v>0.87279144799299158</v>
      </c>
      <c r="AG95" s="53">
        <f t="shared" si="32"/>
        <v>0.87279144799299158</v>
      </c>
      <c r="AH95" s="53">
        <f t="shared" si="32"/>
        <v>0.87279144799299158</v>
      </c>
      <c r="AI95" s="53">
        <f t="shared" si="32"/>
        <v>0.87279144799299158</v>
      </c>
      <c r="AJ95" s="53">
        <f t="shared" si="32"/>
        <v>0.8648612582590246</v>
      </c>
      <c r="AK95" s="53">
        <f t="shared" si="32"/>
        <v>0.85457788796098699</v>
      </c>
      <c r="AL95" s="53">
        <f t="shared" si="32"/>
        <v>0.8517644734843981</v>
      </c>
      <c r="AM95" s="53">
        <f t="shared" si="32"/>
        <v>0.84857335282764357</v>
      </c>
      <c r="AN95" s="53">
        <f t="shared" si="32"/>
        <v>0.84575894181775679</v>
      </c>
      <c r="AO95" s="53">
        <f t="shared" si="32"/>
        <v>0.84348877681529566</v>
      </c>
      <c r="AP95" s="53">
        <f t="shared" si="32"/>
        <v>0.84191818342532032</v>
      </c>
      <c r="AQ95" s="53">
        <f t="shared" si="32"/>
        <v>0.8391165439386048</v>
      </c>
      <c r="AR95" s="53">
        <f t="shared" si="32"/>
        <v>0.83672265618251651</v>
      </c>
      <c r="AS95" s="53">
        <f t="shared" si="32"/>
        <v>0.83207385613870422</v>
      </c>
      <c r="AT95" s="53">
        <f t="shared" si="32"/>
        <v>0.82657660312711412</v>
      </c>
      <c r="AU95" s="53">
        <f t="shared" si="32"/>
        <v>0.82258558157280548</v>
      </c>
    </row>
    <row r="96" spans="7:47" ht="15.75" thickBot="1" x14ac:dyDescent="0.3">
      <c r="G96" s="23" t="s">
        <v>562</v>
      </c>
      <c r="H96" s="54">
        <f t="shared" ref="H96:U96" si="33">SUM(H93:H94)</f>
        <v>198628.53531276336</v>
      </c>
      <c r="I96" s="54">
        <f t="shared" si="33"/>
        <v>308843.32094587578</v>
      </c>
      <c r="J96" s="54">
        <f t="shared" si="33"/>
        <v>422827.57602126413</v>
      </c>
      <c r="K96" s="54">
        <f t="shared" si="33"/>
        <v>396188.11660458281</v>
      </c>
      <c r="L96" s="54">
        <f t="shared" si="33"/>
        <v>295829.37611096178</v>
      </c>
      <c r="M96" s="54">
        <f t="shared" si="33"/>
        <v>374775.04539570527</v>
      </c>
      <c r="N96" s="54">
        <f t="shared" si="33"/>
        <v>498150.89119313407</v>
      </c>
      <c r="O96" s="54">
        <f t="shared" si="33"/>
        <v>474396.96139788156</v>
      </c>
      <c r="P96" s="54">
        <f t="shared" si="33"/>
        <v>336690.5502671334</v>
      </c>
      <c r="Q96" s="54">
        <f t="shared" si="33"/>
        <v>477214.5631206744</v>
      </c>
      <c r="R96" s="54">
        <f t="shared" si="33"/>
        <v>629423.32553291484</v>
      </c>
      <c r="S96" s="54">
        <f t="shared" si="33"/>
        <v>792269.36381853104</v>
      </c>
      <c r="T96" s="54">
        <f>SUM(T93:T94)</f>
        <v>527206.83333091799</v>
      </c>
      <c r="U96" s="54">
        <f t="shared" si="33"/>
        <v>656845.46734286321</v>
      </c>
      <c r="V96" s="54">
        <f t="shared" ref="V96:AU96" si="34">SUM(V93:V94)</f>
        <v>852992.5606674609</v>
      </c>
      <c r="W96" s="54">
        <f t="shared" si="34"/>
        <v>840901.21825633547</v>
      </c>
      <c r="X96" s="54">
        <f t="shared" si="34"/>
        <v>862774.95238599239</v>
      </c>
      <c r="Y96" s="54">
        <f t="shared" si="34"/>
        <v>597952.29803208204</v>
      </c>
      <c r="Z96" s="54">
        <f t="shared" si="34"/>
        <v>1145441.0003223976</v>
      </c>
      <c r="AA96" s="54">
        <f t="shared" si="34"/>
        <v>1066599.5764966279</v>
      </c>
      <c r="AB96" s="54">
        <f t="shared" si="34"/>
        <v>710421.62228773115</v>
      </c>
      <c r="AC96" s="54">
        <f t="shared" si="34"/>
        <v>1099734.9394015674</v>
      </c>
      <c r="AD96" s="54">
        <f t="shared" si="34"/>
        <v>1436598.4403264343</v>
      </c>
      <c r="AE96" s="54">
        <f t="shared" si="34"/>
        <v>1416843.6929548748</v>
      </c>
      <c r="AF96" s="54">
        <f t="shared" si="34"/>
        <v>1133720.9466235754</v>
      </c>
      <c r="AG96" s="54">
        <f t="shared" si="34"/>
        <v>1618028.0079649056</v>
      </c>
      <c r="AH96" s="54">
        <f t="shared" si="34"/>
        <v>2077289.5833720469</v>
      </c>
      <c r="AI96" s="54">
        <f t="shared" si="34"/>
        <v>2078625.9715104061</v>
      </c>
      <c r="AJ96" s="54">
        <f t="shared" si="34"/>
        <v>1786667.5158393206</v>
      </c>
      <c r="AK96" s="54">
        <f t="shared" si="34"/>
        <v>1957582.4181736473</v>
      </c>
      <c r="AL96" s="54">
        <f t="shared" si="34"/>
        <v>2115376.1451913575</v>
      </c>
      <c r="AM96" s="54">
        <f t="shared" si="34"/>
        <v>2272164.80107967</v>
      </c>
      <c r="AN96" s="54">
        <f t="shared" si="34"/>
        <v>2494512.4981854083</v>
      </c>
      <c r="AO96" s="54">
        <f t="shared" si="34"/>
        <v>2703426.341406153</v>
      </c>
      <c r="AP96" s="54">
        <f t="shared" si="34"/>
        <v>2910369.8214694806</v>
      </c>
      <c r="AQ96" s="54">
        <f t="shared" si="34"/>
        <v>3113205.1251791497</v>
      </c>
      <c r="AR96" s="54">
        <f t="shared" si="34"/>
        <v>3395136.8057205221</v>
      </c>
      <c r="AS96" s="54">
        <f t="shared" si="34"/>
        <v>3661937.6787814754</v>
      </c>
      <c r="AT96" s="54">
        <f t="shared" si="34"/>
        <v>3943165.1627640254</v>
      </c>
      <c r="AU96" s="54">
        <f t="shared" si="34"/>
        <v>4217477.9974223915</v>
      </c>
    </row>
    <row r="97" spans="7:47" x14ac:dyDescent="0.25">
      <c r="G97" s="100" t="s">
        <v>569</v>
      </c>
      <c r="H97" s="101"/>
      <c r="I97" s="101"/>
      <c r="J97" s="101"/>
      <c r="K97" s="101"/>
      <c r="L97" s="102">
        <f t="shared" ref="L97:AE97" si="35">L96/H96-1</f>
        <v>0.4893599031234086</v>
      </c>
      <c r="M97" s="102">
        <f t="shared" si="35"/>
        <v>0.21347952174553875</v>
      </c>
      <c r="N97" s="102">
        <f t="shared" si="35"/>
        <v>0.17814191751789132</v>
      </c>
      <c r="O97" s="102">
        <f t="shared" si="35"/>
        <v>0.19740330796280658</v>
      </c>
      <c r="P97" s="102">
        <f t="shared" si="35"/>
        <v>0.13812412645877714</v>
      </c>
      <c r="Q97" s="102">
        <f t="shared" si="35"/>
        <v>0.27333601578730682</v>
      </c>
      <c r="R97" s="102">
        <f t="shared" si="35"/>
        <v>0.2635194208432845</v>
      </c>
      <c r="S97" s="102">
        <f t="shared" si="35"/>
        <v>0.67005573029808407</v>
      </c>
      <c r="T97" s="102">
        <f t="shared" si="35"/>
        <v>0.5658498075239331</v>
      </c>
      <c r="U97" s="102">
        <f t="shared" si="35"/>
        <v>0.37641538650354445</v>
      </c>
      <c r="V97" s="102">
        <f t="shared" si="35"/>
        <v>0.35519693355065352</v>
      </c>
      <c r="W97" s="102">
        <f t="shared" si="35"/>
        <v>6.1382979903970458E-2</v>
      </c>
      <c r="X97" s="102">
        <f t="shared" si="35"/>
        <v>0.63650183920215708</v>
      </c>
      <c r="Y97" s="102">
        <f t="shared" si="35"/>
        <v>-8.9660616140081917E-2</v>
      </c>
      <c r="Z97" s="102">
        <f t="shared" si="35"/>
        <v>0.34284992992916341</v>
      </c>
      <c r="AA97" s="102">
        <f t="shared" si="35"/>
        <v>0.26840056042289118</v>
      </c>
      <c r="AB97" s="102">
        <f t="shared" si="35"/>
        <v>-0.17658524934796749</v>
      </c>
      <c r="AC97" s="102">
        <f t="shared" si="35"/>
        <v>0.8391683467408686</v>
      </c>
      <c r="AD97" s="102">
        <f t="shared" si="35"/>
        <v>0.25418807247347286</v>
      </c>
      <c r="AE97" s="102">
        <f t="shared" si="35"/>
        <v>0.32837451296264808</v>
      </c>
      <c r="AF97" s="102">
        <f t="shared" ref="AF97:AM97" si="36">AF96/AB96-1</f>
        <v>0.59584239985927945</v>
      </c>
      <c r="AG97" s="102">
        <f t="shared" si="36"/>
        <v>0.47128908066281205</v>
      </c>
      <c r="AH97" s="102">
        <f t="shared" si="36"/>
        <v>0.44597789128883503</v>
      </c>
      <c r="AI97" s="102">
        <f t="shared" si="36"/>
        <v>0.46708206547142983</v>
      </c>
      <c r="AJ97" s="102">
        <f t="shared" si="36"/>
        <v>0.57593235016106692</v>
      </c>
      <c r="AK97" s="102">
        <f t="shared" si="36"/>
        <v>0.20985694223910278</v>
      </c>
      <c r="AL97" s="102">
        <f t="shared" si="36"/>
        <v>1.8334738750042323E-2</v>
      </c>
      <c r="AM97" s="102">
        <f t="shared" si="36"/>
        <v>9.310902116200892E-2</v>
      </c>
      <c r="AN97" s="102">
        <f t="shared" ref="AN97:AU97" si="37">AN96/AJ96-1</f>
        <v>0.39618170480564441</v>
      </c>
      <c r="AO97" s="102">
        <f t="shared" si="37"/>
        <v>0.38100256536240806</v>
      </c>
      <c r="AP97" s="102">
        <f t="shared" si="37"/>
        <v>0.37581669722677513</v>
      </c>
      <c r="AQ97" s="102">
        <f t="shared" si="37"/>
        <v>0.37014934995025039</v>
      </c>
      <c r="AR97" s="102">
        <f t="shared" si="37"/>
        <v>0.3610422109290925</v>
      </c>
      <c r="AS97" s="102">
        <f t="shared" si="37"/>
        <v>0.3545542642292836</v>
      </c>
      <c r="AT97" s="102">
        <f t="shared" si="37"/>
        <v>0.35486738959280228</v>
      </c>
      <c r="AU97" s="102">
        <f t="shared" si="37"/>
        <v>0.35470610764194221</v>
      </c>
    </row>
    <row r="98" spans="7:47" x14ac:dyDescent="0.25">
      <c r="H98" s="9"/>
      <c r="I98" s="9"/>
      <c r="J98" s="9"/>
      <c r="K98" s="9"/>
      <c r="L98" s="9"/>
      <c r="M98" s="9"/>
      <c r="N98" s="9"/>
      <c r="O98" s="9"/>
      <c r="P98" s="9"/>
      <c r="Q98" s="9"/>
      <c r="R98" s="9"/>
      <c r="S98" s="9"/>
      <c r="T98" s="9"/>
      <c r="U98" s="9"/>
      <c r="V98" s="9"/>
      <c r="W98" s="9"/>
      <c r="X98" s="9"/>
      <c r="Y98" s="9"/>
      <c r="Z98" s="9"/>
      <c r="AA98" s="9"/>
      <c r="AB98" s="9"/>
      <c r="AC98" s="9"/>
      <c r="AD98" s="9"/>
      <c r="AE98" s="9"/>
      <c r="AJ98" s="9"/>
      <c r="AK98" s="9"/>
      <c r="AL98" s="9"/>
      <c r="AM98" s="9"/>
      <c r="AN98" s="9"/>
      <c r="AO98" s="9"/>
      <c r="AP98" s="9"/>
      <c r="AQ98" s="9"/>
      <c r="AR98" s="9"/>
      <c r="AS98" s="9"/>
      <c r="AT98" s="9"/>
      <c r="AU98" s="9"/>
    </row>
    <row r="99" spans="7:47" x14ac:dyDescent="0.25">
      <c r="G99" t="s">
        <v>788</v>
      </c>
      <c r="H99" s="9">
        <f>+H93*'Constants Pivot'!$N6/'Constants Pivot'!$N12/'Electric Vehicles'!$H16</f>
        <v>22.384745980250795</v>
      </c>
      <c r="I99" s="9">
        <f>+I93*'Constants Pivot'!$N6/'Constants Pivot'!$N12/'Electric Vehicles'!$H17</f>
        <v>31.832606795340567</v>
      </c>
      <c r="J99" s="9">
        <f>+J93*'Constants Pivot'!$N6/'Constants Pivot'!$N12/'Electric Vehicles'!$H18</f>
        <v>40.201376563176758</v>
      </c>
      <c r="K99" s="9">
        <f>+K93*'Constants Pivot'!$N6/'Constants Pivot'!$N12/'Electric Vehicles'!$H19</f>
        <v>34.487803005374573</v>
      </c>
      <c r="L99" s="9">
        <f>+L93*'Constants Pivot'!$N6/'Constants Pivot'!$N12/'Electric Vehicles'!$H20</f>
        <v>32.253978397001653</v>
      </c>
      <c r="M99" s="9">
        <f>+M93*'Constants Pivot'!$N6/'Constants Pivot'!$N12/'Electric Vehicles'!$H21</f>
        <v>37.948735244519391</v>
      </c>
      <c r="N99" s="9">
        <f>+N93*'Constants Pivot'!$N6/'Constants Pivot'!$N12/'Electric Vehicles'!$H22</f>
        <v>47.638974476773868</v>
      </c>
      <c r="O99" s="9">
        <f>+O93*'Constants Pivot'!$N6/'Constants Pivot'!$N12/'Electric Vehicles'!$H23</f>
        <v>42.778371904220975</v>
      </c>
      <c r="P99" s="9">
        <f>+P93*'Constants Pivot'!$N6/'Constants Pivot'!$N12/'Electric Vehicles'!$H24</f>
        <v>32.565135360429494</v>
      </c>
      <c r="Q99" s="9">
        <f>+Q93*'Constants Pivot'!$N6/'Constants Pivot'!$N12/'Electric Vehicles'!$H25</f>
        <v>43.390396170689478</v>
      </c>
      <c r="R99" s="9">
        <f>+R93*'Constants Pivot'!$N6/'Constants Pivot'!$N12/'Electric Vehicles'!$H26</f>
        <v>53.859212579138777</v>
      </c>
      <c r="S99" s="9">
        <f>+S93*'Constants Pivot'!$N6/'Constants Pivot'!$N12/'Electric Vehicles'!$H27</f>
        <v>61.918562247413952</v>
      </c>
      <c r="T99" s="9">
        <f>+T93*'Constants Pivot'!$M6/'Constants Pivot'!$M12/'Electric Vehicles'!$H28</f>
        <v>57.649278161662686</v>
      </c>
      <c r="U99" s="9">
        <f>+U93*'Constants Pivot'!$M6/'Constants Pivot'!$M12/'Electric Vehicles'!$H29</f>
        <v>67.545315472797512</v>
      </c>
      <c r="V99" s="9">
        <f>+V93*'Constants Pivot'!$M6/'Constants Pivot'!$M12/'Electric Vehicles'!$H30</f>
        <v>81.204514013485777</v>
      </c>
      <c r="W99" s="9">
        <f>+W93*'Constants Pivot'!$M6/'Constants Pivot'!$M12/'Electric Vehicles'!$H31</f>
        <v>75.24365336287282</v>
      </c>
      <c r="X99" s="9">
        <f>+X93*'Constants Pivot'!$K6/'Constants Pivot'!$K12/'Electric Vehicles'!$H32</f>
        <v>57.319474609576993</v>
      </c>
      <c r="Y99" s="9">
        <f>+Y93*'Constants Pivot'!$K6/'Constants Pivot'!$K12/'Electric Vehicles'!$H33</f>
        <v>39.300110159577912</v>
      </c>
      <c r="Z99" s="9">
        <f>+Z93*'Constants Pivot'!$K6/'Constants Pivot'!$K12/'Electric Vehicles'!$H34</f>
        <v>72.667160464565072</v>
      </c>
      <c r="AA99" s="9">
        <f>+AA93*'Constants Pivot'!$K6/'Constants Pivot'!$K12/'Electric Vehicles'!$H35</f>
        <v>63.910556410615179</v>
      </c>
      <c r="AB99" s="9">
        <f>+AB93*'Constants Pivot'!$I6/'Constants Pivot'!$I12/'Electric Vehicles'!$H36</f>
        <v>62.970010434619489</v>
      </c>
      <c r="AC99" s="9">
        <f>+AC93*'Constants Pivot'!$I6/'Constants Pivot'!$I12/'Electric Vehicles'!$H37</f>
        <v>91.685174249504442</v>
      </c>
      <c r="AD99" s="9">
        <f>+AD93*'Constants Pivot'!$I6/'Constants Pivot'!$I12/'Electric Vehicles'!$H38</f>
        <v>110.59346321371203</v>
      </c>
      <c r="AE99" s="9">
        <f>+AE93*'Constants Pivot'!$I6/'Constants Pivot'!$I12/'Electric Vehicles'!$H39</f>
        <v>100.9541644577334</v>
      </c>
      <c r="AF99" s="9">
        <f>+AF93*'Constants Pivot'!$G6/'Constants Pivot'!$G12/'Electric Vehicles'!$H40</f>
        <v>98.046736205472527</v>
      </c>
      <c r="AG99" s="9">
        <f>+AG93*'Constants Pivot'!$G6/'Constants Pivot'!$G12/'Electric Vehicles'!$H41</f>
        <v>131.70629376767164</v>
      </c>
      <c r="AH99" s="9">
        <f>+AH93*'Constants Pivot'!$G6/'Constants Pivot'!$G12/'Electric Vehicles'!$H42</f>
        <v>155.69302784704902</v>
      </c>
      <c r="AI99" s="9">
        <f>+AI93*'Constants Pivot'!$G6/'Constants Pivot'!$G12/'Electric Vehicles'!$H43</f>
        <v>143.86429312636375</v>
      </c>
      <c r="AJ99" s="9">
        <f>+AJ93*'Constants Pivot'!$E6/'Constants Pivot'!$E12/'Electric Vehicles'!$H44</f>
        <v>121.21467796649073</v>
      </c>
      <c r="AK99" s="9">
        <f>+AK93*'Constants Pivot'!$E6/'Constants Pivot'!$E12/'Electric Vehicles'!$H45</f>
        <v>132.00810014337088</v>
      </c>
      <c r="AL99" s="9">
        <f>+AL93*'Constants Pivot'!$E6/'Constants Pivot'!$E12/'Electric Vehicles'!$H46</f>
        <v>135.00646396305072</v>
      </c>
      <c r="AM99" s="9">
        <f>+AM93*'Constants Pivot'!$E6/'Constants Pivot'!$E12/'Electric Vehicles'!$H47</f>
        <v>138.43142864729452</v>
      </c>
      <c r="AN99" s="9">
        <f>+AN93*'Constants Pivot'!$C6/'Constants Pivot'!$C12/'Electric Vehicles'!$H48</f>
        <v>141.47352746600674</v>
      </c>
      <c r="AO99" s="9">
        <f>+AO93*'Constants Pivot'!$C6/'Constants Pivot'!$C12/'Electric Vehicles'!$H49</f>
        <v>143.94214211592421</v>
      </c>
      <c r="AP99" s="9">
        <f>+AP93*'Constants Pivot'!$C6/'Constants Pivot'!$C12/'Electric Vehicles'!$H50</f>
        <v>145.65782236568765</v>
      </c>
      <c r="AQ99" s="9">
        <f>+AQ93*'Constants Pivot'!$C6/'Constants Pivot'!$C12/'Electric Vehicles'!$H51</f>
        <v>148.73421569526218</v>
      </c>
      <c r="AR99" s="9">
        <f>+AR93*'Constants Pivot'!$C6/'Constants Pivot'!$C12/'Electric Vehicles'!$H52</f>
        <v>151.37919181524302</v>
      </c>
      <c r="AS99" s="9">
        <f>+AS93*'Constants Pivot'!$C6/'Constants Pivot'!$C12/'Electric Vehicles'!$H53</f>
        <v>156.55906640898564</v>
      </c>
      <c r="AT99" s="9">
        <f>+AT93*'Constants Pivot'!$C6/'Constants Pivot'!$C12/'Electric Vehicles'!$H54</f>
        <v>162.75950663879627</v>
      </c>
      <c r="AU99" s="9">
        <f>+AU93*'Constants Pivot'!$C6/'Constants Pivot'!$C12/'Electric Vehicles'!$H55</f>
        <v>167.31296800965731</v>
      </c>
    </row>
    <row r="100" spans="7:47" x14ac:dyDescent="0.25">
      <c r="G100" s="134" t="s">
        <v>818</v>
      </c>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149">
        <v>-10000</v>
      </c>
      <c r="AL100" s="149">
        <v>-3000</v>
      </c>
      <c r="AM100" s="149">
        <v>7500</v>
      </c>
      <c r="AN100" s="149">
        <v>22000</v>
      </c>
      <c r="AO100" s="149">
        <v>25000</v>
      </c>
      <c r="AP100" s="149">
        <v>28000</v>
      </c>
      <c r="AQ100" s="149">
        <v>37500</v>
      </c>
      <c r="AR100" s="149">
        <v>48000</v>
      </c>
      <c r="AS100" s="149">
        <v>49000</v>
      </c>
      <c r="AT100" s="149">
        <v>53000</v>
      </c>
      <c r="AU100" s="149">
        <v>54000</v>
      </c>
    </row>
    <row r="101" spans="7:47" ht="15.75" thickBot="1" x14ac:dyDescent="0.3">
      <c r="G101" s="23" t="s">
        <v>580</v>
      </c>
      <c r="H101" s="54">
        <f t="shared" ref="H101:AC101" si="38">H14</f>
        <v>0</v>
      </c>
      <c r="I101" s="54">
        <f t="shared" si="38"/>
        <v>0</v>
      </c>
      <c r="J101" s="54">
        <f t="shared" si="38"/>
        <v>0</v>
      </c>
      <c r="K101" s="54">
        <f t="shared" si="38"/>
        <v>0</v>
      </c>
      <c r="L101" s="54">
        <f t="shared" si="38"/>
        <v>0</v>
      </c>
      <c r="M101" s="54">
        <f t="shared" si="38"/>
        <v>0</v>
      </c>
      <c r="N101" s="54">
        <f t="shared" si="38"/>
        <v>0</v>
      </c>
      <c r="O101" s="54">
        <f t="shared" si="38"/>
        <v>0</v>
      </c>
      <c r="P101" s="54">
        <f t="shared" si="38"/>
        <v>431079</v>
      </c>
      <c r="Q101" s="54">
        <f t="shared" si="38"/>
        <v>422832</v>
      </c>
      <c r="R101" s="54">
        <f t="shared" si="38"/>
        <v>440204</v>
      </c>
      <c r="S101" s="54">
        <f t="shared" si="38"/>
        <v>433671</v>
      </c>
      <c r="T101" s="54">
        <f t="shared" si="38"/>
        <v>477625</v>
      </c>
      <c r="U101" s="54">
        <f t="shared" si="38"/>
        <v>490452</v>
      </c>
      <c r="V101" s="54">
        <f t="shared" si="38"/>
        <v>605468</v>
      </c>
      <c r="W101" s="54">
        <f t="shared" si="38"/>
        <v>647037</v>
      </c>
      <c r="X101" s="54">
        <f t="shared" si="38"/>
        <v>690933</v>
      </c>
      <c r="Y101" s="54">
        <f t="shared" si="38"/>
        <v>710134</v>
      </c>
      <c r="Z101" s="54">
        <f t="shared" si="38"/>
        <v>871512</v>
      </c>
      <c r="AA101" s="54">
        <f t="shared" si="38"/>
        <v>961477</v>
      </c>
      <c r="AB101" s="54">
        <f t="shared" si="38"/>
        <v>969710</v>
      </c>
      <c r="AC101" s="54">
        <f t="shared" si="38"/>
        <v>1280664</v>
      </c>
      <c r="AD101" s="54">
        <f t="shared" ref="AD101:AI101" si="39">AD14</f>
        <v>1312785</v>
      </c>
      <c r="AE101" s="54">
        <f t="shared" si="39"/>
        <v>1412985</v>
      </c>
      <c r="AF101" s="54">
        <f t="shared" si="39"/>
        <v>1557283</v>
      </c>
      <c r="AG101" s="54">
        <f t="shared" si="39"/>
        <v>1557120</v>
      </c>
      <c r="AH101" s="54">
        <f t="shared" si="39"/>
        <v>1524201</v>
      </c>
      <c r="AI101" s="54">
        <f t="shared" si="39"/>
        <v>1701933</v>
      </c>
      <c r="AJ101" s="54">
        <f t="shared" ref="AJ101" si="40">AJ14</f>
        <v>944598</v>
      </c>
      <c r="AK101" s="54">
        <f>AG101*(AJ101/AF101)*(1+GR_eof_T1)</f>
        <v>1275073.8247165096</v>
      </c>
      <c r="AL101" s="54">
        <f>AH101*(AK101/AG101)</f>
        <v>1248117.5495188094</v>
      </c>
      <c r="AM101" s="54">
        <f>AVERAGE(AI101)*(1+GR_eof_T1)</f>
        <v>2297609.5500000003</v>
      </c>
      <c r="AN101" s="54">
        <f>AVERAGE(AD101:AF101)*(1+GR_eof_T1)*(1+GR_eof_T0)</f>
        <v>2409217.3125</v>
      </c>
      <c r="AO101" s="54">
        <f>AVERAGE(AE101:AG101)*(1+GR_eof_T1)*(1+GR_eof_T0)</f>
        <v>2546655.75</v>
      </c>
      <c r="AP101" s="54">
        <f>AVERAGE(AF101:AH101)*(1+GR_eof_T1)*(1+GR_eof_T0)</f>
        <v>2609214.75</v>
      </c>
      <c r="AQ101" s="54">
        <f>AVERAGE(AG101:AI101)*(1+GR_eof_T1)*(1+GR_eof_T0)</f>
        <v>2690580.3750000005</v>
      </c>
      <c r="AR101" s="54">
        <f>AVERAGE(AM101:AO101)*(1+GR_eof_T0)</f>
        <v>3022284.421875</v>
      </c>
      <c r="AS101" s="54">
        <f t="shared" ref="AS101:AU101" si="41">AVERAGE(AN101:AP101)*(1+GR_eof_T0)</f>
        <v>3152119.921875</v>
      </c>
      <c r="AT101" s="54">
        <f t="shared" si="41"/>
        <v>3269354.53125</v>
      </c>
      <c r="AU101" s="54">
        <f t="shared" si="41"/>
        <v>3467533.14453125</v>
      </c>
    </row>
    <row r="102" spans="7:47" x14ac:dyDescent="0.25">
      <c r="G102" s="100" t="s">
        <v>569</v>
      </c>
      <c r="H102" s="101"/>
      <c r="I102" s="101"/>
      <c r="J102" s="101"/>
      <c r="K102" s="101"/>
      <c r="L102" s="102"/>
      <c r="M102" s="102"/>
      <c r="N102" s="102"/>
      <c r="O102" s="102"/>
      <c r="P102" s="102"/>
      <c r="Q102" s="102"/>
      <c r="R102" s="102"/>
      <c r="S102" s="102"/>
      <c r="T102" s="102">
        <f t="shared" ref="T102:AC102" si="42">T101/P101-1</f>
        <v>0.10797556828330768</v>
      </c>
      <c r="U102" s="102">
        <f t="shared" si="42"/>
        <v>0.1599216710182767</v>
      </c>
      <c r="V102" s="102">
        <f t="shared" si="42"/>
        <v>0.37542593888288156</v>
      </c>
      <c r="W102" s="102">
        <f t="shared" si="42"/>
        <v>0.49199969562179624</v>
      </c>
      <c r="X102" s="102">
        <f>X101/T101-1</f>
        <v>0.4466014132426066</v>
      </c>
      <c r="Y102" s="102">
        <f>Y101/U101-1</f>
        <v>0.44791743126748385</v>
      </c>
      <c r="Z102" s="102">
        <f>Z101/V101-1</f>
        <v>0.43940224751762269</v>
      </c>
      <c r="AA102" s="102">
        <f t="shared" si="42"/>
        <v>0.48596911768569639</v>
      </c>
      <c r="AB102" s="102">
        <f t="shared" si="42"/>
        <v>0.40347906381660747</v>
      </c>
      <c r="AC102" s="102">
        <f t="shared" si="42"/>
        <v>0.80341175045836422</v>
      </c>
      <c r="AD102" s="102">
        <f t="shared" ref="AD102:AM102" si="43">AD101/Z101-1</f>
        <v>0.50633037755073951</v>
      </c>
      <c r="AE102" s="102">
        <f t="shared" si="43"/>
        <v>0.46959833672568352</v>
      </c>
      <c r="AF102" s="102">
        <f t="shared" si="43"/>
        <v>0.60592651411246656</v>
      </c>
      <c r="AG102" s="102">
        <f t="shared" si="43"/>
        <v>0.21586926781731974</v>
      </c>
      <c r="AH102" s="102">
        <f t="shared" si="43"/>
        <v>0.16104388761297539</v>
      </c>
      <c r="AI102" s="102">
        <f t="shared" si="43"/>
        <v>0.20449473985923428</v>
      </c>
      <c r="AJ102" s="102">
        <f t="shared" si="43"/>
        <v>-0.39343202231065255</v>
      </c>
      <c r="AK102" s="102">
        <f t="shared" si="43"/>
        <v>-0.18113323011938098</v>
      </c>
      <c r="AL102" s="102">
        <f t="shared" si="43"/>
        <v>-0.18113323011938098</v>
      </c>
      <c r="AM102" s="102">
        <f t="shared" si="43"/>
        <v>0.35000000000000009</v>
      </c>
      <c r="AN102" s="102">
        <f t="shared" ref="AN102:AU102" si="44">AN101/AJ101-1</f>
        <v>1.5505212931850374</v>
      </c>
      <c r="AO102" s="102">
        <f t="shared" si="44"/>
        <v>0.9972614139155469</v>
      </c>
      <c r="AP102" s="102">
        <f t="shared" si="44"/>
        <v>1.0905200403647384</v>
      </c>
      <c r="AQ102" s="102">
        <f t="shared" si="44"/>
        <v>0.17103464119915412</v>
      </c>
      <c r="AR102" s="102">
        <f t="shared" si="44"/>
        <v>0.25446733517734499</v>
      </c>
      <c r="AS102" s="102">
        <f t="shared" si="44"/>
        <v>0.23774873061465018</v>
      </c>
      <c r="AT102" s="102">
        <f t="shared" si="44"/>
        <v>0.25300323833061267</v>
      </c>
      <c r="AU102" s="102">
        <f t="shared" si="44"/>
        <v>0.28876772340660861</v>
      </c>
    </row>
    <row r="104" spans="7:47" x14ac:dyDescent="0.25">
      <c r="G104" t="s">
        <v>560</v>
      </c>
      <c r="H104" s="9">
        <f>H107-H105</f>
        <v>47944</v>
      </c>
      <c r="I104" s="9">
        <f t="shared" ref="I104:V104" si="45">I107-I105</f>
        <v>83529</v>
      </c>
      <c r="J104" s="9">
        <f t="shared" si="45"/>
        <v>253637</v>
      </c>
      <c r="K104" s="9">
        <f t="shared" si="45"/>
        <v>212524</v>
      </c>
      <c r="L104" s="9">
        <f t="shared" si="45"/>
        <v>234492</v>
      </c>
      <c r="M104" s="9">
        <f t="shared" si="45"/>
        <v>224761</v>
      </c>
      <c r="N104" s="9">
        <f t="shared" si="45"/>
        <v>249111</v>
      </c>
      <c r="O104" s="9">
        <f t="shared" si="45"/>
        <v>205210</v>
      </c>
      <c r="P104" s="9">
        <f t="shared" si="45"/>
        <v>384241</v>
      </c>
      <c r="Q104" s="9">
        <f t="shared" si="45"/>
        <v>347101</v>
      </c>
      <c r="R104" s="9">
        <f t="shared" si="45"/>
        <v>321762</v>
      </c>
      <c r="S104" s="9">
        <f t="shared" si="45"/>
        <v>318875</v>
      </c>
      <c r="T104" s="9">
        <f t="shared" si="45"/>
        <v>290892</v>
      </c>
      <c r="U104" s="9">
        <f t="shared" si="45"/>
        <v>282897</v>
      </c>
      <c r="V104" s="9">
        <f t="shared" si="45"/>
        <v>307650</v>
      </c>
      <c r="W104" s="9">
        <f t="shared" ref="W104:AM104" si="46">W107-W105</f>
        <v>208357</v>
      </c>
      <c r="X104" s="9">
        <f t="shared" si="46"/>
        <v>178452</v>
      </c>
      <c r="Y104" s="9">
        <f t="shared" si="46"/>
        <v>91497</v>
      </c>
      <c r="Z104" s="9">
        <f t="shared" si="46"/>
        <v>47369</v>
      </c>
      <c r="AA104" s="9">
        <f t="shared" si="46"/>
        <v>53691</v>
      </c>
      <c r="AB104" s="9">
        <f t="shared" si="46"/>
        <v>143046</v>
      </c>
      <c r="AC104" s="9">
        <f t="shared" si="46"/>
        <v>136047</v>
      </c>
      <c r="AD104" s="9">
        <f t="shared" si="46"/>
        <v>38773</v>
      </c>
      <c r="AE104" s="9">
        <f t="shared" si="46"/>
        <v>9309</v>
      </c>
      <c r="AF104" s="9">
        <f>AF107-AF105</f>
        <v>2157</v>
      </c>
      <c r="AG104" s="9">
        <f>AG107-AG105</f>
        <v>77472</v>
      </c>
      <c r="AH104" s="9">
        <f>AH107-AH105</f>
        <v>74449</v>
      </c>
      <c r="AI104" s="9">
        <f>AI107-AI105</f>
        <v>84443</v>
      </c>
      <c r="AJ104" s="9">
        <f>AJ107-AJ105</f>
        <v>7926</v>
      </c>
      <c r="AK104" s="9">
        <f t="shared" si="46"/>
        <v>54141.670000000042</v>
      </c>
      <c r="AL104" s="9">
        <f t="shared" si="46"/>
        <v>56733.600000000093</v>
      </c>
      <c r="AM104" s="9">
        <f t="shared" si="46"/>
        <v>56100.330000000075</v>
      </c>
      <c r="AN104" s="9">
        <f t="shared" ref="AN104:AU104" si="47">AN107-AN105</f>
        <v>28557.892500000075</v>
      </c>
      <c r="AO104" s="9">
        <f t="shared" si="47"/>
        <v>31131.460250000004</v>
      </c>
      <c r="AP104" s="9">
        <f t="shared" si="47"/>
        <v>32621.820000000065</v>
      </c>
      <c r="AQ104" s="9">
        <f t="shared" si="47"/>
        <v>32257.689750000136</v>
      </c>
      <c r="AR104" s="9">
        <f t="shared" si="47"/>
        <v>32841.576374999946</v>
      </c>
      <c r="AS104" s="9">
        <f t="shared" si="47"/>
        <v>35801.179287499981</v>
      </c>
      <c r="AT104" s="9">
        <f t="shared" si="47"/>
        <v>37515.09300000011</v>
      </c>
      <c r="AU104" s="9">
        <f t="shared" si="47"/>
        <v>37096.343212499982</v>
      </c>
    </row>
    <row r="105" spans="7:47" x14ac:dyDescent="0.25">
      <c r="G105" t="s">
        <v>558</v>
      </c>
      <c r="H105" s="9">
        <f t="shared" ref="H105:AE105" si="48">SUM(H10:H11)</f>
        <v>88727</v>
      </c>
      <c r="I105" s="9">
        <f t="shared" si="48"/>
        <v>81346</v>
      </c>
      <c r="J105" s="9">
        <f t="shared" si="48"/>
        <v>316051</v>
      </c>
      <c r="K105" s="9">
        <f t="shared" si="48"/>
        <v>428481</v>
      </c>
      <c r="L105" s="9">
        <f t="shared" si="48"/>
        <v>419136</v>
      </c>
      <c r="M105" s="9">
        <f t="shared" si="48"/>
        <v>539292</v>
      </c>
      <c r="N105" s="9">
        <f t="shared" si="48"/>
        <v>466743</v>
      </c>
      <c r="O105" s="9">
        <f t="shared" si="48"/>
        <v>436099</v>
      </c>
      <c r="P105" s="9">
        <f t="shared" si="48"/>
        <v>271827</v>
      </c>
      <c r="Q105" s="9">
        <f t="shared" si="48"/>
        <v>434690</v>
      </c>
      <c r="R105" s="9">
        <f t="shared" si="48"/>
        <v>474288</v>
      </c>
      <c r="S105" s="9">
        <f t="shared" si="48"/>
        <v>538530</v>
      </c>
      <c r="T105" s="9">
        <f t="shared" si="48"/>
        <v>503706</v>
      </c>
      <c r="U105" s="9">
        <f t="shared" si="48"/>
        <v>555522</v>
      </c>
      <c r="V105" s="9">
        <f t="shared" si="48"/>
        <v>556925</v>
      </c>
      <c r="W105" s="9">
        <f t="shared" si="48"/>
        <v>607911</v>
      </c>
      <c r="X105" s="9">
        <f t="shared" si="48"/>
        <v>655129</v>
      </c>
      <c r="Y105" s="9">
        <f t="shared" si="48"/>
        <v>708890</v>
      </c>
      <c r="Z105" s="9">
        <f t="shared" si="48"/>
        <v>760435</v>
      </c>
      <c r="AA105" s="9">
        <f t="shared" si="48"/>
        <v>794889</v>
      </c>
      <c r="AB105" s="9">
        <f t="shared" si="48"/>
        <v>748636</v>
      </c>
      <c r="AC105" s="9">
        <f t="shared" si="48"/>
        <v>818595</v>
      </c>
      <c r="AD105" s="9">
        <f t="shared" si="48"/>
        <v>945323</v>
      </c>
      <c r="AE105" s="9">
        <f t="shared" si="48"/>
        <v>971286</v>
      </c>
      <c r="AF105" s="9">
        <f>SUM(AF10:AF11)</f>
        <v>920224</v>
      </c>
      <c r="AG105" s="9">
        <f>SUM(AG10:AG11)</f>
        <v>906922</v>
      </c>
      <c r="AH105" s="9">
        <f>SUM(AH10:AH11)</f>
        <v>957071</v>
      </c>
      <c r="AI105" s="9">
        <f>SUM(AI10:AI11)</f>
        <v>935563</v>
      </c>
      <c r="AJ105" s="9">
        <f>SUM(AJ10:AJ11)</f>
        <v>985392</v>
      </c>
      <c r="AK105" s="9">
        <f t="shared" ref="AK105:AU105" si="49">AK107*AK106</f>
        <v>1028691.7300000001</v>
      </c>
      <c r="AL105" s="9">
        <f t="shared" si="49"/>
        <v>1077938.3999999999</v>
      </c>
      <c r="AM105" s="9">
        <f t="shared" si="49"/>
        <v>1065906.27</v>
      </c>
      <c r="AN105" s="9">
        <f t="shared" si="49"/>
        <v>1113757.8074999999</v>
      </c>
      <c r="AO105" s="9">
        <f t="shared" si="49"/>
        <v>1214126.9497500001</v>
      </c>
      <c r="AP105" s="9">
        <f t="shared" si="49"/>
        <v>1272250.9799999997</v>
      </c>
      <c r="AQ105" s="9">
        <f t="shared" si="49"/>
        <v>1258049.9002499999</v>
      </c>
      <c r="AR105" s="9">
        <f t="shared" si="49"/>
        <v>1280821.478625</v>
      </c>
      <c r="AS105" s="9">
        <f t="shared" si="49"/>
        <v>1396245.9922125002</v>
      </c>
      <c r="AT105" s="9">
        <f t="shared" si="49"/>
        <v>1463088.6269999996</v>
      </c>
      <c r="AU105" s="9">
        <f t="shared" si="49"/>
        <v>1446757.3852875</v>
      </c>
    </row>
    <row r="106" spans="7:47" x14ac:dyDescent="0.25">
      <c r="G106" s="17" t="s">
        <v>559</v>
      </c>
      <c r="H106" s="53">
        <f>H105/H107</f>
        <v>0.64920136678593121</v>
      </c>
      <c r="I106" s="53">
        <f t="shared" ref="I106:V106" si="50">I105/I107</f>
        <v>0.49337983320697498</v>
      </c>
      <c r="J106" s="53">
        <f t="shared" si="50"/>
        <v>0.55477910716041057</v>
      </c>
      <c r="K106" s="53">
        <f t="shared" si="50"/>
        <v>0.6684518841506697</v>
      </c>
      <c r="L106" s="53">
        <f t="shared" si="50"/>
        <v>0.64124547907984353</v>
      </c>
      <c r="M106" s="53">
        <f t="shared" si="50"/>
        <v>0.70583061646247058</v>
      </c>
      <c r="N106" s="53">
        <f t="shared" si="50"/>
        <v>0.6520086498084805</v>
      </c>
      <c r="O106" s="53">
        <f t="shared" si="50"/>
        <v>0.68001384667921394</v>
      </c>
      <c r="P106" s="53">
        <f t="shared" si="50"/>
        <v>0.41432747824920585</v>
      </c>
      <c r="Q106" s="53">
        <f t="shared" si="50"/>
        <v>0.55601816853865038</v>
      </c>
      <c r="R106" s="53">
        <f t="shared" si="50"/>
        <v>0.5958017712455248</v>
      </c>
      <c r="S106" s="53">
        <f t="shared" si="50"/>
        <v>0.62809290825222619</v>
      </c>
      <c r="T106" s="53">
        <f t="shared" si="50"/>
        <v>0.63391299751572494</v>
      </c>
      <c r="U106" s="53">
        <f t="shared" si="50"/>
        <v>0.66258278975070939</v>
      </c>
      <c r="V106" s="53">
        <f t="shared" si="50"/>
        <v>0.64416042564265674</v>
      </c>
      <c r="W106" s="53">
        <f t="shared" ref="W106:AE106" si="51">W105/W107</f>
        <v>0.7447443731715564</v>
      </c>
      <c r="X106" s="53">
        <f t="shared" si="51"/>
        <v>0.78592122421216415</v>
      </c>
      <c r="Y106" s="53">
        <f t="shared" si="51"/>
        <v>0.88568405034064768</v>
      </c>
      <c r="Z106" s="53">
        <f t="shared" si="51"/>
        <v>0.94136077563369336</v>
      </c>
      <c r="AA106" s="53">
        <f t="shared" si="51"/>
        <v>0.93672841688467789</v>
      </c>
      <c r="AB106" s="53">
        <f t="shared" si="51"/>
        <v>0.839577338109326</v>
      </c>
      <c r="AC106" s="53">
        <f t="shared" si="51"/>
        <v>0.85748898539976237</v>
      </c>
      <c r="AD106" s="53">
        <f t="shared" si="51"/>
        <v>0.96060038857997598</v>
      </c>
      <c r="AE106" s="53">
        <f t="shared" si="51"/>
        <v>0.99050678414636006</v>
      </c>
      <c r="AF106" s="53">
        <f>AF105/AF107</f>
        <v>0.99766148695604095</v>
      </c>
      <c r="AG106" s="53">
        <f>AG105/AG107</f>
        <v>0.9212998047529749</v>
      </c>
      <c r="AH106" s="53">
        <f>AH105/AH107</f>
        <v>0.92782592678765319</v>
      </c>
      <c r="AI106" s="53">
        <f>AI105/AI107</f>
        <v>0.91721323207902694</v>
      </c>
      <c r="AJ106" s="123">
        <f>AJ105/AJ107</f>
        <v>0.99202068219845008</v>
      </c>
      <c r="AK106" s="53">
        <f>BR_bgs_T1</f>
        <v>0.95</v>
      </c>
      <c r="AL106" s="53">
        <f>BR_bgs_T1</f>
        <v>0.95</v>
      </c>
      <c r="AM106" s="53">
        <f>BR_bgs_T1</f>
        <v>0.95</v>
      </c>
      <c r="AN106" s="53">
        <f t="shared" ref="AN106:AU106" si="52">BR_bgs_T0</f>
        <v>0.97499999999999998</v>
      </c>
      <c r="AO106" s="53">
        <f t="shared" si="52"/>
        <v>0.97499999999999998</v>
      </c>
      <c r="AP106" s="53">
        <f t="shared" si="52"/>
        <v>0.97499999999999998</v>
      </c>
      <c r="AQ106" s="53">
        <f t="shared" si="52"/>
        <v>0.97499999999999998</v>
      </c>
      <c r="AR106" s="53">
        <f t="shared" si="52"/>
        <v>0.97499999999999998</v>
      </c>
      <c r="AS106" s="53">
        <f t="shared" si="52"/>
        <v>0.97499999999999998</v>
      </c>
      <c r="AT106" s="53">
        <f t="shared" si="52"/>
        <v>0.97499999999999998</v>
      </c>
      <c r="AU106" s="53">
        <f t="shared" si="52"/>
        <v>0.97499999999999998</v>
      </c>
    </row>
    <row r="107" spans="7:47" ht="15.75" thickBot="1" x14ac:dyDescent="0.3">
      <c r="G107" s="23" t="s">
        <v>10</v>
      </c>
      <c r="H107" s="54">
        <f>SUM(H10,H11,H20,H21)</f>
        <v>136671</v>
      </c>
      <c r="I107" s="54">
        <f t="shared" ref="I107:AE107" si="53">SUM(I10,I11,I20,I21)</f>
        <v>164875</v>
      </c>
      <c r="J107" s="54">
        <f t="shared" si="53"/>
        <v>569688</v>
      </c>
      <c r="K107" s="54">
        <f t="shared" si="53"/>
        <v>641005</v>
      </c>
      <c r="L107" s="54">
        <f t="shared" si="53"/>
        <v>653628</v>
      </c>
      <c r="M107" s="54">
        <f t="shared" si="53"/>
        <v>764053</v>
      </c>
      <c r="N107" s="54">
        <f t="shared" si="53"/>
        <v>715854</v>
      </c>
      <c r="O107" s="54">
        <f t="shared" si="53"/>
        <v>641309</v>
      </c>
      <c r="P107" s="54">
        <f t="shared" si="53"/>
        <v>656068</v>
      </c>
      <c r="Q107" s="54">
        <f t="shared" si="53"/>
        <v>781791</v>
      </c>
      <c r="R107" s="54">
        <f t="shared" si="53"/>
        <v>796050</v>
      </c>
      <c r="S107" s="54">
        <f t="shared" si="53"/>
        <v>857405</v>
      </c>
      <c r="T107" s="54">
        <f t="shared" si="53"/>
        <v>794598</v>
      </c>
      <c r="U107" s="54">
        <f t="shared" si="53"/>
        <v>838419</v>
      </c>
      <c r="V107" s="54">
        <f t="shared" si="53"/>
        <v>864575</v>
      </c>
      <c r="W107" s="54">
        <f t="shared" si="53"/>
        <v>816268</v>
      </c>
      <c r="X107" s="54">
        <f t="shared" si="53"/>
        <v>833581</v>
      </c>
      <c r="Y107" s="54">
        <f t="shared" si="53"/>
        <v>800387</v>
      </c>
      <c r="Z107" s="54">
        <f t="shared" si="53"/>
        <v>807804</v>
      </c>
      <c r="AA107" s="54">
        <f t="shared" si="53"/>
        <v>848580</v>
      </c>
      <c r="AB107" s="54">
        <f t="shared" si="53"/>
        <v>891682</v>
      </c>
      <c r="AC107" s="54">
        <f t="shared" si="53"/>
        <v>954642</v>
      </c>
      <c r="AD107" s="54">
        <f t="shared" si="53"/>
        <v>984096</v>
      </c>
      <c r="AE107" s="54">
        <f t="shared" si="53"/>
        <v>980595</v>
      </c>
      <c r="AF107" s="54">
        <f>SUM(AF10,AF11,AF20,AF21)</f>
        <v>922381</v>
      </c>
      <c r="AG107" s="54">
        <f>SUM(AG10,AG11,AG20,AG21)</f>
        <v>984394</v>
      </c>
      <c r="AH107" s="54">
        <f>SUM(AH10,AH11,AH20,AH21)</f>
        <v>1031520</v>
      </c>
      <c r="AI107" s="54">
        <f>SUM(AI10,AI11,AI20,AI21)</f>
        <v>1020006</v>
      </c>
      <c r="AJ107" s="54">
        <f>SUM(AJ10,AJ11,AJ20,AJ21)</f>
        <v>993318</v>
      </c>
      <c r="AK107" s="99">
        <f>AG107*(1+GR_ng_T1)</f>
        <v>1082833.4000000001</v>
      </c>
      <c r="AL107" s="99">
        <f>AH107*(1+GR_ng_T1)</f>
        <v>1134672</v>
      </c>
      <c r="AM107" s="99">
        <f>AI107*(1+GR_ng_T1)</f>
        <v>1122006.6000000001</v>
      </c>
      <c r="AN107" s="99">
        <f t="shared" ref="AN107:AU107" si="54">AJ107*(1+GR_ng_T0)</f>
        <v>1142315.7</v>
      </c>
      <c r="AO107" s="99">
        <f t="shared" si="54"/>
        <v>1245258.4100000001</v>
      </c>
      <c r="AP107" s="99">
        <f t="shared" si="54"/>
        <v>1304872.7999999998</v>
      </c>
      <c r="AQ107" s="99">
        <f t="shared" si="54"/>
        <v>1290307.5900000001</v>
      </c>
      <c r="AR107" s="99">
        <f t="shared" si="54"/>
        <v>1313663.0549999999</v>
      </c>
      <c r="AS107" s="99">
        <f t="shared" si="54"/>
        <v>1432047.1715000002</v>
      </c>
      <c r="AT107" s="99">
        <f t="shared" si="54"/>
        <v>1500603.7199999997</v>
      </c>
      <c r="AU107" s="99">
        <f t="shared" si="54"/>
        <v>1483853.7285</v>
      </c>
    </row>
    <row r="108" spans="7:47" x14ac:dyDescent="0.25">
      <c r="G108" s="100" t="s">
        <v>569</v>
      </c>
      <c r="H108" s="101"/>
      <c r="I108" s="101"/>
      <c r="J108" s="101"/>
      <c r="K108" s="101"/>
      <c r="L108" s="102">
        <f t="shared" ref="L108:AA108" si="55">L107/H107-1</f>
        <v>3.7824922624404591</v>
      </c>
      <c r="M108" s="102">
        <f t="shared" si="55"/>
        <v>3.6341349507202425</v>
      </c>
      <c r="N108" s="102">
        <f t="shared" si="55"/>
        <v>0.25657201836794874</v>
      </c>
      <c r="O108" s="102">
        <f t="shared" si="55"/>
        <v>4.7425527101974119E-4</v>
      </c>
      <c r="P108" s="102">
        <f t="shared" si="55"/>
        <v>3.7330102137607124E-3</v>
      </c>
      <c r="Q108" s="102">
        <f t="shared" si="55"/>
        <v>2.3215666975981986E-2</v>
      </c>
      <c r="R108" s="102">
        <f t="shared" si="55"/>
        <v>0.11202843037826149</v>
      </c>
      <c r="S108" s="102">
        <f t="shared" si="55"/>
        <v>0.33696080984361676</v>
      </c>
      <c r="T108" s="102">
        <f t="shared" si="55"/>
        <v>0.21115189279160096</v>
      </c>
      <c r="U108" s="102">
        <f t="shared" si="55"/>
        <v>7.2433681124494997E-2</v>
      </c>
      <c r="V108" s="102">
        <f t="shared" si="55"/>
        <v>8.6081276301739784E-2</v>
      </c>
      <c r="W108" s="102">
        <f t="shared" si="55"/>
        <v>-4.7978493244149489E-2</v>
      </c>
      <c r="X108" s="102">
        <f>X107/T107-1</f>
        <v>4.9060027837976028E-2</v>
      </c>
      <c r="Y108" s="102">
        <f>Y107/U107-1</f>
        <v>-4.53615674263107E-2</v>
      </c>
      <c r="Z108" s="102">
        <f>Z107/V107-1</f>
        <v>-6.5663476274470112E-2</v>
      </c>
      <c r="AA108" s="102">
        <f t="shared" si="55"/>
        <v>3.9585038247242244E-2</v>
      </c>
      <c r="AB108" s="102">
        <f t="shared" ref="AB108:AM108" si="56">AB107/X107-1</f>
        <v>6.9700485015853353E-2</v>
      </c>
      <c r="AC108" s="102">
        <f t="shared" si="56"/>
        <v>0.1927255190301691</v>
      </c>
      <c r="AD108" s="102">
        <f t="shared" si="56"/>
        <v>0.2182361067783769</v>
      </c>
      <c r="AE108" s="102">
        <f t="shared" si="56"/>
        <v>0.15557166089231411</v>
      </c>
      <c r="AF108" s="102">
        <f t="shared" si="56"/>
        <v>3.4428193010512809E-2</v>
      </c>
      <c r="AG108" s="102">
        <f t="shared" si="56"/>
        <v>3.1165609725949617E-2</v>
      </c>
      <c r="AH108" s="102">
        <f t="shared" si="56"/>
        <v>4.8190420446785787E-2</v>
      </c>
      <c r="AI108" s="102">
        <f t="shared" si="56"/>
        <v>4.0190904501858471E-2</v>
      </c>
      <c r="AJ108" s="102">
        <f t="shared" si="56"/>
        <v>7.6906397681652194E-2</v>
      </c>
      <c r="AK108" s="102">
        <f t="shared" si="56"/>
        <v>0.10000000000000009</v>
      </c>
      <c r="AL108" s="102">
        <f t="shared" si="56"/>
        <v>0.10000000000000009</v>
      </c>
      <c r="AM108" s="102">
        <f t="shared" si="56"/>
        <v>0.10000000000000009</v>
      </c>
      <c r="AN108" s="102">
        <f t="shared" ref="AN108:AU108" si="57">AN107/AJ107-1</f>
        <v>0.14999999999999991</v>
      </c>
      <c r="AO108" s="102">
        <f t="shared" si="57"/>
        <v>0.14999999999999991</v>
      </c>
      <c r="AP108" s="102">
        <f t="shared" si="57"/>
        <v>0.14999999999999991</v>
      </c>
      <c r="AQ108" s="102">
        <f t="shared" si="57"/>
        <v>0.14999999999999991</v>
      </c>
      <c r="AR108" s="102">
        <f t="shared" si="57"/>
        <v>0.14999999999999991</v>
      </c>
      <c r="AS108" s="102">
        <f t="shared" si="57"/>
        <v>0.14999999999999991</v>
      </c>
      <c r="AT108" s="102">
        <f t="shared" si="57"/>
        <v>0.14999999999999991</v>
      </c>
      <c r="AU108" s="102">
        <f t="shared" si="57"/>
        <v>0.14999999999999991</v>
      </c>
    </row>
    <row r="110" spans="7:47" x14ac:dyDescent="0.25">
      <c r="G110" t="s">
        <v>781</v>
      </c>
      <c r="H110" s="9">
        <f>H22</f>
        <v>18821</v>
      </c>
      <c r="I110" s="9">
        <f t="shared" ref="I110:AE110" si="58">I22</f>
        <v>18876</v>
      </c>
      <c r="J110" s="9">
        <f t="shared" si="58"/>
        <v>7995</v>
      </c>
      <c r="K110" s="9">
        <f t="shared" si="58"/>
        <v>19358</v>
      </c>
      <c r="L110" s="9">
        <f t="shared" si="58"/>
        <v>20826</v>
      </c>
      <c r="M110" s="9">
        <f t="shared" si="58"/>
        <v>43505</v>
      </c>
      <c r="N110" s="9">
        <f t="shared" si="58"/>
        <v>24333</v>
      </c>
      <c r="O110" s="9">
        <f t="shared" si="58"/>
        <v>39627</v>
      </c>
      <c r="P110" s="9">
        <f t="shared" si="58"/>
        <v>138064</v>
      </c>
      <c r="Q110" s="9">
        <f t="shared" si="58"/>
        <v>152677</v>
      </c>
      <c r="R110" s="9">
        <f t="shared" si="58"/>
        <v>162962</v>
      </c>
      <c r="S110" s="9">
        <f t="shared" si="58"/>
        <v>286715</v>
      </c>
      <c r="T110" s="9">
        <f t="shared" si="58"/>
        <v>495110</v>
      </c>
      <c r="U110" s="9">
        <f t="shared" si="58"/>
        <v>365157</v>
      </c>
      <c r="V110" s="9">
        <f t="shared" si="58"/>
        <v>257693</v>
      </c>
      <c r="W110" s="9">
        <f t="shared" si="58"/>
        <v>485144</v>
      </c>
      <c r="X110" s="9">
        <f t="shared" si="58"/>
        <v>458192</v>
      </c>
      <c r="Y110" s="9">
        <f t="shared" si="58"/>
        <v>68331</v>
      </c>
      <c r="Z110" s="9">
        <f t="shared" si="58"/>
        <v>81833</v>
      </c>
      <c r="AA110" s="9">
        <f t="shared" si="58"/>
        <v>141995</v>
      </c>
      <c r="AB110" s="9">
        <f t="shared" si="58"/>
        <v>419390</v>
      </c>
      <c r="AC110" s="9">
        <f t="shared" si="58"/>
        <v>691611</v>
      </c>
      <c r="AD110" s="9">
        <f t="shared" si="58"/>
        <v>412444</v>
      </c>
      <c r="AE110" s="9">
        <f t="shared" si="58"/>
        <v>631224</v>
      </c>
      <c r="AF110" s="9">
        <f t="shared" ref="AF110:AI111" si="59">AF22</f>
        <v>684672</v>
      </c>
      <c r="AG110" s="9">
        <f t="shared" si="59"/>
        <v>786185</v>
      </c>
      <c r="AH110" s="9">
        <f t="shared" si="59"/>
        <v>409142</v>
      </c>
      <c r="AI110" s="9">
        <f t="shared" si="59"/>
        <v>691712</v>
      </c>
      <c r="AJ110" s="9">
        <f t="shared" ref="AJ110" si="60">AJ22</f>
        <v>730659</v>
      </c>
      <c r="AK110" s="9">
        <f t="shared" ref="AK110:AU110" si="61">AK113-AK111</f>
        <v>732684.09375</v>
      </c>
      <c r="AL110" s="9">
        <f t="shared" si="61"/>
        <v>760637.404296875</v>
      </c>
      <c r="AM110" s="9">
        <f t="shared" si="61"/>
        <v>863986.24938964844</v>
      </c>
      <c r="AN110" s="9">
        <f t="shared" si="61"/>
        <v>828109.47792279045</v>
      </c>
      <c r="AO110" s="9">
        <f t="shared" si="61"/>
        <v>890026.2396600137</v>
      </c>
      <c r="AP110" s="9">
        <f t="shared" si="61"/>
        <v>951880.87325034267</v>
      </c>
      <c r="AQ110" s="9">
        <f t="shared" si="61"/>
        <v>1024325.4133250142</v>
      </c>
      <c r="AR110" s="9">
        <f t="shared" si="61"/>
        <v>1089830.8912266574</v>
      </c>
      <c r="AS110" s="9">
        <f t="shared" si="61"/>
        <v>1167038.7081512983</v>
      </c>
      <c r="AT110" s="9">
        <f t="shared" si="61"/>
        <v>1248757.3863562271</v>
      </c>
      <c r="AU110" s="9">
        <f t="shared" si="61"/>
        <v>1336335.9577224632</v>
      </c>
    </row>
    <row r="111" spans="7:47" x14ac:dyDescent="0.25">
      <c r="G111" t="s">
        <v>782</v>
      </c>
      <c r="H111" s="9">
        <f>H23</f>
        <v>0</v>
      </c>
      <c r="I111" s="9">
        <f t="shared" ref="I111:AE111" si="62">I23</f>
        <v>0</v>
      </c>
      <c r="J111" s="9">
        <f t="shared" si="62"/>
        <v>0</v>
      </c>
      <c r="K111" s="9">
        <f t="shared" si="62"/>
        <v>0</v>
      </c>
      <c r="L111" s="9">
        <f t="shared" si="62"/>
        <v>0</v>
      </c>
      <c r="M111" s="9">
        <f t="shared" si="62"/>
        <v>0</v>
      </c>
      <c r="N111" s="9">
        <f t="shared" si="62"/>
        <v>0</v>
      </c>
      <c r="O111" s="9">
        <f t="shared" si="62"/>
        <v>0</v>
      </c>
      <c r="P111" s="9">
        <f t="shared" si="62"/>
        <v>0</v>
      </c>
      <c r="Q111" s="9">
        <f t="shared" si="62"/>
        <v>0</v>
      </c>
      <c r="R111" s="9">
        <f t="shared" si="62"/>
        <v>0</v>
      </c>
      <c r="S111" s="9">
        <f t="shared" si="62"/>
        <v>0</v>
      </c>
      <c r="T111" s="9">
        <f t="shared" si="62"/>
        <v>0</v>
      </c>
      <c r="U111" s="9">
        <f t="shared" si="62"/>
        <v>0</v>
      </c>
      <c r="V111" s="9">
        <f t="shared" si="62"/>
        <v>229264</v>
      </c>
      <c r="W111" s="9">
        <f t="shared" si="62"/>
        <v>223209</v>
      </c>
      <c r="X111" s="9">
        <f t="shared" si="62"/>
        <v>217376</v>
      </c>
      <c r="Y111" s="9">
        <f t="shared" si="62"/>
        <v>168376</v>
      </c>
      <c r="Z111" s="9">
        <f t="shared" si="62"/>
        <v>147499</v>
      </c>
      <c r="AA111" s="9">
        <f t="shared" si="62"/>
        <v>191566</v>
      </c>
      <c r="AB111" s="9">
        <f t="shared" si="62"/>
        <v>0</v>
      </c>
      <c r="AC111" s="9">
        <f t="shared" si="62"/>
        <v>0</v>
      </c>
      <c r="AD111" s="9">
        <f t="shared" si="62"/>
        <v>121787</v>
      </c>
      <c r="AE111" s="9">
        <f t="shared" si="62"/>
        <v>167601</v>
      </c>
      <c r="AF111" s="9">
        <f t="shared" si="59"/>
        <v>158979</v>
      </c>
      <c r="AG111" s="9">
        <f t="shared" si="59"/>
        <v>132720</v>
      </c>
      <c r="AH111" s="9">
        <f t="shared" si="59"/>
        <v>205031</v>
      </c>
      <c r="AI111" s="9">
        <f t="shared" si="59"/>
        <v>173512</v>
      </c>
      <c r="AJ111" s="9">
        <f t="shared" ref="AJ111" si="63">AJ23</f>
        <v>220452</v>
      </c>
      <c r="AK111" s="9">
        <f t="shared" ref="AK111:AU111" si="64">AK113*AK112</f>
        <v>314007.46875</v>
      </c>
      <c r="AL111" s="9">
        <f t="shared" si="64"/>
        <v>325987.458984375</v>
      </c>
      <c r="AM111" s="9">
        <f t="shared" si="64"/>
        <v>370279.82116699219</v>
      </c>
      <c r="AN111" s="9">
        <f t="shared" si="64"/>
        <v>445905.1034968872</v>
      </c>
      <c r="AO111" s="9">
        <f t="shared" si="64"/>
        <v>479244.89827846881</v>
      </c>
      <c r="AP111" s="9">
        <f t="shared" si="64"/>
        <v>512551.23944249214</v>
      </c>
      <c r="AQ111" s="9">
        <f t="shared" si="64"/>
        <v>551559.83794423833</v>
      </c>
      <c r="AR111" s="9">
        <f t="shared" si="64"/>
        <v>586832.01835281542</v>
      </c>
      <c r="AS111" s="9">
        <f t="shared" si="64"/>
        <v>628405.45823531435</v>
      </c>
      <c r="AT111" s="9">
        <f t="shared" si="64"/>
        <v>672407.82342258375</v>
      </c>
      <c r="AU111" s="9">
        <f t="shared" si="64"/>
        <v>719565.51569671079</v>
      </c>
    </row>
    <row r="112" spans="7:47" x14ac:dyDescent="0.25">
      <c r="G112" s="17" t="s">
        <v>559</v>
      </c>
      <c r="H112" s="53">
        <f>H111/H113</f>
        <v>0</v>
      </c>
      <c r="I112" s="53">
        <f t="shared" ref="I112:AE112" si="65">I111/I113</f>
        <v>0</v>
      </c>
      <c r="J112" s="53">
        <f t="shared" si="65"/>
        <v>0</v>
      </c>
      <c r="K112" s="53">
        <f t="shared" si="65"/>
        <v>0</v>
      </c>
      <c r="L112" s="53">
        <f t="shared" si="65"/>
        <v>0</v>
      </c>
      <c r="M112" s="53">
        <f t="shared" si="65"/>
        <v>0</v>
      </c>
      <c r="N112" s="53">
        <f t="shared" si="65"/>
        <v>0</v>
      </c>
      <c r="O112" s="53">
        <f t="shared" si="65"/>
        <v>0</v>
      </c>
      <c r="P112" s="53">
        <f t="shared" si="65"/>
        <v>0</v>
      </c>
      <c r="Q112" s="53">
        <f t="shared" si="65"/>
        <v>0</v>
      </c>
      <c r="R112" s="53">
        <f t="shared" si="65"/>
        <v>0</v>
      </c>
      <c r="S112" s="53">
        <f t="shared" si="65"/>
        <v>0</v>
      </c>
      <c r="T112" s="53">
        <f t="shared" si="65"/>
        <v>0</v>
      </c>
      <c r="U112" s="53">
        <f t="shared" si="65"/>
        <v>0</v>
      </c>
      <c r="V112" s="53">
        <f t="shared" si="65"/>
        <v>0.47080953759777555</v>
      </c>
      <c r="W112" s="53">
        <f t="shared" si="65"/>
        <v>0.31510983930328523</v>
      </c>
      <c r="X112" s="53">
        <f t="shared" si="65"/>
        <v>0.32176775690974113</v>
      </c>
      <c r="Y112" s="53">
        <f t="shared" si="65"/>
        <v>0.71132666123097332</v>
      </c>
      <c r="Z112" s="53">
        <f t="shared" si="65"/>
        <v>0.64316798353478799</v>
      </c>
      <c r="AA112" s="53">
        <f t="shared" si="65"/>
        <v>0.57430574917331467</v>
      </c>
      <c r="AB112" s="53">
        <f t="shared" si="65"/>
        <v>0</v>
      </c>
      <c r="AC112" s="53">
        <f t="shared" si="65"/>
        <v>0</v>
      </c>
      <c r="AD112" s="53">
        <f t="shared" si="65"/>
        <v>0.22796692816403391</v>
      </c>
      <c r="AE112" s="53">
        <f t="shared" si="65"/>
        <v>0.20980940756736458</v>
      </c>
      <c r="AF112" s="53">
        <f>AF111/AF113</f>
        <v>0.18844166604437143</v>
      </c>
      <c r="AG112" s="53">
        <f>AG111/AG113</f>
        <v>0.14443277596704773</v>
      </c>
      <c r="AH112" s="53">
        <f>AH111/AH113</f>
        <v>0.33383264975829285</v>
      </c>
      <c r="AI112" s="53">
        <f>AI111/AI113</f>
        <v>0.20053997577505941</v>
      </c>
      <c r="AJ112" s="123">
        <f>AJ111/AJ113</f>
        <v>0.23178367193734487</v>
      </c>
      <c r="AK112" s="53">
        <f>BR_lp_T1</f>
        <v>0.3</v>
      </c>
      <c r="AL112" s="53">
        <f>BR_lp_T1</f>
        <v>0.3</v>
      </c>
      <c r="AM112" s="53">
        <f>BR_lp_T1</f>
        <v>0.3</v>
      </c>
      <c r="AN112" s="53">
        <f t="shared" ref="AN112:AU112" si="66">BR_lp_T0</f>
        <v>0.35</v>
      </c>
      <c r="AO112" s="53">
        <f t="shared" si="66"/>
        <v>0.35</v>
      </c>
      <c r="AP112" s="53">
        <f t="shared" si="66"/>
        <v>0.35</v>
      </c>
      <c r="AQ112" s="53">
        <f t="shared" si="66"/>
        <v>0.35</v>
      </c>
      <c r="AR112" s="53">
        <f t="shared" si="66"/>
        <v>0.35</v>
      </c>
      <c r="AS112" s="53">
        <f t="shared" si="66"/>
        <v>0.35</v>
      </c>
      <c r="AT112" s="53">
        <f t="shared" si="66"/>
        <v>0.35</v>
      </c>
      <c r="AU112" s="53">
        <f t="shared" si="66"/>
        <v>0.35</v>
      </c>
    </row>
    <row r="113" spans="5:47" ht="15.75" thickBot="1" x14ac:dyDescent="0.3">
      <c r="G113" s="23" t="s">
        <v>783</v>
      </c>
      <c r="H113" s="54">
        <f>SUM(H110:H111)</f>
        <v>18821</v>
      </c>
      <c r="I113" s="54">
        <f t="shared" ref="I113:AE113" si="67">SUM(I110:I111)</f>
        <v>18876</v>
      </c>
      <c r="J113" s="54">
        <f t="shared" si="67"/>
        <v>7995</v>
      </c>
      <c r="K113" s="54">
        <f t="shared" si="67"/>
        <v>19358</v>
      </c>
      <c r="L113" s="54">
        <f t="shared" si="67"/>
        <v>20826</v>
      </c>
      <c r="M113" s="54">
        <f t="shared" si="67"/>
        <v>43505</v>
      </c>
      <c r="N113" s="54">
        <f t="shared" si="67"/>
        <v>24333</v>
      </c>
      <c r="O113" s="54">
        <f t="shared" si="67"/>
        <v>39627</v>
      </c>
      <c r="P113" s="54">
        <f t="shared" si="67"/>
        <v>138064</v>
      </c>
      <c r="Q113" s="54">
        <f t="shared" si="67"/>
        <v>152677</v>
      </c>
      <c r="R113" s="54">
        <f t="shared" si="67"/>
        <v>162962</v>
      </c>
      <c r="S113" s="54">
        <f t="shared" si="67"/>
        <v>286715</v>
      </c>
      <c r="T113" s="54">
        <f t="shared" si="67"/>
        <v>495110</v>
      </c>
      <c r="U113" s="54">
        <f t="shared" si="67"/>
        <v>365157</v>
      </c>
      <c r="V113" s="54">
        <f t="shared" si="67"/>
        <v>486957</v>
      </c>
      <c r="W113" s="54">
        <f t="shared" si="67"/>
        <v>708353</v>
      </c>
      <c r="X113" s="54">
        <f t="shared" si="67"/>
        <v>675568</v>
      </c>
      <c r="Y113" s="54">
        <f t="shared" si="67"/>
        <v>236707</v>
      </c>
      <c r="Z113" s="54">
        <f t="shared" si="67"/>
        <v>229332</v>
      </c>
      <c r="AA113" s="54">
        <f t="shared" si="67"/>
        <v>333561</v>
      </c>
      <c r="AB113" s="54">
        <f t="shared" si="67"/>
        <v>419390</v>
      </c>
      <c r="AC113" s="54">
        <f t="shared" si="67"/>
        <v>691611</v>
      </c>
      <c r="AD113" s="54">
        <f t="shared" si="67"/>
        <v>534231</v>
      </c>
      <c r="AE113" s="54">
        <f t="shared" si="67"/>
        <v>798825</v>
      </c>
      <c r="AF113" s="54">
        <f>SUM(AF110:AF111)</f>
        <v>843651</v>
      </c>
      <c r="AG113" s="54">
        <f>SUM(AG110:AG111)</f>
        <v>918905</v>
      </c>
      <c r="AH113" s="54">
        <f>SUM(AH110:AH111)</f>
        <v>614173</v>
      </c>
      <c r="AI113" s="54">
        <f>SUM(AI110:AI111)</f>
        <v>865224</v>
      </c>
      <c r="AJ113" s="54">
        <f>SUM(AJ110:AJ111)</f>
        <v>951111</v>
      </c>
      <c r="AK113" s="99">
        <f>AVERAGE(AG113:AJ113)*(1+GR_lp_T1)</f>
        <v>1046691.5625</v>
      </c>
      <c r="AL113" s="99">
        <f>AVERAGE(AH113:AK113)*(1+GR_lp_T1)</f>
        <v>1086624.86328125</v>
      </c>
      <c r="AM113" s="99">
        <f>AVERAGE(AI113:AL113)*(1+GR_lp_T1)</f>
        <v>1234266.0705566406</v>
      </c>
      <c r="AN113" s="99">
        <f t="shared" ref="AN113:AU113" si="68">AVERAGE(AJ113:AM113)*(1+GR_lp_T0)</f>
        <v>1274014.5814196777</v>
      </c>
      <c r="AO113" s="99">
        <f t="shared" si="68"/>
        <v>1369271.1379384825</v>
      </c>
      <c r="AP113" s="99">
        <f t="shared" si="68"/>
        <v>1464432.1126928348</v>
      </c>
      <c r="AQ113" s="99">
        <f t="shared" si="68"/>
        <v>1575885.2512692525</v>
      </c>
      <c r="AR113" s="99">
        <f t="shared" si="68"/>
        <v>1676662.9095794728</v>
      </c>
      <c r="AS113" s="99">
        <f t="shared" si="68"/>
        <v>1795444.1663866127</v>
      </c>
      <c r="AT113" s="99">
        <f t="shared" si="68"/>
        <v>1921165.2097788109</v>
      </c>
      <c r="AU113" s="99">
        <f t="shared" si="68"/>
        <v>2055901.4734191739</v>
      </c>
    </row>
    <row r="114" spans="5:47" x14ac:dyDescent="0.25">
      <c r="G114" s="100" t="s">
        <v>569</v>
      </c>
      <c r="H114" s="102"/>
      <c r="I114" s="102"/>
      <c r="J114" s="102"/>
      <c r="K114" s="102"/>
      <c r="L114" s="102">
        <f t="shared" ref="L114:AA114" si="69">L110/H110-1</f>
        <v>0.10652993996068227</v>
      </c>
      <c r="M114" s="102">
        <f t="shared" si="69"/>
        <v>1.3047785547785549</v>
      </c>
      <c r="N114" s="102">
        <f t="shared" si="69"/>
        <v>2.0435272045028143</v>
      </c>
      <c r="O114" s="102">
        <f t="shared" si="69"/>
        <v>1.0470606467610288</v>
      </c>
      <c r="P114" s="102">
        <f t="shared" si="69"/>
        <v>5.629405550753865</v>
      </c>
      <c r="Q114" s="102">
        <f t="shared" si="69"/>
        <v>2.5094127111826228</v>
      </c>
      <c r="R114" s="102">
        <f t="shared" si="69"/>
        <v>5.6971602350717134</v>
      </c>
      <c r="S114" s="102">
        <f t="shared" si="69"/>
        <v>6.2353445882857645</v>
      </c>
      <c r="T114" s="102">
        <f t="shared" si="69"/>
        <v>2.5860905087495656</v>
      </c>
      <c r="U114" s="102">
        <f t="shared" si="69"/>
        <v>1.3916961952356934</v>
      </c>
      <c r="V114" s="102">
        <f t="shared" si="69"/>
        <v>0.58130729863403729</v>
      </c>
      <c r="W114" s="102">
        <f t="shared" si="69"/>
        <v>0.69207749856128919</v>
      </c>
      <c r="X114" s="102">
        <f>X110/T110-1</f>
        <v>-7.4565248126678974E-2</v>
      </c>
      <c r="Y114" s="102">
        <f>Y110/U110-1</f>
        <v>-0.81287227137916018</v>
      </c>
      <c r="Z114" s="102">
        <f>Z110/V110-1</f>
        <v>-0.68243995762399445</v>
      </c>
      <c r="AA114" s="102">
        <f t="shared" si="69"/>
        <v>-0.70731370479692623</v>
      </c>
      <c r="AB114" s="102">
        <f t="shared" ref="AB114:AJ114" si="70">AB110/X110-1</f>
        <v>-8.4685022872507565E-2</v>
      </c>
      <c r="AC114" s="102">
        <f t="shared" si="70"/>
        <v>9.1214821969530675</v>
      </c>
      <c r="AD114" s="102">
        <f t="shared" si="70"/>
        <v>4.0400694096513634</v>
      </c>
      <c r="AE114" s="102">
        <f t="shared" si="70"/>
        <v>3.4453959646466421</v>
      </c>
      <c r="AF114" s="102">
        <f t="shared" si="70"/>
        <v>0.63254250220558439</v>
      </c>
      <c r="AG114" s="102">
        <f t="shared" si="70"/>
        <v>0.1367444994368221</v>
      </c>
      <c r="AH114" s="102">
        <f t="shared" si="70"/>
        <v>-8.0059353512234033E-3</v>
      </c>
      <c r="AI114" s="102">
        <f t="shared" si="70"/>
        <v>9.5826521171564982E-2</v>
      </c>
      <c r="AJ114" s="102">
        <f t="shared" si="70"/>
        <v>6.7166468031407689E-2</v>
      </c>
      <c r="AK114" s="102">
        <f t="shared" ref="AK114:AU114" si="71">AK110/AG110-1</f>
        <v>-6.8051293588659134E-2</v>
      </c>
      <c r="AL114" s="102">
        <f t="shared" si="71"/>
        <v>0.85910369577524426</v>
      </c>
      <c r="AM114" s="102">
        <f t="shared" si="71"/>
        <v>0.24905488033986467</v>
      </c>
      <c r="AN114" s="102">
        <f t="shared" si="71"/>
        <v>0.13337340390358632</v>
      </c>
      <c r="AO114" s="102">
        <f t="shared" si="71"/>
        <v>0.21474759347471317</v>
      </c>
      <c r="AP114" s="102">
        <f t="shared" si="71"/>
        <v>0.25142527552960803</v>
      </c>
      <c r="AQ114" s="102">
        <f t="shared" si="71"/>
        <v>0.18558068956379259</v>
      </c>
      <c r="AR114" s="102">
        <f t="shared" si="71"/>
        <v>0.31604687578309409</v>
      </c>
      <c r="AS114" s="102">
        <f t="shared" si="71"/>
        <v>0.31124078835822</v>
      </c>
      <c r="AT114" s="102">
        <f t="shared" si="71"/>
        <v>0.31188410382924725</v>
      </c>
      <c r="AU114" s="102">
        <f t="shared" si="71"/>
        <v>0.3046009991928702</v>
      </c>
    </row>
    <row r="117" spans="5:47" ht="21" x14ac:dyDescent="0.35">
      <c r="E117" s="71" t="s">
        <v>623</v>
      </c>
    </row>
    <row r="118" spans="5:47" x14ac:dyDescent="0.25">
      <c r="F118" s="51" t="s">
        <v>22</v>
      </c>
      <c r="G118" s="2" t="s">
        <v>4</v>
      </c>
      <c r="H118" s="3">
        <f>SUM(H136:H137)</f>
        <v>-104666.70000000001</v>
      </c>
      <c r="I118" s="3">
        <f t="shared" ref="I118:W118" si="72">SUM(I136:I137)</f>
        <v>-91075.400000000009</v>
      </c>
      <c r="J118" s="3">
        <f t="shared" si="72"/>
        <v>-105242.4</v>
      </c>
      <c r="K118" s="3">
        <f t="shared" si="72"/>
        <v>-89566.2</v>
      </c>
      <c r="L118" s="3">
        <f t="shared" si="72"/>
        <v>-81537.3</v>
      </c>
      <c r="M118" s="3">
        <f t="shared" si="72"/>
        <v>-108290.40000000001</v>
      </c>
      <c r="N118" s="3">
        <f t="shared" si="72"/>
        <v>-123422</v>
      </c>
      <c r="O118" s="3">
        <f t="shared" si="72"/>
        <v>-110304.8</v>
      </c>
      <c r="P118" s="3">
        <f t="shared" si="72"/>
        <v>-124566.8</v>
      </c>
      <c r="Q118" s="3">
        <f t="shared" si="72"/>
        <v>-153088.5</v>
      </c>
      <c r="R118" s="3">
        <f t="shared" si="72"/>
        <v>-150391.80000000002</v>
      </c>
      <c r="S118" s="3">
        <f t="shared" si="72"/>
        <v>-140966.5</v>
      </c>
      <c r="T118" s="3">
        <f t="shared" si="72"/>
        <v>-157541.1</v>
      </c>
      <c r="U118" s="3">
        <f t="shared" si="72"/>
        <v>-167024.70000000001</v>
      </c>
      <c r="V118" s="3">
        <f t="shared" si="72"/>
        <v>-168930.4</v>
      </c>
      <c r="W118" s="3">
        <f t="shared" si="72"/>
        <v>-171681.3</v>
      </c>
      <c r="X118" s="3">
        <f t="shared" ref="X118:AE118" si="73">SUM(X136:X137)</f>
        <v>-191369.4</v>
      </c>
      <c r="Y118" s="3">
        <f t="shared" si="73"/>
        <v>-149051.5</v>
      </c>
      <c r="Z118" s="3">
        <f t="shared" si="73"/>
        <v>-221344</v>
      </c>
      <c r="AA118" s="3">
        <f t="shared" si="73"/>
        <v>-180616</v>
      </c>
      <c r="AB118" s="3">
        <f t="shared" si="73"/>
        <v>-230405.1</v>
      </c>
      <c r="AC118" s="3">
        <f t="shared" si="73"/>
        <v>-228492.1</v>
      </c>
      <c r="AD118" s="3">
        <f t="shared" si="73"/>
        <v>-269059</v>
      </c>
      <c r="AE118" s="3">
        <f t="shared" si="73"/>
        <v>-227455.1</v>
      </c>
      <c r="AF118" s="3">
        <f>SUM(AF136:AF137)</f>
        <v>-279538.90000000002</v>
      </c>
      <c r="AG118" s="3">
        <f>SUM(AG136:AG137)</f>
        <v>-293115</v>
      </c>
      <c r="AH118" s="3">
        <f>SUM(AH136:AH137)</f>
        <v>-317125.90000000002</v>
      </c>
      <c r="AI118" s="3">
        <f>SUM(AI136:AI137)</f>
        <v>-320836.59999999998</v>
      </c>
      <c r="AJ118" s="3">
        <f>SUM(AJ136:AJ137)</f>
        <v>-331088.5</v>
      </c>
      <c r="AK118" s="3">
        <f>AK79*ED_gas_T1*(CIT_gas_T1-CIA_gas_T1)/1000000</f>
        <v>-333829.54656381247</v>
      </c>
      <c r="AL118" s="3">
        <f>AL79*ED_gas_T1*(CIT_gas_T1-CIA_gas_T1)/1000000</f>
        <v>-366842.64915377425</v>
      </c>
      <c r="AM118" s="3">
        <f>AM79*ED_gas_T1*(CIT_gas_T1-CIA_gas_T1)/1000000</f>
        <v>-369500.03327518975</v>
      </c>
      <c r="AN118" s="3">
        <f t="shared" ref="AN118:AU118" si="74">AN79*ED_gas_T0*(CIT_gas_T0-CIA_gas_T0)/1000000</f>
        <v>-381027.5064112313</v>
      </c>
      <c r="AO118" s="3">
        <f t="shared" si="74"/>
        <v>-392659.2142175372</v>
      </c>
      <c r="AP118" s="3">
        <f t="shared" si="74"/>
        <v>-430192.41749520198</v>
      </c>
      <c r="AQ118" s="3">
        <f t="shared" si="74"/>
        <v>-432182.9754267626</v>
      </c>
      <c r="AR118" s="3">
        <f t="shared" si="74"/>
        <v>-379014.71988232189</v>
      </c>
      <c r="AS118" s="3">
        <f t="shared" si="74"/>
        <v>-390250.41700904287</v>
      </c>
      <c r="AT118" s="3">
        <f t="shared" si="74"/>
        <v>-427563.40492706402</v>
      </c>
      <c r="AU118" s="3">
        <f t="shared" si="74"/>
        <v>-429559.1862102545</v>
      </c>
    </row>
    <row r="119" spans="5:47" ht="15.75" thickBot="1" x14ac:dyDescent="0.3">
      <c r="F119" s="44"/>
      <c r="G119" s="45" t="s">
        <v>3</v>
      </c>
      <c r="H119" s="55">
        <f t="shared" ref="H119:W119" si="75">SUM(H140:H141)</f>
        <v>-56144.7</v>
      </c>
      <c r="I119" s="55">
        <f t="shared" si="75"/>
        <v>-46139.6</v>
      </c>
      <c r="J119" s="55">
        <f t="shared" si="75"/>
        <v>-54088.950000000004</v>
      </c>
      <c r="K119" s="55">
        <f t="shared" si="75"/>
        <v>-47907.55</v>
      </c>
      <c r="L119" s="55">
        <f t="shared" si="75"/>
        <v>-45305.8</v>
      </c>
      <c r="M119" s="55">
        <f t="shared" si="75"/>
        <v>-60071.8</v>
      </c>
      <c r="N119" s="55">
        <f t="shared" si="75"/>
        <v>-62759.850000000006</v>
      </c>
      <c r="O119" s="55">
        <f t="shared" si="75"/>
        <v>-52680.35</v>
      </c>
      <c r="P119" s="55">
        <f t="shared" si="75"/>
        <v>-66214.650000000009</v>
      </c>
      <c r="Q119" s="55">
        <f t="shared" si="75"/>
        <v>-75088.049999999988</v>
      </c>
      <c r="R119" s="55">
        <f t="shared" si="75"/>
        <v>-84730.95</v>
      </c>
      <c r="S119" s="55">
        <f t="shared" si="75"/>
        <v>-69835.900000000009</v>
      </c>
      <c r="T119" s="55">
        <f t="shared" si="75"/>
        <v>-81664.499999999985</v>
      </c>
      <c r="U119" s="55">
        <f t="shared" si="75"/>
        <v>-79437.100000000006</v>
      </c>
      <c r="V119" s="55">
        <f t="shared" si="75"/>
        <v>-89560.85</v>
      </c>
      <c r="W119" s="55">
        <f t="shared" si="75"/>
        <v>-86180.3</v>
      </c>
      <c r="X119" s="55">
        <f t="shared" ref="X119:AE119" si="76">SUM(X140:X141)</f>
        <v>-87820.05</v>
      </c>
      <c r="Y119" s="55">
        <f t="shared" si="76"/>
        <v>-110605.34999999999</v>
      </c>
      <c r="Z119" s="55">
        <f t="shared" si="76"/>
        <v>-105534.5</v>
      </c>
      <c r="AA119" s="55">
        <f t="shared" si="76"/>
        <v>-107595.20000000001</v>
      </c>
      <c r="AB119" s="55">
        <f t="shared" si="76"/>
        <v>-137028.30000000002</v>
      </c>
      <c r="AC119" s="55">
        <f t="shared" si="76"/>
        <v>-137537.55000000002</v>
      </c>
      <c r="AD119" s="55">
        <f t="shared" si="76"/>
        <v>-150966.75</v>
      </c>
      <c r="AE119" s="55">
        <f t="shared" si="76"/>
        <v>-126742.15</v>
      </c>
      <c r="AF119" s="55">
        <f>SUM(AF140:AF141)</f>
        <v>-186880.35</v>
      </c>
      <c r="AG119" s="55">
        <f>SUM(AG140:AG141)</f>
        <v>-167607</v>
      </c>
      <c r="AH119" s="55">
        <f>SUM(AH140:AH141)</f>
        <v>-185791.5</v>
      </c>
      <c r="AI119" s="55">
        <f>SUM(AI140:AI141)</f>
        <v>-177838.55000000002</v>
      </c>
      <c r="AJ119" s="55">
        <f>SUM(AJ140:AJ141)</f>
        <v>-177159.09999999998</v>
      </c>
      <c r="AK119" s="55">
        <f>AK85*ED_die_T1*(CIT_die_T1-CIA_die_T1)/1000000</f>
        <v>-190260.40359779444</v>
      </c>
      <c r="AL119" s="55">
        <f>AL85*ED_die_T1*(CIT_die_T1-CIA_die_T1)/1000000</f>
        <v>-203327.91553612761</v>
      </c>
      <c r="AM119" s="55">
        <f>AM85*ED_die_T1*(CIT_die_T1-CIA_die_T1)/1000000</f>
        <v>-216320.55082511617</v>
      </c>
      <c r="AN119" s="55">
        <f t="shared" ref="AN119:AU119" si="77">AN85*ED_die_T0*(CIT_die_T0-CIA_die_T0)/1000000</f>
        <v>-206814.68858429731</v>
      </c>
      <c r="AO119" s="55">
        <f t="shared" si="77"/>
        <v>-216956.50984265102</v>
      </c>
      <c r="AP119" s="55">
        <f t="shared" si="77"/>
        <v>-231707.19203755623</v>
      </c>
      <c r="AQ119" s="55">
        <f t="shared" si="77"/>
        <v>-246400.51792188993</v>
      </c>
      <c r="AR119" s="55">
        <f t="shared" si="77"/>
        <v>-210924.11593657368</v>
      </c>
      <c r="AS119" s="55">
        <f t="shared" si="77"/>
        <v>-219239.60019792692</v>
      </c>
      <c r="AT119" s="55">
        <f t="shared" si="77"/>
        <v>-234350.46961981698</v>
      </c>
      <c r="AU119" s="55">
        <f t="shared" si="77"/>
        <v>-249125.76708006914</v>
      </c>
    </row>
    <row r="120" spans="5:47" ht="15.75" thickBot="1" x14ac:dyDescent="0.3">
      <c r="F120" s="48" t="s">
        <v>555</v>
      </c>
      <c r="G120" s="49"/>
      <c r="H120" s="14">
        <f>SUM(H118:H119)</f>
        <v>-160811.40000000002</v>
      </c>
      <c r="I120" s="14">
        <f t="shared" ref="I120:V120" si="78">SUM(I118:I119)</f>
        <v>-137215</v>
      </c>
      <c r="J120" s="14">
        <f t="shared" si="78"/>
        <v>-159331.35</v>
      </c>
      <c r="K120" s="14">
        <f t="shared" si="78"/>
        <v>-137473.75</v>
      </c>
      <c r="L120" s="14">
        <f t="shared" si="78"/>
        <v>-126843.1</v>
      </c>
      <c r="M120" s="14">
        <f t="shared" si="78"/>
        <v>-168362.2</v>
      </c>
      <c r="N120" s="14">
        <f t="shared" si="78"/>
        <v>-186181.85</v>
      </c>
      <c r="O120" s="14">
        <f t="shared" si="78"/>
        <v>-162985.15</v>
      </c>
      <c r="P120" s="14">
        <f t="shared" si="78"/>
        <v>-190781.45</v>
      </c>
      <c r="Q120" s="14">
        <f t="shared" si="78"/>
        <v>-228176.55</v>
      </c>
      <c r="R120" s="14">
        <f t="shared" si="78"/>
        <v>-235122.75</v>
      </c>
      <c r="S120" s="14">
        <f t="shared" si="78"/>
        <v>-210802.40000000002</v>
      </c>
      <c r="T120" s="14">
        <f t="shared" si="78"/>
        <v>-239205.59999999998</v>
      </c>
      <c r="U120" s="14">
        <f t="shared" si="78"/>
        <v>-246461.80000000002</v>
      </c>
      <c r="V120" s="14">
        <f t="shared" si="78"/>
        <v>-258491.25</v>
      </c>
      <c r="W120" s="14">
        <f t="shared" ref="W120:AU120" si="79">SUM(W118:W119)</f>
        <v>-257861.59999999998</v>
      </c>
      <c r="X120" s="14">
        <f t="shared" si="79"/>
        <v>-279189.45</v>
      </c>
      <c r="Y120" s="14">
        <f t="shared" si="79"/>
        <v>-259656.84999999998</v>
      </c>
      <c r="Z120" s="14">
        <f t="shared" si="79"/>
        <v>-326878.5</v>
      </c>
      <c r="AA120" s="14">
        <f t="shared" si="79"/>
        <v>-288211.20000000001</v>
      </c>
      <c r="AB120" s="14">
        <f t="shared" si="79"/>
        <v>-367433.4</v>
      </c>
      <c r="AC120" s="14">
        <f t="shared" si="79"/>
        <v>-366029.65</v>
      </c>
      <c r="AD120" s="14">
        <f t="shared" si="79"/>
        <v>-420025.75</v>
      </c>
      <c r="AE120" s="14">
        <f t="shared" si="79"/>
        <v>-354197.25</v>
      </c>
      <c r="AF120" s="14">
        <f t="shared" si="79"/>
        <v>-466419.25</v>
      </c>
      <c r="AG120" s="14">
        <f t="shared" si="79"/>
        <v>-460722</v>
      </c>
      <c r="AH120" s="14">
        <f t="shared" si="79"/>
        <v>-502917.4</v>
      </c>
      <c r="AI120" s="14">
        <f t="shared" si="79"/>
        <v>-498675.15</v>
      </c>
      <c r="AJ120" s="14">
        <f t="shared" ref="AJ120" si="80">SUM(AJ118:AJ119)</f>
        <v>-508247.6</v>
      </c>
      <c r="AK120" s="14">
        <f t="shared" si="79"/>
        <v>-524089.95016160689</v>
      </c>
      <c r="AL120" s="14">
        <f t="shared" si="79"/>
        <v>-570170.56468990189</v>
      </c>
      <c r="AM120" s="14">
        <f t="shared" si="79"/>
        <v>-585820.58410030592</v>
      </c>
      <c r="AN120" s="14">
        <f t="shared" si="79"/>
        <v>-587842.19499552855</v>
      </c>
      <c r="AO120" s="14">
        <f t="shared" si="79"/>
        <v>-609615.72406018828</v>
      </c>
      <c r="AP120" s="14">
        <f t="shared" si="79"/>
        <v>-661899.60953275824</v>
      </c>
      <c r="AQ120" s="14">
        <f t="shared" si="79"/>
        <v>-678583.4933486525</v>
      </c>
      <c r="AR120" s="14">
        <f t="shared" si="79"/>
        <v>-589938.8358188956</v>
      </c>
      <c r="AS120" s="14">
        <f t="shared" si="79"/>
        <v>-609490.01720696979</v>
      </c>
      <c r="AT120" s="14">
        <f t="shared" si="79"/>
        <v>-661913.87454688107</v>
      </c>
      <c r="AU120" s="14">
        <f t="shared" si="79"/>
        <v>-678684.95329032361</v>
      </c>
    </row>
    <row r="121" spans="5:47" x14ac:dyDescent="0.25">
      <c r="F121" s="46"/>
      <c r="G121" s="46"/>
      <c r="H121" s="56"/>
      <c r="I121" s="56"/>
      <c r="J121" s="56"/>
      <c r="K121" s="56"/>
      <c r="L121" s="56"/>
      <c r="M121" s="56"/>
      <c r="N121" s="56"/>
      <c r="O121" s="56"/>
      <c r="P121" s="56"/>
      <c r="Q121" s="56"/>
      <c r="R121" s="56"/>
      <c r="S121" s="56"/>
      <c r="T121" s="56"/>
      <c r="U121" s="56"/>
      <c r="V121" s="56"/>
      <c r="W121" s="56"/>
      <c r="X121" s="56"/>
      <c r="Y121" s="56"/>
      <c r="Z121" s="56"/>
      <c r="AA121" s="56"/>
    </row>
    <row r="122" spans="5:47" x14ac:dyDescent="0.25">
      <c r="F122" s="51" t="s">
        <v>23</v>
      </c>
      <c r="G122" s="2" t="s">
        <v>5</v>
      </c>
      <c r="H122" s="3">
        <f t="shared" ref="H122:W122" si="81">SUM(H138:H139)</f>
        <v>138645.70000000001</v>
      </c>
      <c r="I122" s="3">
        <f t="shared" si="81"/>
        <v>118783.40000000001</v>
      </c>
      <c r="J122" s="3">
        <f t="shared" si="81"/>
        <v>134538.4</v>
      </c>
      <c r="K122" s="3">
        <f t="shared" si="81"/>
        <v>107971.2</v>
      </c>
      <c r="L122" s="3">
        <f t="shared" si="81"/>
        <v>110453.3</v>
      </c>
      <c r="M122" s="3">
        <f t="shared" si="81"/>
        <v>116910.40000000001</v>
      </c>
      <c r="N122" s="3">
        <f t="shared" si="81"/>
        <v>131067</v>
      </c>
      <c r="O122" s="3">
        <f t="shared" si="81"/>
        <v>121246.8</v>
      </c>
      <c r="P122" s="3">
        <f t="shared" si="81"/>
        <v>116865.8</v>
      </c>
      <c r="Q122" s="3">
        <f t="shared" si="81"/>
        <v>113534.5</v>
      </c>
      <c r="R122" s="3">
        <f t="shared" si="81"/>
        <v>134719.80000000002</v>
      </c>
      <c r="S122" s="3">
        <f t="shared" si="81"/>
        <v>130007.5</v>
      </c>
      <c r="T122" s="3">
        <f t="shared" si="81"/>
        <v>108480.1</v>
      </c>
      <c r="U122" s="3">
        <f t="shared" si="81"/>
        <v>127109.7</v>
      </c>
      <c r="V122" s="3">
        <f t="shared" si="81"/>
        <v>146323.4</v>
      </c>
      <c r="W122" s="3">
        <f t="shared" si="81"/>
        <v>138932.29999999999</v>
      </c>
      <c r="X122" s="3">
        <f t="shared" ref="X122:AE122" si="82">SUM(X138:X139)</f>
        <v>122550.39999999999</v>
      </c>
      <c r="Y122" s="3">
        <f t="shared" si="82"/>
        <v>108268.5</v>
      </c>
      <c r="Z122" s="3">
        <f t="shared" si="82"/>
        <v>133983</v>
      </c>
      <c r="AA122" s="3">
        <f t="shared" si="82"/>
        <v>123386</v>
      </c>
      <c r="AB122" s="3">
        <f t="shared" si="82"/>
        <v>108409.09999999999</v>
      </c>
      <c r="AC122" s="3">
        <f t="shared" si="82"/>
        <v>150457.1</v>
      </c>
      <c r="AD122" s="3">
        <f t="shared" si="82"/>
        <v>152561</v>
      </c>
      <c r="AE122" s="3">
        <f t="shared" si="82"/>
        <v>130175.1</v>
      </c>
      <c r="AF122" s="3">
        <f>SUM(AF138:AF139)</f>
        <v>115120.9</v>
      </c>
      <c r="AG122" s="3">
        <f>SUM(AG138:AG139)</f>
        <v>137589</v>
      </c>
      <c r="AH122" s="3">
        <f>SUM(AH138:AH139)</f>
        <v>136053.90000000002</v>
      </c>
      <c r="AI122" s="3">
        <f>SUM(AI138:AI139)</f>
        <v>119162.6</v>
      </c>
      <c r="AJ122" s="3">
        <f>SUM(AJ138:AJ139)</f>
        <v>136130.5</v>
      </c>
      <c r="AK122" s="3">
        <f>AK80*ED_eth_T1*(CIT_gas_T1-CIA_eth_T1)/1000000</f>
        <v>120016.99572183483</v>
      </c>
      <c r="AL122" s="3">
        <f>AL80*ED_eth_T1*(CIT_gas_T1-CIA_eth_T1)/1000000</f>
        <v>131885.72763333609</v>
      </c>
      <c r="AM122" s="3">
        <f>AM80*ED_eth_T1*(CIT_gas_T1-CIA_eth_T1)/1000000</f>
        <v>132841.09920548735</v>
      </c>
      <c r="AN122" s="3">
        <f t="shared" ref="AN122:AU122" si="83">AN80*ED_eth_T0*(CIT_gas_T0-CIA_Eth_T0)/1000000</f>
        <v>115993.81418499735</v>
      </c>
      <c r="AO122" s="3">
        <f t="shared" si="83"/>
        <v>119534.78204489422</v>
      </c>
      <c r="AP122" s="3">
        <f t="shared" si="83"/>
        <v>130960.7797314194</v>
      </c>
      <c r="AQ122" s="3">
        <f t="shared" si="83"/>
        <v>131566.75279885644</v>
      </c>
      <c r="AR122" s="3">
        <f t="shared" si="83"/>
        <v>115381.07420507471</v>
      </c>
      <c r="AS122" s="3">
        <f t="shared" si="83"/>
        <v>118801.48701734343</v>
      </c>
      <c r="AT122" s="3">
        <f t="shared" si="83"/>
        <v>130160.44592300008</v>
      </c>
      <c r="AU122" s="3">
        <f t="shared" si="83"/>
        <v>130768.00910261589</v>
      </c>
    </row>
    <row r="123" spans="5:47" x14ac:dyDescent="0.25">
      <c r="F123" s="51"/>
      <c r="G123" s="2" t="s">
        <v>7</v>
      </c>
      <c r="H123" s="3">
        <f t="shared" ref="H123:W123" si="84">SUM(H142:H143)</f>
        <v>58364.7</v>
      </c>
      <c r="I123" s="3">
        <f t="shared" si="84"/>
        <v>63917.599999999999</v>
      </c>
      <c r="J123" s="3">
        <f t="shared" si="84"/>
        <v>75239.95</v>
      </c>
      <c r="K123" s="3">
        <f t="shared" si="84"/>
        <v>68933.55</v>
      </c>
      <c r="L123" s="3">
        <f t="shared" si="84"/>
        <v>56946.8</v>
      </c>
      <c r="M123" s="3">
        <f t="shared" si="84"/>
        <v>82476.800000000003</v>
      </c>
      <c r="N123" s="3">
        <f t="shared" si="84"/>
        <v>90074.85</v>
      </c>
      <c r="O123" s="3">
        <f t="shared" si="84"/>
        <v>87098.014302230004</v>
      </c>
      <c r="P123" s="3">
        <f t="shared" si="84"/>
        <v>72723.646281665031</v>
      </c>
      <c r="Q123" s="3">
        <f t="shared" si="84"/>
        <v>87693.219200915511</v>
      </c>
      <c r="R123" s="3">
        <f t="shared" si="84"/>
        <v>100409.03239736639</v>
      </c>
      <c r="S123" s="3">
        <f t="shared" si="84"/>
        <v>90605.683479329469</v>
      </c>
      <c r="T123" s="3">
        <f t="shared" si="84"/>
        <v>81721.490345357786</v>
      </c>
      <c r="U123" s="3">
        <f t="shared" si="84"/>
        <v>120443.8281439712</v>
      </c>
      <c r="V123" s="3">
        <f t="shared" si="84"/>
        <v>123711.940061976</v>
      </c>
      <c r="W123" s="3">
        <f t="shared" si="84"/>
        <v>115171.98353013491</v>
      </c>
      <c r="X123" s="3">
        <f t="shared" ref="X123:AE123" si="85">SUM(X142:X143)</f>
        <v>116443.25794129001</v>
      </c>
      <c r="Y123" s="3">
        <f t="shared" si="85"/>
        <v>108456.79147050578</v>
      </c>
      <c r="Z123" s="3">
        <f t="shared" si="85"/>
        <v>124825.6197112614</v>
      </c>
      <c r="AA123" s="3">
        <f t="shared" si="85"/>
        <v>122814.1895650217</v>
      </c>
      <c r="AB123" s="3">
        <f t="shared" si="85"/>
        <v>100822.14085973871</v>
      </c>
      <c r="AC123" s="3">
        <f t="shared" si="85"/>
        <v>141200.31834169119</v>
      </c>
      <c r="AD123" s="3">
        <f t="shared" si="85"/>
        <v>143152.20893222929</v>
      </c>
      <c r="AE123" s="3">
        <f t="shared" si="85"/>
        <v>132020.10468202175</v>
      </c>
      <c r="AF123" s="3">
        <f>SUM(AF142:AF143)</f>
        <v>116019.655569293</v>
      </c>
      <c r="AG123" s="3">
        <f>SUM(AG142:AG143)</f>
        <v>161361.90225320941</v>
      </c>
      <c r="AH123" s="3">
        <f>SUM(AH142:AH143)</f>
        <v>112501.35456850445</v>
      </c>
      <c r="AI123" s="3">
        <f>SUM(AI142:AI143)</f>
        <v>153696.1237906217</v>
      </c>
      <c r="AJ123" s="3">
        <f>SUM(AJ142:AJ143)</f>
        <v>106062.27636967786</v>
      </c>
      <c r="AK123" s="3">
        <f>AK86*ED_bio_T1*(CIT_die_T1-CIA_Bio_T1)/1000000</f>
        <v>125242.95962796781</v>
      </c>
      <c r="AL123" s="3">
        <f>AL86*ED_bio_T1*(CIT_die_T1-CIA_Bio_T1)/1000000</f>
        <v>133844.9274530251</v>
      </c>
      <c r="AM123" s="3">
        <f>AM86*ED_bio_T1*(CIT_die_T1-CIA_Bio_T1)/1000000</f>
        <v>142397.60613019034</v>
      </c>
      <c r="AN123" s="3">
        <f t="shared" ref="AN123:AU123" si="86">AN86*ED_Bio_T0*(CIT_die_T0-CIA_bio_T0)/1000000</f>
        <v>120523.51793248788</v>
      </c>
      <c r="AO123" s="3">
        <f t="shared" si="86"/>
        <v>126433.77500690773</v>
      </c>
      <c r="AP123" s="3">
        <f t="shared" si="86"/>
        <v>135029.8961151503</v>
      </c>
      <c r="AQ123" s="3">
        <f t="shared" si="86"/>
        <v>143592.59220714745</v>
      </c>
      <c r="AR123" s="3">
        <f t="shared" si="86"/>
        <v>122918.33159187871</v>
      </c>
      <c r="AS123" s="3">
        <f t="shared" si="86"/>
        <v>127764.27083996082</v>
      </c>
      <c r="AT123" s="3">
        <f t="shared" si="86"/>
        <v>136570.29498752678</v>
      </c>
      <c r="AU123" s="3">
        <f t="shared" si="86"/>
        <v>145180.76091041844</v>
      </c>
    </row>
    <row r="124" spans="5:47" x14ac:dyDescent="0.25">
      <c r="F124" s="51"/>
      <c r="G124" s="2" t="s">
        <v>6</v>
      </c>
      <c r="H124" s="3">
        <f t="shared" ref="H124:W124" si="87">SUM(H144:H145)</f>
        <v>0</v>
      </c>
      <c r="I124" s="3">
        <f t="shared" si="87"/>
        <v>0</v>
      </c>
      <c r="J124" s="3">
        <f t="shared" si="87"/>
        <v>0</v>
      </c>
      <c r="K124" s="3">
        <f t="shared" si="87"/>
        <v>0</v>
      </c>
      <c r="L124" s="3">
        <f t="shared" si="87"/>
        <v>0</v>
      </c>
      <c r="M124" s="3">
        <f t="shared" si="87"/>
        <v>0</v>
      </c>
      <c r="N124" s="3">
        <f t="shared" si="87"/>
        <v>0</v>
      </c>
      <c r="O124" s="3">
        <f t="shared" si="87"/>
        <v>2863.335697769985</v>
      </c>
      <c r="P124" s="3">
        <f t="shared" si="87"/>
        <v>1949.0037183349648</v>
      </c>
      <c r="Q124" s="3">
        <f t="shared" si="87"/>
        <v>1637.830799084486</v>
      </c>
      <c r="R124" s="3">
        <f t="shared" si="87"/>
        <v>1800.9176026336174</v>
      </c>
      <c r="S124" s="3">
        <f t="shared" si="87"/>
        <v>4037.2165206705317</v>
      </c>
      <c r="T124" s="3">
        <f t="shared" si="87"/>
        <v>907.0096546422235</v>
      </c>
      <c r="U124" s="3">
        <f t="shared" si="87"/>
        <v>3104.2718560287944</v>
      </c>
      <c r="V124" s="3">
        <f t="shared" si="87"/>
        <v>98816.909938023993</v>
      </c>
      <c r="W124" s="3">
        <f t="shared" si="87"/>
        <v>38391.316469865094</v>
      </c>
      <c r="X124" s="3">
        <f t="shared" ref="X124:AE124" si="88">SUM(X144:X145)</f>
        <v>64217.792058709987</v>
      </c>
      <c r="Y124" s="3">
        <f t="shared" si="88"/>
        <v>53572.558529494221</v>
      </c>
      <c r="Z124" s="3">
        <f t="shared" si="88"/>
        <v>854.88028873859662</v>
      </c>
      <c r="AA124" s="3">
        <f t="shared" si="88"/>
        <v>29038.010434978289</v>
      </c>
      <c r="AB124" s="3">
        <f t="shared" si="88"/>
        <v>28230.159140261294</v>
      </c>
      <c r="AC124" s="3">
        <f t="shared" si="88"/>
        <v>11951.231658308796</v>
      </c>
      <c r="AD124" s="3">
        <f t="shared" si="88"/>
        <v>20057.541067770704</v>
      </c>
      <c r="AE124" s="3">
        <f t="shared" si="88"/>
        <v>14247.04531797826</v>
      </c>
      <c r="AF124" s="3">
        <f>SUM(AF144:AF145)</f>
        <v>90054.694430706993</v>
      </c>
      <c r="AG124" s="3">
        <f>SUM(AG144:AG145)</f>
        <v>35544.097746790598</v>
      </c>
      <c r="AH124" s="3">
        <f>SUM(AH144:AH145)</f>
        <v>83450.145431495548</v>
      </c>
      <c r="AI124" s="3">
        <f>SUM(AI144:AI145)</f>
        <v>124375.4262093783</v>
      </c>
      <c r="AJ124" s="3">
        <f>SUM(AJ144:AJ145)</f>
        <v>142388.82363032215</v>
      </c>
      <c r="AK124" s="3">
        <f>AK88*ED_ren_T1*(CIT_die_T1-CIA_ren_T1)/1000000</f>
        <v>109467.34626687692</v>
      </c>
      <c r="AL124" s="3">
        <f>AL88*ED_ren_T1*(CIT_die_T1-CIA_ren_T1)/1000000</f>
        <v>116985.80952644214</v>
      </c>
      <c r="AM124" s="3">
        <f>AM88*ED_ren_T1*(CIT_die_T1-CIA_ren_T1)/1000000</f>
        <v>124461.19210318467</v>
      </c>
      <c r="AN124" s="3">
        <f t="shared" ref="AN124:AU124" si="89">AN88*ED_ren_T0*(CIT_die_T0-CIA_ren_T0)/1000000</f>
        <v>124029.6917452801</v>
      </c>
      <c r="AO124" s="3">
        <f t="shared" si="89"/>
        <v>130111.88529265297</v>
      </c>
      <c r="AP124" s="3">
        <f t="shared" si="89"/>
        <v>138958.07788269708</v>
      </c>
      <c r="AQ124" s="3">
        <f t="shared" si="89"/>
        <v>147769.87308264992</v>
      </c>
      <c r="AR124" s="3">
        <f t="shared" si="89"/>
        <v>126494.17340875111</v>
      </c>
      <c r="AS124" s="3">
        <f t="shared" si="89"/>
        <v>131481.08684661353</v>
      </c>
      <c r="AT124" s="3">
        <f t="shared" si="89"/>
        <v>140543.28880736203</v>
      </c>
      <c r="AU124" s="3">
        <f t="shared" si="89"/>
        <v>149404.24351993288</v>
      </c>
    </row>
    <row r="125" spans="5:47" x14ac:dyDescent="0.25">
      <c r="F125" s="51"/>
      <c r="G125" s="2" t="s">
        <v>787</v>
      </c>
      <c r="H125" s="3">
        <f>+H37</f>
        <v>8573</v>
      </c>
      <c r="I125" s="3">
        <f t="shared" ref="I125:AE125" si="90">+I37</f>
        <v>8574</v>
      </c>
      <c r="J125" s="3">
        <f t="shared" si="90"/>
        <v>8573</v>
      </c>
      <c r="K125" s="3">
        <f t="shared" si="90"/>
        <v>8574</v>
      </c>
      <c r="L125" s="3">
        <f t="shared" si="90"/>
        <v>10301</v>
      </c>
      <c r="M125" s="3">
        <f t="shared" si="90"/>
        <v>10301</v>
      </c>
      <c r="N125" s="3">
        <f t="shared" si="90"/>
        <v>10301</v>
      </c>
      <c r="O125" s="3">
        <f t="shared" si="90"/>
        <v>10301</v>
      </c>
      <c r="P125" s="3">
        <f t="shared" si="90"/>
        <v>14222</v>
      </c>
      <c r="Q125" s="3">
        <f t="shared" si="90"/>
        <v>14222</v>
      </c>
      <c r="R125" s="3">
        <f t="shared" si="90"/>
        <v>14223</v>
      </c>
      <c r="S125" s="3">
        <f t="shared" si="90"/>
        <v>14223</v>
      </c>
      <c r="T125" s="3">
        <f t="shared" si="90"/>
        <v>18317</v>
      </c>
      <c r="U125" s="3">
        <f t="shared" si="90"/>
        <v>18317</v>
      </c>
      <c r="V125" s="3">
        <f t="shared" si="90"/>
        <v>18318</v>
      </c>
      <c r="W125" s="3">
        <f t="shared" si="90"/>
        <v>18318</v>
      </c>
      <c r="X125" s="3">
        <f t="shared" si="90"/>
        <v>24872</v>
      </c>
      <c r="Y125" s="3">
        <f t="shared" si="90"/>
        <v>24872</v>
      </c>
      <c r="Z125" s="3">
        <f t="shared" si="90"/>
        <v>24872</v>
      </c>
      <c r="AA125" s="3">
        <f t="shared" si="90"/>
        <v>24872</v>
      </c>
      <c r="AB125" s="3">
        <f t="shared" si="90"/>
        <v>32995.5</v>
      </c>
      <c r="AC125" s="3">
        <f t="shared" si="90"/>
        <v>32995.5</v>
      </c>
      <c r="AD125" s="3">
        <f t="shared" si="90"/>
        <v>39353</v>
      </c>
      <c r="AE125" s="3">
        <f t="shared" si="90"/>
        <v>39352</v>
      </c>
      <c r="AF125" s="3">
        <f>+AF37</f>
        <v>46402</v>
      </c>
      <c r="AG125" s="3">
        <f>+AG37</f>
        <v>46402</v>
      </c>
      <c r="AH125" s="3">
        <f>+AH37</f>
        <v>47330</v>
      </c>
      <c r="AI125" s="3">
        <f>+AI37</f>
        <v>47330</v>
      </c>
      <c r="AJ125" s="156">
        <f>'Electric Vehicles'!H44*(KWh_T1/4)*EEReon_T1*ED_eon_T1*(CIT_gas_T1-(CIA_eon_T1/EEReon_T1))/1000000</f>
        <v>57101.556418545602</v>
      </c>
      <c r="AK125" s="156">
        <f>'Electric Vehicles'!H45*(KWh_T1/4)*EEReon_T1*ED_eon_T1*(CIT_gas_T1-(CIA_eon_T1/EEReon_T1))/1000000</f>
        <v>61820.066591985604</v>
      </c>
      <c r="AL125" s="156">
        <f>'Electric Vehicles'!H46*(KWh_T1/4)*EEReon_T1*ED_eon_T1*(CIT_gas_T1-(CIA_eon_T1/EEReon_T1))/1000000</f>
        <v>66583.234093852807</v>
      </c>
      <c r="AM125" s="156">
        <f>'Electric Vehicles'!H47*(KWh_T1/4)*EEReon_T1*ED_eon_T1*(CIT_gas_T1-(CIA_eon_T1/EEReon_T1))/1000000</f>
        <v>71250.346210046395</v>
      </c>
      <c r="AN125" s="156">
        <f>'Electric Vehicles'!$H48*(KWh_T0/4)*EEReon_T0*ED_eon_T0*(CIT_gas_T0-(CIA_eon_T0/EEReon_T0))/1000000</f>
        <v>79255.801056758413</v>
      </c>
      <c r="AO125" s="156">
        <f>'Electric Vehicles'!$H49*(KWh_T0/4)*EEReon_T0*ED_eon_T0*(CIT_gas_T0-(CIA_eon_T0/EEReon_T0))/1000000</f>
        <v>85662.871261502398</v>
      </c>
      <c r="AP125" s="156">
        <f>'Electric Vehicles'!$H50*(KWh_T0/4)*EEReon_T0*ED_eon_T0*(CIT_gas_T0-(CIA_eon_T0/EEReon_T0))/1000000</f>
        <v>92048.527461551392</v>
      </c>
      <c r="AQ125" s="156">
        <f>'Electric Vehicles'!$H51*(KWh_T0/4)*EEReon_T0*ED_eon_T0*(CIT_gas_T0-(CIA_eon_T0/EEReon_T0))/1000000</f>
        <v>98136.100716246001</v>
      </c>
      <c r="AR125" s="156">
        <f>'Electric Vehicles'!$H52*(KWh_T0/4)*EEReon_T0*ED_eon_T0*(CIT_gas_T0-(CIA_eon_T0/EEReon_T0))/1000000</f>
        <v>106717.97723781419</v>
      </c>
      <c r="AS125" s="156">
        <f>'Electric Vehicles'!$H53*(KWh_T0/4)*EEReon_T0*ED_eon_T0*(CIT_gas_T0-(CIA_eon_T0/EEReon_T0))/1000000</f>
        <v>114464.7075762774</v>
      </c>
      <c r="AT125" s="156">
        <f>'Electric Vehicles'!$H54*(KWh_T0/4)*EEReon_T0*ED_eon_T0*(CIT_gas_T0-(CIA_eon_T0/EEReon_T0))/1000000</f>
        <v>122440.99604507101</v>
      </c>
      <c r="AU125" s="156">
        <f>'Electric Vehicles'!$H55*(KWh_T0/4)*EEReon_T0*ED_eon_T0*(CIT_gas_T0-(CIA_eon_T0/EEReon_T0))/1000000</f>
        <v>130326.48913395779</v>
      </c>
    </row>
    <row r="126" spans="5:47" x14ac:dyDescent="0.25">
      <c r="F126" s="51"/>
      <c r="G126" s="2" t="s">
        <v>786</v>
      </c>
      <c r="H126" s="3">
        <f>+H36</f>
        <v>321</v>
      </c>
      <c r="I126" s="3">
        <f t="shared" ref="I126:AE126" si="91">+I36</f>
        <v>500</v>
      </c>
      <c r="J126" s="3">
        <f t="shared" si="91"/>
        <v>684</v>
      </c>
      <c r="K126" s="3">
        <f t="shared" si="91"/>
        <v>640</v>
      </c>
      <c r="L126" s="3">
        <f t="shared" si="91"/>
        <v>649</v>
      </c>
      <c r="M126" s="3">
        <f t="shared" si="91"/>
        <v>822</v>
      </c>
      <c r="N126" s="3">
        <f t="shared" si="91"/>
        <v>1095</v>
      </c>
      <c r="O126" s="3">
        <f t="shared" si="91"/>
        <v>946</v>
      </c>
      <c r="P126" s="3">
        <f t="shared" si="91"/>
        <v>539</v>
      </c>
      <c r="Q126" s="3">
        <f t="shared" si="91"/>
        <v>761</v>
      </c>
      <c r="R126" s="3">
        <f t="shared" si="91"/>
        <v>968</v>
      </c>
      <c r="S126" s="3">
        <f t="shared" si="91"/>
        <v>1214</v>
      </c>
      <c r="T126" s="3">
        <f t="shared" si="91"/>
        <v>1187</v>
      </c>
      <c r="U126" s="3">
        <f t="shared" si="91"/>
        <v>1500</v>
      </c>
      <c r="V126" s="3">
        <f t="shared" si="91"/>
        <v>1965</v>
      </c>
      <c r="W126" s="3">
        <f t="shared" si="91"/>
        <v>1940</v>
      </c>
      <c r="X126" s="3">
        <f t="shared" si="91"/>
        <v>1529</v>
      </c>
      <c r="Y126" s="3">
        <f t="shared" si="91"/>
        <v>1032</v>
      </c>
      <c r="Z126" s="3">
        <f t="shared" si="91"/>
        <v>1952</v>
      </c>
      <c r="AA126" s="3">
        <f t="shared" si="91"/>
        <v>1818</v>
      </c>
      <c r="AB126" s="3">
        <f t="shared" si="91"/>
        <v>1759</v>
      </c>
      <c r="AC126" s="3">
        <f t="shared" si="91"/>
        <v>2687</v>
      </c>
      <c r="AD126" s="3">
        <f t="shared" si="91"/>
        <v>5360</v>
      </c>
      <c r="AE126" s="3">
        <f t="shared" si="91"/>
        <v>5498</v>
      </c>
      <c r="AF126" s="3">
        <f>+AF36</f>
        <v>5423</v>
      </c>
      <c r="AG126" s="3">
        <f>+AG36</f>
        <v>7831</v>
      </c>
      <c r="AH126" s="3">
        <f>+AH36</f>
        <v>10139</v>
      </c>
      <c r="AI126" s="3">
        <f>+AI36</f>
        <v>10164</v>
      </c>
      <c r="AJ126" s="3">
        <f>+AJ36</f>
        <v>8864</v>
      </c>
      <c r="AK126" s="3">
        <f>+'Electric Vehicles'!$H45*Forecast_Main!AK99*EEReon_T1*ED_eon_T1*(CIT_gas_T1-(0/EEReon_T1))/1000000</f>
        <v>10868.48982128336</v>
      </c>
      <c r="AL126" s="3">
        <f>+'Electric Vehicles'!$H46*Forecast_Main!AL99*EEReon_T1*ED_eon_T1*(CIT_gas_T1-(0/EEReon_T1))/1000000</f>
        <v>11971.776548379145</v>
      </c>
      <c r="AM126" s="3">
        <f>+'Electric Vehicles'!$H47*Forecast_Main!AM99*EEReon_T1*ED_eon_T1*(CIT_gas_T1-(0/EEReon_T1))/1000000</f>
        <v>13135.930245347003</v>
      </c>
      <c r="AN126" s="3">
        <f>+'Electric Vehicles'!$H48*Forecast_Main!AN99*EEReon_T0*ED_eon_T0*(CIT_gas_T0-(0/EEReon_T0))/1000000</f>
        <v>14453.880435248049</v>
      </c>
      <c r="AO126" s="3">
        <f>+'Electric Vehicles'!$H49*Forecast_Main!AO99*EEReon_T0*ED_eon_T0*(CIT_gas_T0-(0/EEReon_T0))/1000000</f>
        <v>15894.936756920784</v>
      </c>
      <c r="AP126" s="3">
        <f>+'Electric Vehicles'!$H50*Forecast_Main!AP99*EEReon_T0*ED_eon_T0*(CIT_gas_T0-(0/EEReon_T0))/1000000</f>
        <v>17283.387769278474</v>
      </c>
      <c r="AQ126" s="3">
        <f>+'Electric Vehicles'!$H51*Forecast_Main!AQ99*EEReon_T0*ED_eon_T0*(CIT_gas_T0-(0/EEReon_T0))/1000000</f>
        <v>18815.592615432943</v>
      </c>
      <c r="AR126" s="3">
        <f>+'Electric Vehicles'!$H52*Forecast_Main!AR99*EEReon_T0*ED_eon_T0*(CIT_gas_T0-(0/EEReon_T0))/1000000</f>
        <v>20824.854845527312</v>
      </c>
      <c r="AS126" s="3">
        <f>+'Electric Vehicles'!$H53*Forecast_Main!AS99*EEReon_T0*ED_eon_T0*(CIT_gas_T0-(0/EEReon_T0))/1000000</f>
        <v>23100.854340856637</v>
      </c>
      <c r="AT126" s="3">
        <f>+'Electric Vehicles'!$H54*Forecast_Main!AT99*EEReon_T0*ED_eon_T0*(CIT_gas_T0-(0/EEReon_T0))/1000000</f>
        <v>25689.250542905007</v>
      </c>
      <c r="AU126" s="3">
        <f>+'Electric Vehicles'!$H55*Forecast_Main!AU99*EEReon_T0*ED_eon_T0*(CIT_gas_T0-(0/EEReon_T0))/1000000</f>
        <v>28108.684121535069</v>
      </c>
    </row>
    <row r="127" spans="5:47" x14ac:dyDescent="0.25">
      <c r="F127" s="51"/>
      <c r="G127" s="4" t="s">
        <v>25</v>
      </c>
      <c r="H127" s="10">
        <f t="shared" ref="H127:W127" si="92">SUM(H148:H149)</f>
        <v>0</v>
      </c>
      <c r="I127" s="10">
        <f t="shared" si="92"/>
        <v>0</v>
      </c>
      <c r="J127" s="10">
        <f t="shared" si="92"/>
        <v>0</v>
      </c>
      <c r="K127" s="10">
        <f t="shared" si="92"/>
        <v>0</v>
      </c>
      <c r="L127" s="10">
        <f t="shared" si="92"/>
        <v>0</v>
      </c>
      <c r="M127" s="10">
        <f t="shared" si="92"/>
        <v>0</v>
      </c>
      <c r="N127" s="10">
        <f t="shared" si="92"/>
        <v>0</v>
      </c>
      <c r="O127" s="10">
        <f t="shared" si="92"/>
        <v>0</v>
      </c>
      <c r="P127" s="10">
        <f t="shared" si="92"/>
        <v>4288</v>
      </c>
      <c r="Q127" s="10">
        <f t="shared" si="92"/>
        <v>4206</v>
      </c>
      <c r="R127" s="10">
        <f t="shared" si="92"/>
        <v>4382</v>
      </c>
      <c r="S127" s="10">
        <f t="shared" si="92"/>
        <v>4313</v>
      </c>
      <c r="T127" s="10">
        <f t="shared" si="92"/>
        <v>4662</v>
      </c>
      <c r="U127" s="10">
        <f t="shared" si="92"/>
        <v>4756</v>
      </c>
      <c r="V127" s="10">
        <f t="shared" si="92"/>
        <v>5787</v>
      </c>
      <c r="W127" s="10">
        <f t="shared" si="92"/>
        <v>6098</v>
      </c>
      <c r="X127" s="10">
        <f t="shared" ref="X127:AE127" si="93">SUM(X148:X149)</f>
        <v>6391</v>
      </c>
      <c r="Y127" s="10">
        <f t="shared" si="93"/>
        <v>6459</v>
      </c>
      <c r="Z127" s="10">
        <f t="shared" si="93"/>
        <v>7835</v>
      </c>
      <c r="AA127" s="10">
        <f t="shared" si="93"/>
        <v>8579</v>
      </c>
      <c r="AB127" s="10">
        <f t="shared" si="93"/>
        <v>18392</v>
      </c>
      <c r="AC127" s="10">
        <f t="shared" si="93"/>
        <v>28285</v>
      </c>
      <c r="AD127" s="10">
        <f t="shared" si="93"/>
        <v>32449</v>
      </c>
      <c r="AE127" s="10">
        <f t="shared" si="93"/>
        <v>36097</v>
      </c>
      <c r="AF127" s="10">
        <f>SUM(AF148:AF149)</f>
        <v>38001</v>
      </c>
      <c r="AG127" s="10">
        <f>SUM(AG148:AG149)</f>
        <v>39897</v>
      </c>
      <c r="AH127" s="10">
        <f>SUM(AH148:AH149)</f>
        <v>42917</v>
      </c>
      <c r="AI127" s="10">
        <f>SUM(AI148:AI149)</f>
        <v>46713</v>
      </c>
      <c r="AJ127" s="10">
        <f>SUM(AJ148:AJ149)</f>
        <v>21487</v>
      </c>
      <c r="AK127" s="3">
        <f t="shared" ref="AK127:AU127" si="94">(SUM($AB127:$AE127)/SUM($AB101:$AE101))*AK101</f>
        <v>29524.433236922079</v>
      </c>
      <c r="AL127" s="3">
        <f t="shared" si="94"/>
        <v>28900.258595451774</v>
      </c>
      <c r="AM127" s="3">
        <f t="shared" si="94"/>
        <v>53201.327208306277</v>
      </c>
      <c r="AN127" s="3">
        <f t="shared" si="94"/>
        <v>55785.613599242206</v>
      </c>
      <c r="AO127" s="3">
        <f t="shared" si="94"/>
        <v>58968.011271830153</v>
      </c>
      <c r="AP127" s="3">
        <f t="shared" si="94"/>
        <v>60416.569765515225</v>
      </c>
      <c r="AQ127" s="3">
        <f t="shared" si="94"/>
        <v>62300.59711869774</v>
      </c>
      <c r="AR127" s="3">
        <f t="shared" si="94"/>
        <v>69981.230033074433</v>
      </c>
      <c r="AS127" s="3">
        <f t="shared" si="94"/>
        <v>72987.581098578157</v>
      </c>
      <c r="AT127" s="3">
        <f t="shared" si="94"/>
        <v>75702.157565017958</v>
      </c>
      <c r="AU127" s="3">
        <f t="shared" si="94"/>
        <v>80290.998715536407</v>
      </c>
    </row>
    <row r="128" spans="5:47" x14ac:dyDescent="0.25">
      <c r="F128" s="51"/>
      <c r="G128" s="2" t="s">
        <v>10</v>
      </c>
      <c r="H128" s="3">
        <f t="shared" ref="H128:W128" si="95">SUM(H150:H153)</f>
        <v>535</v>
      </c>
      <c r="I128" s="3">
        <f t="shared" si="95"/>
        <v>427</v>
      </c>
      <c r="J128" s="3">
        <f t="shared" si="95"/>
        <v>2380</v>
      </c>
      <c r="K128" s="3">
        <f t="shared" si="95"/>
        <v>3135</v>
      </c>
      <c r="L128" s="3">
        <f t="shared" si="95"/>
        <v>2364</v>
      </c>
      <c r="M128" s="3">
        <f t="shared" si="95"/>
        <v>3016</v>
      </c>
      <c r="N128" s="3">
        <f t="shared" si="95"/>
        <v>2961</v>
      </c>
      <c r="O128" s="3">
        <f t="shared" si="95"/>
        <v>2879</v>
      </c>
      <c r="P128" s="3">
        <f t="shared" si="95"/>
        <v>1675</v>
      </c>
      <c r="Q128" s="3">
        <f t="shared" si="95"/>
        <v>2284</v>
      </c>
      <c r="R128" s="3">
        <f t="shared" si="95"/>
        <v>2407</v>
      </c>
      <c r="S128" s="3">
        <f t="shared" si="95"/>
        <v>2545</v>
      </c>
      <c r="T128" s="3">
        <f t="shared" si="95"/>
        <v>2298</v>
      </c>
      <c r="U128" s="3">
        <f t="shared" si="95"/>
        <v>2496</v>
      </c>
      <c r="V128" s="3">
        <f t="shared" si="95"/>
        <v>2524</v>
      </c>
      <c r="W128" s="3">
        <f t="shared" si="95"/>
        <v>2976</v>
      </c>
      <c r="X128" s="3">
        <f t="shared" ref="X128:AE128" si="96">SUM(X150:X153)</f>
        <v>2738</v>
      </c>
      <c r="Y128" s="3">
        <f t="shared" si="96"/>
        <v>2787</v>
      </c>
      <c r="Z128" s="3">
        <f t="shared" si="96"/>
        <v>3556</v>
      </c>
      <c r="AA128" s="3">
        <f t="shared" si="96"/>
        <v>3737</v>
      </c>
      <c r="AB128" s="3">
        <f t="shared" si="96"/>
        <v>3773</v>
      </c>
      <c r="AC128" s="3">
        <f t="shared" si="96"/>
        <v>4805</v>
      </c>
      <c r="AD128" s="3">
        <f t="shared" si="96"/>
        <v>9751</v>
      </c>
      <c r="AE128" s="3">
        <f t="shared" si="96"/>
        <v>11611</v>
      </c>
      <c r="AF128" s="3">
        <f>SUM(AF150:AF153)</f>
        <v>11718</v>
      </c>
      <c r="AG128" s="3">
        <f>SUM(AG150:AG153)</f>
        <v>8504</v>
      </c>
      <c r="AH128" s="3">
        <f>SUM(AH150:AH153)</f>
        <v>4249</v>
      </c>
      <c r="AI128" s="3">
        <f>SUM(AI150:AI153)</f>
        <v>9199</v>
      </c>
      <c r="AJ128" s="3">
        <f>SUM(AJ150:AJ153)</f>
        <v>21993</v>
      </c>
      <c r="AK128" s="3">
        <f>SUM(AK104*EERng_T1*ED_die_T1*(CIT_die_T1-(CIA_fcg_T1/EERng_T1))/1000000,AK105*EERng_T1*ED_die_T1*(CIT_die_T1-(CIA_bgs_T1/EERng_T1))/1000000)</f>
        <v>10825.203225447249</v>
      </c>
      <c r="AL128" s="3">
        <f>SUM(AL104*EERng_T1*ED_die_T1*(CIT_die_T1-(CIA_fcg_T1/EERng_T1))/1000000,AL105*EERng_T1*ED_die_T1*(CIT_die_T1-(CIA_bgs_T1/EERng_T1))/1000000)</f>
        <v>11343.439345539839</v>
      </c>
      <c r="AM128" s="3">
        <f>SUM(AM104*EERng_T1*ED_die_T1*(CIT_die_T1-(CIA_fcg_T1/EERng_T1))/1000000,AM105*EERng_T1*ED_die_T1*(CIT_die_T1-(CIA_bgs_T1/EERng_T1))/1000000)</f>
        <v>11216.821964757552</v>
      </c>
      <c r="AN128" s="3">
        <f t="shared" ref="AN128:AU128" si="97">SUM(AN104*EERng_T0*ED_die_T0*(CIT_die_T0-(CIA_fcg_T0/EERng_T0))/1000000,AN105*EERng_T0*ED_die_T0*(CIT_die_T0-(CIA_bgs_T0/EERng_T0))/1000000)</f>
        <v>11877.637719164182</v>
      </c>
      <c r="AO128" s="3">
        <f t="shared" si="97"/>
        <v>12948.021515175204</v>
      </c>
      <c r="AP128" s="3">
        <f t="shared" si="97"/>
        <v>13567.883543919934</v>
      </c>
      <c r="AQ128" s="3">
        <f t="shared" si="97"/>
        <v>13416.436542286719</v>
      </c>
      <c r="AR128" s="3">
        <f t="shared" si="97"/>
        <v>13659.283377038812</v>
      </c>
      <c r="AS128" s="3">
        <f t="shared" si="97"/>
        <v>14890.224742451483</v>
      </c>
      <c r="AT128" s="3">
        <f t="shared" si="97"/>
        <v>15603.066075507923</v>
      </c>
      <c r="AU128" s="3">
        <f t="shared" si="97"/>
        <v>15428.902023629731</v>
      </c>
    </row>
    <row r="129" spans="5:70" ht="15.75" thickBot="1" x14ac:dyDescent="0.3">
      <c r="F129" s="44"/>
      <c r="G129" s="45" t="s">
        <v>817</v>
      </c>
      <c r="H129" s="55">
        <f t="shared" ref="H129:W129" si="98">SUM(H154:H155)</f>
        <v>28</v>
      </c>
      <c r="I129" s="55">
        <f t="shared" si="98"/>
        <v>28</v>
      </c>
      <c r="J129" s="55">
        <f t="shared" si="98"/>
        <v>13</v>
      </c>
      <c r="K129" s="55">
        <f t="shared" si="98"/>
        <v>31</v>
      </c>
      <c r="L129" s="55">
        <f t="shared" si="98"/>
        <v>32</v>
      </c>
      <c r="M129" s="55">
        <f t="shared" si="98"/>
        <v>68</v>
      </c>
      <c r="N129" s="55">
        <f t="shared" si="98"/>
        <v>38</v>
      </c>
      <c r="O129" s="55">
        <f t="shared" si="98"/>
        <v>61</v>
      </c>
      <c r="P129" s="55">
        <f t="shared" si="98"/>
        <v>199</v>
      </c>
      <c r="Q129" s="55">
        <f t="shared" si="98"/>
        <v>218</v>
      </c>
      <c r="R129" s="55">
        <f t="shared" si="98"/>
        <v>238</v>
      </c>
      <c r="S129" s="55">
        <f t="shared" si="98"/>
        <v>535</v>
      </c>
      <c r="T129" s="55">
        <f t="shared" si="98"/>
        <v>1219</v>
      </c>
      <c r="U129" s="55">
        <f t="shared" si="98"/>
        <v>1385</v>
      </c>
      <c r="V129" s="55">
        <f t="shared" si="98"/>
        <v>1643</v>
      </c>
      <c r="W129" s="55">
        <f t="shared" si="98"/>
        <v>1935</v>
      </c>
      <c r="X129" s="55">
        <f t="shared" ref="X129:AE129" si="99">SUM(X154:X155)</f>
        <v>1487</v>
      </c>
      <c r="Y129" s="55">
        <f t="shared" si="99"/>
        <v>961</v>
      </c>
      <c r="Z129" s="55">
        <f t="shared" si="99"/>
        <v>777</v>
      </c>
      <c r="AA129" s="55">
        <f t="shared" si="99"/>
        <v>1043</v>
      </c>
      <c r="AB129" s="55">
        <f t="shared" si="99"/>
        <v>1318</v>
      </c>
      <c r="AC129" s="55">
        <f t="shared" si="99"/>
        <v>1410</v>
      </c>
      <c r="AD129" s="55">
        <f t="shared" si="99"/>
        <v>1062</v>
      </c>
      <c r="AE129" s="55">
        <f t="shared" si="99"/>
        <v>1320</v>
      </c>
      <c r="AF129" s="55">
        <f>SUM(AF154:AF155)</f>
        <v>1047</v>
      </c>
      <c r="AG129" s="55">
        <f>SUM(AG154:AG155)</f>
        <v>1282</v>
      </c>
      <c r="AH129" s="55">
        <f>SUM(AH154:AH155)</f>
        <v>1581</v>
      </c>
      <c r="AI129" s="55">
        <f>SUM(AI154:AI155)</f>
        <v>1428</v>
      </c>
      <c r="AJ129" s="55">
        <f>SUM(AJ154:AJ155)</f>
        <v>1740</v>
      </c>
      <c r="AK129" s="3">
        <f>AK113*ED_lp_T1*(CIT_gas_T1-CIA_lp_T1)/1000000</f>
        <v>3628.7628364091252</v>
      </c>
      <c r="AL129" s="3">
        <f>AL113*ED_lp_T1*(CIT_gas_T1-CIA_lp_T1)/1000000</f>
        <v>3767.2071336613517</v>
      </c>
      <c r="AM129" s="3">
        <f>AM113*ED_lp_T1*(CIT_gas_T1-CIA_lp_T1)/1000000</f>
        <v>4279.0627225263997</v>
      </c>
      <c r="AN129" s="3">
        <f t="shared" ref="AN129:AU129" si="100">AN113*ED_lp_T0*(CIT_gas_T0-CIA_lp_T0)/1000000</f>
        <v>4819.9568158269749</v>
      </c>
      <c r="AO129" s="3">
        <f t="shared" si="100"/>
        <v>5180.3392600635189</v>
      </c>
      <c r="AP129" s="3">
        <f t="shared" si="100"/>
        <v>5540.3600915024062</v>
      </c>
      <c r="AQ129" s="3">
        <f t="shared" si="100"/>
        <v>5962.0187779580147</v>
      </c>
      <c r="AR129" s="3">
        <f t="shared" si="100"/>
        <v>6343.2891088785191</v>
      </c>
      <c r="AS129" s="3">
        <f t="shared" si="100"/>
        <v>6792.6721353287257</v>
      </c>
      <c r="AT129" s="3">
        <f t="shared" si="100"/>
        <v>7268.3103335319602</v>
      </c>
      <c r="AU129" s="3">
        <f t="shared" si="100"/>
        <v>7778.0556549306784</v>
      </c>
    </row>
    <row r="130" spans="5:70" ht="15.75" thickBot="1" x14ac:dyDescent="0.3">
      <c r="F130" s="48" t="s">
        <v>556</v>
      </c>
      <c r="G130" s="49"/>
      <c r="H130" s="14">
        <f>SUM(H122:H129)</f>
        <v>206467.40000000002</v>
      </c>
      <c r="I130" s="14">
        <f t="shared" ref="I130:V130" si="101">SUM(I122:I129)</f>
        <v>192230</v>
      </c>
      <c r="J130" s="14">
        <f t="shared" si="101"/>
        <v>221428.34999999998</v>
      </c>
      <c r="K130" s="14">
        <f t="shared" si="101"/>
        <v>189284.75</v>
      </c>
      <c r="L130" s="14">
        <f t="shared" si="101"/>
        <v>180746.1</v>
      </c>
      <c r="M130" s="14">
        <f t="shared" si="101"/>
        <v>213594.2</v>
      </c>
      <c r="N130" s="14">
        <f t="shared" si="101"/>
        <v>235536.85</v>
      </c>
      <c r="O130" s="14">
        <f t="shared" si="101"/>
        <v>225395.15</v>
      </c>
      <c r="P130" s="14">
        <f t="shared" si="101"/>
        <v>212461.45</v>
      </c>
      <c r="Q130" s="14">
        <f t="shared" si="101"/>
        <v>224556.55</v>
      </c>
      <c r="R130" s="14">
        <f t="shared" si="101"/>
        <v>259147.75000000003</v>
      </c>
      <c r="S130" s="14">
        <f t="shared" si="101"/>
        <v>247480.4</v>
      </c>
      <c r="T130" s="14">
        <f t="shared" si="101"/>
        <v>218791.6</v>
      </c>
      <c r="U130" s="14">
        <f t="shared" si="101"/>
        <v>279111.8</v>
      </c>
      <c r="V130" s="14">
        <f t="shared" si="101"/>
        <v>399089.25</v>
      </c>
      <c r="W130" s="14">
        <f t="shared" ref="W130:AU130" si="102">SUM(W122:W129)</f>
        <v>323762.59999999998</v>
      </c>
      <c r="X130" s="14">
        <f t="shared" si="102"/>
        <v>340228.45</v>
      </c>
      <c r="Y130" s="14">
        <f t="shared" si="102"/>
        <v>306408.84999999998</v>
      </c>
      <c r="Z130" s="14">
        <f t="shared" si="102"/>
        <v>298655.5</v>
      </c>
      <c r="AA130" s="14">
        <f t="shared" si="102"/>
        <v>315287.2</v>
      </c>
      <c r="AB130" s="14">
        <f t="shared" si="102"/>
        <v>295698.90000000002</v>
      </c>
      <c r="AC130" s="14">
        <f t="shared" si="102"/>
        <v>373791.15</v>
      </c>
      <c r="AD130" s="14">
        <f t="shared" si="102"/>
        <v>403745.75</v>
      </c>
      <c r="AE130" s="14">
        <f t="shared" si="102"/>
        <v>370320.25</v>
      </c>
      <c r="AF130" s="14">
        <f t="shared" si="102"/>
        <v>423786.25</v>
      </c>
      <c r="AG130" s="14">
        <f t="shared" si="102"/>
        <v>438411</v>
      </c>
      <c r="AH130" s="14">
        <f t="shared" si="102"/>
        <v>438221.4</v>
      </c>
      <c r="AI130" s="14">
        <f t="shared" si="102"/>
        <v>512068.15</v>
      </c>
      <c r="AJ130" s="14">
        <f t="shared" si="102"/>
        <v>495767.15641854558</v>
      </c>
      <c r="AK130" s="14">
        <f t="shared" si="102"/>
        <v>471394.25732872699</v>
      </c>
      <c r="AL130" s="14">
        <f t="shared" si="102"/>
        <v>505282.38032968831</v>
      </c>
      <c r="AM130" s="14">
        <f t="shared" si="102"/>
        <v>552783.38578984595</v>
      </c>
      <c r="AN130" s="14">
        <f t="shared" si="102"/>
        <v>526739.91348900518</v>
      </c>
      <c r="AO130" s="14">
        <f t="shared" si="102"/>
        <v>554734.62240994698</v>
      </c>
      <c r="AP130" s="14">
        <f t="shared" si="102"/>
        <v>593805.48236103426</v>
      </c>
      <c r="AQ130" s="14">
        <f t="shared" si="102"/>
        <v>621559.96385927522</v>
      </c>
      <c r="AR130" s="14">
        <f t="shared" si="102"/>
        <v>582320.21380803769</v>
      </c>
      <c r="AS130" s="14">
        <f t="shared" si="102"/>
        <v>610282.88459741022</v>
      </c>
      <c r="AT130" s="14">
        <f t="shared" si="102"/>
        <v>653977.81027992256</v>
      </c>
      <c r="AU130" s="14">
        <f t="shared" si="102"/>
        <v>687286.14318255684</v>
      </c>
    </row>
    <row r="132" spans="5:70" ht="15.75" thickBot="1" x14ac:dyDescent="0.3">
      <c r="F132" s="69" t="s">
        <v>579</v>
      </c>
      <c r="G132" s="23"/>
      <c r="H132" s="54">
        <f>SUM(H120,H130)</f>
        <v>45656</v>
      </c>
      <c r="I132" s="54">
        <f t="shared" ref="I132:V132" si="103">SUM(I120,I130)</f>
        <v>55015</v>
      </c>
      <c r="J132" s="54">
        <f t="shared" si="103"/>
        <v>62096.999999999971</v>
      </c>
      <c r="K132" s="54">
        <f t="shared" si="103"/>
        <v>51811</v>
      </c>
      <c r="L132" s="54">
        <f t="shared" si="103"/>
        <v>53903</v>
      </c>
      <c r="M132" s="54">
        <f t="shared" si="103"/>
        <v>45232</v>
      </c>
      <c r="N132" s="54">
        <f t="shared" si="103"/>
        <v>49355</v>
      </c>
      <c r="O132" s="54">
        <f t="shared" si="103"/>
        <v>62410</v>
      </c>
      <c r="P132" s="54">
        <f t="shared" si="103"/>
        <v>21680</v>
      </c>
      <c r="Q132" s="54">
        <f t="shared" si="103"/>
        <v>-3620</v>
      </c>
      <c r="R132" s="54">
        <f t="shared" si="103"/>
        <v>24025.000000000029</v>
      </c>
      <c r="S132" s="54">
        <f t="shared" si="103"/>
        <v>36677.999999999971</v>
      </c>
      <c r="T132" s="54">
        <f t="shared" si="103"/>
        <v>-20413.999999999971</v>
      </c>
      <c r="U132" s="54">
        <f t="shared" si="103"/>
        <v>32649.999999999971</v>
      </c>
      <c r="V132" s="54">
        <f t="shared" si="103"/>
        <v>140598</v>
      </c>
      <c r="W132" s="54">
        <f t="shared" ref="W132:AG132" si="104">SUM(W120,W130)</f>
        <v>65901</v>
      </c>
      <c r="X132" s="54">
        <f t="shared" si="104"/>
        <v>61039</v>
      </c>
      <c r="Y132" s="54">
        <f t="shared" si="104"/>
        <v>46752</v>
      </c>
      <c r="Z132" s="54">
        <f t="shared" si="104"/>
        <v>-28223</v>
      </c>
      <c r="AA132" s="54">
        <f t="shared" si="104"/>
        <v>27076</v>
      </c>
      <c r="AB132" s="54">
        <f>SUM(AB120,AB130)</f>
        <v>-71734.5</v>
      </c>
      <c r="AC132" s="54">
        <f>SUM(AC120,AC130)</f>
        <v>7761.5</v>
      </c>
      <c r="AD132" s="54">
        <f>SUM(AD120,AD130)</f>
        <v>-16280</v>
      </c>
      <c r="AE132" s="54">
        <f>SUM(AE120,AE130)</f>
        <v>16123</v>
      </c>
      <c r="AF132" s="54">
        <f t="shared" si="104"/>
        <v>-42633</v>
      </c>
      <c r="AG132" s="54">
        <f t="shared" si="104"/>
        <v>-22311</v>
      </c>
      <c r="AH132" s="54">
        <f t="shared" ref="AH132:AU132" si="105">SUM(AH120,AH130)</f>
        <v>-64696</v>
      </c>
      <c r="AI132" s="54">
        <f t="shared" si="105"/>
        <v>13393</v>
      </c>
      <c r="AJ132" s="54">
        <f t="shared" si="105"/>
        <v>-12480.443581454398</v>
      </c>
      <c r="AK132" s="54">
        <f t="shared" si="105"/>
        <v>-52695.692832879897</v>
      </c>
      <c r="AL132" s="54">
        <f t="shared" si="105"/>
        <v>-64888.184360213578</v>
      </c>
      <c r="AM132" s="54">
        <f t="shared" si="105"/>
        <v>-33037.198310459964</v>
      </c>
      <c r="AN132" s="54">
        <f t="shared" si="105"/>
        <v>-61102.281506523374</v>
      </c>
      <c r="AO132" s="54">
        <f t="shared" si="105"/>
        <v>-54881.101650241297</v>
      </c>
      <c r="AP132" s="54">
        <f t="shared" si="105"/>
        <v>-68094.127171723987</v>
      </c>
      <c r="AQ132" s="54">
        <f t="shared" si="105"/>
        <v>-57023.529489377281</v>
      </c>
      <c r="AR132" s="54">
        <f t="shared" si="105"/>
        <v>-7618.6220108579146</v>
      </c>
      <c r="AS132" s="54">
        <f t="shared" si="105"/>
        <v>792.8673904404277</v>
      </c>
      <c r="AT132" s="54">
        <f t="shared" si="105"/>
        <v>-7936.0642669585068</v>
      </c>
      <c r="AU132" s="54">
        <f t="shared" si="105"/>
        <v>8601.189892233233</v>
      </c>
    </row>
    <row r="134" spans="5:70" x14ac:dyDescent="0.25">
      <c r="H134" s="9"/>
      <c r="I134" s="9"/>
      <c r="J134" s="9"/>
      <c r="K134" s="9"/>
      <c r="L134" s="9"/>
      <c r="M134" s="9"/>
      <c r="N134" s="9"/>
      <c r="O134" s="9"/>
      <c r="P134" s="9"/>
      <c r="Q134" s="9"/>
      <c r="R134" s="9"/>
      <c r="S134" s="9"/>
      <c r="T134" s="9"/>
      <c r="U134" s="9"/>
      <c r="V134" s="9"/>
      <c r="X134" s="9"/>
      <c r="AH134" s="9"/>
    </row>
    <row r="135" spans="5:70" ht="21" x14ac:dyDescent="0.35">
      <c r="E135" s="71" t="s">
        <v>588</v>
      </c>
    </row>
    <row r="136" spans="5:70" x14ac:dyDescent="0.25">
      <c r="F136" t="s">
        <v>511</v>
      </c>
      <c r="G136" t="s">
        <v>22</v>
      </c>
      <c r="H136" s="9">
        <f t="shared" ref="H136:AE136" si="106">-(H50+0.9*H51)</f>
        <v>-104982.6</v>
      </c>
      <c r="I136" s="9">
        <f t="shared" si="106"/>
        <v>-92127.6</v>
      </c>
      <c r="J136" s="9">
        <f t="shared" si="106"/>
        <v>-105738.9</v>
      </c>
      <c r="K136" s="9">
        <f t="shared" si="106"/>
        <v>-89723.3</v>
      </c>
      <c r="L136" s="9">
        <f t="shared" si="106"/>
        <v>-81808.7</v>
      </c>
      <c r="M136" s="9">
        <f t="shared" si="106"/>
        <v>-109233.1</v>
      </c>
      <c r="N136" s="9">
        <f t="shared" si="106"/>
        <v>-124171</v>
      </c>
      <c r="O136" s="9">
        <f t="shared" si="106"/>
        <v>-110703.3</v>
      </c>
      <c r="P136" s="9">
        <f t="shared" si="106"/>
        <v>-124814.5</v>
      </c>
      <c r="Q136" s="9">
        <f t="shared" si="106"/>
        <v>-154369.1</v>
      </c>
      <c r="R136" s="9">
        <f t="shared" si="106"/>
        <v>-150871.1</v>
      </c>
      <c r="S136" s="9">
        <f t="shared" si="106"/>
        <v>-142941.4</v>
      </c>
      <c r="T136" s="9">
        <f t="shared" si="106"/>
        <v>-159105.1</v>
      </c>
      <c r="U136" s="9">
        <f t="shared" si="106"/>
        <v>-169123.7</v>
      </c>
      <c r="V136" s="9">
        <f t="shared" si="106"/>
        <v>-171339.4</v>
      </c>
      <c r="W136" s="9">
        <f t="shared" si="106"/>
        <v>-171683.3</v>
      </c>
      <c r="X136" s="9">
        <f t="shared" si="106"/>
        <v>-194892.4</v>
      </c>
      <c r="Y136" s="9">
        <f t="shared" si="106"/>
        <v>-154972.1</v>
      </c>
      <c r="Z136" s="9">
        <f t="shared" si="106"/>
        <v>-224399.9</v>
      </c>
      <c r="AA136" s="9">
        <f t="shared" si="106"/>
        <v>-182336.1</v>
      </c>
      <c r="AB136" s="9">
        <f t="shared" si="106"/>
        <v>-234647.7</v>
      </c>
      <c r="AC136" s="9">
        <f t="shared" si="106"/>
        <v>-240517.7</v>
      </c>
      <c r="AD136" s="9">
        <f t="shared" si="106"/>
        <v>-274845.90000000002</v>
      </c>
      <c r="AE136" s="9">
        <f t="shared" si="106"/>
        <v>-234071.1</v>
      </c>
      <c r="AF136" s="9">
        <f>-(AF50+0.9*AF51)</f>
        <v>-292009.90000000002</v>
      </c>
      <c r="AG136" s="9">
        <f>-(AG50+0.9*AG51)</f>
        <v>-307851.7</v>
      </c>
      <c r="AH136" s="9">
        <f>-(AH50+0.9*AH51)</f>
        <v>-329493.2</v>
      </c>
      <c r="AI136" s="9">
        <f>-(AI50+0.9*AI51)</f>
        <v>-331402.59999999998</v>
      </c>
      <c r="AJ136" s="9">
        <f>-(AJ50+0.9*AJ51)</f>
        <v>-345239.4</v>
      </c>
    </row>
    <row r="137" spans="5:70" x14ac:dyDescent="0.25">
      <c r="G137" t="s">
        <v>23</v>
      </c>
      <c r="H137" s="9">
        <f t="shared" ref="H137:AE137" si="107">H28+0.9*H29</f>
        <v>315.90000000000003</v>
      </c>
      <c r="I137" s="9">
        <f t="shared" si="107"/>
        <v>1052.2</v>
      </c>
      <c r="J137" s="9">
        <f t="shared" si="107"/>
        <v>496.5</v>
      </c>
      <c r="K137" s="9">
        <f t="shared" si="107"/>
        <v>157.1</v>
      </c>
      <c r="L137" s="9">
        <f t="shared" si="107"/>
        <v>271.39999999999998</v>
      </c>
      <c r="M137" s="9">
        <f t="shared" si="107"/>
        <v>942.7</v>
      </c>
      <c r="N137" s="9">
        <f t="shared" si="107"/>
        <v>749</v>
      </c>
      <c r="O137" s="9">
        <f t="shared" si="107"/>
        <v>398.5</v>
      </c>
      <c r="P137" s="9">
        <f t="shared" si="107"/>
        <v>247.7</v>
      </c>
      <c r="Q137" s="9">
        <f t="shared" si="107"/>
        <v>1280.5999999999999</v>
      </c>
      <c r="R137" s="9">
        <f t="shared" si="107"/>
        <v>479.3</v>
      </c>
      <c r="S137" s="9">
        <f t="shared" si="107"/>
        <v>1974.9</v>
      </c>
      <c r="T137" s="9">
        <f t="shared" si="107"/>
        <v>1564</v>
      </c>
      <c r="U137" s="9">
        <f t="shared" si="107"/>
        <v>2099</v>
      </c>
      <c r="V137" s="9">
        <f t="shared" si="107"/>
        <v>2409</v>
      </c>
      <c r="W137" s="9">
        <f t="shared" si="107"/>
        <v>2</v>
      </c>
      <c r="X137" s="9">
        <f t="shared" si="107"/>
        <v>3523</v>
      </c>
      <c r="Y137" s="9">
        <f t="shared" si="107"/>
        <v>5920.6</v>
      </c>
      <c r="Z137" s="9">
        <f t="shared" si="107"/>
        <v>3055.9</v>
      </c>
      <c r="AA137" s="9">
        <f t="shared" si="107"/>
        <v>1720.1000000000001</v>
      </c>
      <c r="AB137" s="9">
        <f t="shared" si="107"/>
        <v>4242.6000000000004</v>
      </c>
      <c r="AC137" s="9">
        <f t="shared" si="107"/>
        <v>12025.6</v>
      </c>
      <c r="AD137" s="9">
        <f t="shared" si="107"/>
        <v>5786.9000000000005</v>
      </c>
      <c r="AE137" s="9">
        <f t="shared" si="107"/>
        <v>6616</v>
      </c>
      <c r="AF137" s="9">
        <f>AF28+0.9*AF29</f>
        <v>12471</v>
      </c>
      <c r="AG137" s="9">
        <f>AG28+0.9*AG29</f>
        <v>14736.7</v>
      </c>
      <c r="AH137" s="9">
        <f>AH28+0.9*AH29</f>
        <v>12367.300000000001</v>
      </c>
      <c r="AI137" s="9">
        <f>AI28+0.9*AI29</f>
        <v>10566</v>
      </c>
      <c r="AJ137" s="9">
        <f>AJ28+0.9*AJ29</f>
        <v>14150.9</v>
      </c>
    </row>
    <row r="138" spans="5:70" x14ac:dyDescent="0.25">
      <c r="F138" t="s">
        <v>5</v>
      </c>
      <c r="G138" t="s">
        <v>22</v>
      </c>
      <c r="H138" s="9">
        <f t="shared" ref="H138:AE138" si="108">-(SUM(H59:H62)+0.1*H51)</f>
        <v>-48.400000000000006</v>
      </c>
      <c r="I138" s="9">
        <f t="shared" si="108"/>
        <v>-3854.4</v>
      </c>
      <c r="J138" s="9">
        <f t="shared" si="108"/>
        <v>-6493.1</v>
      </c>
      <c r="K138" s="9">
        <f t="shared" si="108"/>
        <v>-3714.7</v>
      </c>
      <c r="L138" s="9">
        <f t="shared" si="108"/>
        <v>-10686.3</v>
      </c>
      <c r="M138" s="9">
        <f t="shared" si="108"/>
        <v>-13599.9</v>
      </c>
      <c r="N138" s="9">
        <f t="shared" si="108"/>
        <v>-15532</v>
      </c>
      <c r="O138" s="9">
        <f t="shared" si="108"/>
        <v>-21146.7</v>
      </c>
      <c r="P138" s="9">
        <f t="shared" si="108"/>
        <v>-4221.5</v>
      </c>
      <c r="Q138" s="9">
        <f t="shared" si="108"/>
        <v>-3235.9</v>
      </c>
      <c r="R138" s="9">
        <f t="shared" si="108"/>
        <v>-5638.9</v>
      </c>
      <c r="S138" s="9">
        <f t="shared" si="108"/>
        <v>-7642.6</v>
      </c>
      <c r="T138" s="9">
        <f t="shared" si="108"/>
        <v>-4684.8999999999996</v>
      </c>
      <c r="U138" s="9">
        <f t="shared" si="108"/>
        <v>-9406.2999999999993</v>
      </c>
      <c r="V138" s="9">
        <f t="shared" si="108"/>
        <v>-11834.6</v>
      </c>
      <c r="W138" s="9">
        <f t="shared" si="108"/>
        <v>-6996.7</v>
      </c>
      <c r="X138" s="9">
        <f t="shared" si="108"/>
        <v>-2016.6</v>
      </c>
      <c r="Y138" s="9">
        <f t="shared" si="108"/>
        <v>-503.90000000000003</v>
      </c>
      <c r="Z138" s="9">
        <f t="shared" si="108"/>
        <v>-12013.1</v>
      </c>
      <c r="AA138" s="9">
        <f t="shared" si="108"/>
        <v>-5240.8999999999996</v>
      </c>
      <c r="AB138" s="9">
        <f t="shared" si="108"/>
        <v>-2405.3000000000002</v>
      </c>
      <c r="AC138" s="9">
        <f t="shared" si="108"/>
        <v>-942.30000000000007</v>
      </c>
      <c r="AD138" s="9">
        <f t="shared" si="108"/>
        <v>-3950.1</v>
      </c>
      <c r="AE138" s="9">
        <f t="shared" si="108"/>
        <v>-3237.9</v>
      </c>
      <c r="AF138" s="9">
        <f>-(SUM(AF59:AF62)+0.1*AF51)</f>
        <v>-7346.1</v>
      </c>
      <c r="AG138" s="9">
        <f>-(SUM(AG59:AG62)+0.1*AG51)</f>
        <v>-1387.3</v>
      </c>
      <c r="AH138" s="9">
        <f>-(SUM(AH59:AH62)+0.1*AH51)</f>
        <v>-7634.8</v>
      </c>
      <c r="AI138" s="9">
        <f>-(SUM(AI59:AI62)+0.1*AI51)</f>
        <v>-3773.4</v>
      </c>
      <c r="AJ138" s="9">
        <f>-(SUM(AJ59:AJ62)+0.1*AJ51)</f>
        <v>-639.6</v>
      </c>
    </row>
    <row r="139" spans="5:70" x14ac:dyDescent="0.25">
      <c r="G139" t="s">
        <v>23</v>
      </c>
      <c r="H139" s="9">
        <f t="shared" ref="H139:AE139" si="109">SUM(H38:H41)+0.1*H29</f>
        <v>138694.1</v>
      </c>
      <c r="I139" s="9">
        <f t="shared" si="109"/>
        <v>122637.8</v>
      </c>
      <c r="J139" s="9">
        <f t="shared" si="109"/>
        <v>141031.5</v>
      </c>
      <c r="K139" s="9">
        <f t="shared" si="109"/>
        <v>111685.9</v>
      </c>
      <c r="L139" s="9">
        <f t="shared" si="109"/>
        <v>121139.6</v>
      </c>
      <c r="M139" s="9">
        <f t="shared" si="109"/>
        <v>130510.3</v>
      </c>
      <c r="N139" s="9">
        <f t="shared" si="109"/>
        <v>146599</v>
      </c>
      <c r="O139" s="9">
        <f t="shared" si="109"/>
        <v>142393.5</v>
      </c>
      <c r="P139" s="9">
        <f t="shared" si="109"/>
        <v>121087.3</v>
      </c>
      <c r="Q139" s="9">
        <f t="shared" si="109"/>
        <v>116770.4</v>
      </c>
      <c r="R139" s="9">
        <f t="shared" si="109"/>
        <v>140358.70000000001</v>
      </c>
      <c r="S139" s="9">
        <f t="shared" si="109"/>
        <v>137650.1</v>
      </c>
      <c r="T139" s="9">
        <f t="shared" si="109"/>
        <v>113165</v>
      </c>
      <c r="U139" s="9">
        <f t="shared" si="109"/>
        <v>136516</v>
      </c>
      <c r="V139" s="9">
        <f t="shared" si="109"/>
        <v>158158</v>
      </c>
      <c r="W139" s="9">
        <f t="shared" si="109"/>
        <v>145929</v>
      </c>
      <c r="X139" s="9">
        <f t="shared" si="109"/>
        <v>124567</v>
      </c>
      <c r="Y139" s="9">
        <f t="shared" si="109"/>
        <v>108772.4</v>
      </c>
      <c r="Z139" s="9">
        <f t="shared" si="109"/>
        <v>145996.1</v>
      </c>
      <c r="AA139" s="9">
        <f t="shared" si="109"/>
        <v>128626.9</v>
      </c>
      <c r="AB139" s="9">
        <f t="shared" si="109"/>
        <v>110814.39999999999</v>
      </c>
      <c r="AC139" s="9">
        <f t="shared" si="109"/>
        <v>151399.4</v>
      </c>
      <c r="AD139" s="9">
        <f t="shared" si="109"/>
        <v>156511.1</v>
      </c>
      <c r="AE139" s="9">
        <f t="shared" si="109"/>
        <v>133413</v>
      </c>
      <c r="AF139" s="9">
        <f>SUM(AF38:AF41)+0.1*AF29</f>
        <v>122467</v>
      </c>
      <c r="AG139" s="9">
        <f>SUM(AG38:AG41)+0.1*AG29</f>
        <v>138976.29999999999</v>
      </c>
      <c r="AH139" s="9">
        <f>SUM(AH38:AH41)+0.1*AH29</f>
        <v>143688.70000000001</v>
      </c>
      <c r="AI139" s="9">
        <f>SUM(AI38:AI41)+0.1*AI29</f>
        <v>122936</v>
      </c>
      <c r="AJ139" s="9">
        <f>SUM(AJ38:AJ41)+0.1*AJ29</f>
        <v>136770.1</v>
      </c>
    </row>
    <row r="140" spans="5:70" x14ac:dyDescent="0.25">
      <c r="F140" t="s">
        <v>565</v>
      </c>
      <c r="G140" t="s">
        <v>22</v>
      </c>
      <c r="H140" s="9">
        <f t="shared" ref="H140:AE140" si="110">-(SUM(H47,0.8*H48,0.95*H49))</f>
        <v>-56497.25</v>
      </c>
      <c r="I140" s="9">
        <f t="shared" si="110"/>
        <v>-47313.35</v>
      </c>
      <c r="J140" s="9">
        <f t="shared" si="110"/>
        <v>-54393.3</v>
      </c>
      <c r="K140" s="9">
        <f t="shared" si="110"/>
        <v>-48497.55</v>
      </c>
      <c r="L140" s="9">
        <f t="shared" si="110"/>
        <v>-45777.9</v>
      </c>
      <c r="M140" s="9">
        <f t="shared" si="110"/>
        <v>-61057.25</v>
      </c>
      <c r="N140" s="9">
        <f t="shared" si="110"/>
        <v>-63539.55</v>
      </c>
      <c r="O140" s="9">
        <f t="shared" si="110"/>
        <v>-53301.65</v>
      </c>
      <c r="P140" s="9">
        <f t="shared" si="110"/>
        <v>-67373.55</v>
      </c>
      <c r="Q140" s="9">
        <f t="shared" si="110"/>
        <v>-76992.149999999994</v>
      </c>
      <c r="R140" s="9">
        <f t="shared" si="110"/>
        <v>-86357.3</v>
      </c>
      <c r="S140" s="9">
        <f t="shared" si="110"/>
        <v>-71918.600000000006</v>
      </c>
      <c r="T140" s="9">
        <f t="shared" si="110"/>
        <v>-84005.599999999991</v>
      </c>
      <c r="U140" s="9">
        <f t="shared" si="110"/>
        <v>-81019.150000000009</v>
      </c>
      <c r="V140" s="9">
        <f t="shared" si="110"/>
        <v>-91002.25</v>
      </c>
      <c r="W140" s="9">
        <f t="shared" si="110"/>
        <v>-86482</v>
      </c>
      <c r="X140" s="9">
        <f t="shared" si="110"/>
        <v>-88827.35</v>
      </c>
      <c r="Y140" s="9">
        <f t="shared" si="110"/>
        <v>-111257.45</v>
      </c>
      <c r="Z140" s="9">
        <f t="shared" si="110"/>
        <v>-107790.5</v>
      </c>
      <c r="AA140" s="9">
        <f t="shared" si="110"/>
        <v>-110529.85</v>
      </c>
      <c r="AB140" s="9">
        <f t="shared" si="110"/>
        <v>-138847.35</v>
      </c>
      <c r="AC140" s="9">
        <f t="shared" si="110"/>
        <v>-139399.05000000002</v>
      </c>
      <c r="AD140" s="9">
        <f t="shared" si="110"/>
        <v>-152635.65</v>
      </c>
      <c r="AE140" s="9">
        <f t="shared" si="110"/>
        <v>-128161.75</v>
      </c>
      <c r="AF140" s="9">
        <f>-(SUM(AF47,0.8*AF48,0.95*AF49))</f>
        <v>-189101.75</v>
      </c>
      <c r="AG140" s="9">
        <f>-(SUM(AG47,0.8*AG48,0.95*AG49))</f>
        <v>-169554.9</v>
      </c>
      <c r="AH140" s="9">
        <f>-(SUM(AH47,0.8*AH48,0.95*AH49))</f>
        <v>-189359.15</v>
      </c>
      <c r="AI140" s="9">
        <f>-(SUM(AI47,0.8*AI48,0.95*AI49))</f>
        <v>-181189.40000000002</v>
      </c>
      <c r="AJ140" s="9">
        <f>-(SUM(AJ47,0.8*AJ48,0.95*AJ49))</f>
        <v>-182521.44999999998</v>
      </c>
      <c r="BF140" s="9"/>
      <c r="BJ140" s="9"/>
      <c r="BN140" s="9"/>
      <c r="BP140" s="9"/>
      <c r="BR140" s="9"/>
    </row>
    <row r="141" spans="5:70" x14ac:dyDescent="0.25">
      <c r="G141" t="s">
        <v>23</v>
      </c>
      <c r="H141" s="9">
        <f t="shared" ref="H141:AE141" si="111">(SUM(H25,0.8*H26,0.95*H27))</f>
        <v>352.55</v>
      </c>
      <c r="I141" s="9">
        <f t="shared" si="111"/>
        <v>1173.75</v>
      </c>
      <c r="J141" s="9">
        <f t="shared" si="111"/>
        <v>304.35000000000002</v>
      </c>
      <c r="K141" s="9">
        <f t="shared" si="111"/>
        <v>590</v>
      </c>
      <c r="L141" s="9">
        <f t="shared" si="111"/>
        <v>472.1</v>
      </c>
      <c r="M141" s="9">
        <f t="shared" si="111"/>
        <v>985.45</v>
      </c>
      <c r="N141" s="9">
        <f t="shared" si="111"/>
        <v>779.7</v>
      </c>
      <c r="O141" s="9">
        <f t="shared" si="111"/>
        <v>621.29999999999995</v>
      </c>
      <c r="P141" s="9">
        <f t="shared" si="111"/>
        <v>1158.9000000000001</v>
      </c>
      <c r="Q141" s="9">
        <f t="shared" si="111"/>
        <v>1904.1</v>
      </c>
      <c r="R141" s="9">
        <f t="shared" si="111"/>
        <v>1626.35</v>
      </c>
      <c r="S141" s="9">
        <f t="shared" si="111"/>
        <v>2082.6999999999998</v>
      </c>
      <c r="T141" s="9">
        <f t="shared" si="111"/>
        <v>2341.1</v>
      </c>
      <c r="U141" s="9">
        <f t="shared" si="111"/>
        <v>1582.05</v>
      </c>
      <c r="V141" s="9">
        <f t="shared" si="111"/>
        <v>1441.4</v>
      </c>
      <c r="W141" s="9">
        <f t="shared" si="111"/>
        <v>301.7</v>
      </c>
      <c r="X141" s="9">
        <f t="shared" si="111"/>
        <v>1007.3</v>
      </c>
      <c r="Y141" s="9">
        <f t="shared" si="111"/>
        <v>652.09999999999991</v>
      </c>
      <c r="Z141" s="9">
        <f t="shared" si="111"/>
        <v>2256</v>
      </c>
      <c r="AA141" s="9">
        <f t="shared" si="111"/>
        <v>2934.65</v>
      </c>
      <c r="AB141" s="9">
        <f t="shared" si="111"/>
        <v>1819.05</v>
      </c>
      <c r="AC141" s="9">
        <f t="shared" si="111"/>
        <v>1861.5</v>
      </c>
      <c r="AD141" s="9">
        <f t="shared" si="111"/>
        <v>1668.8999999999999</v>
      </c>
      <c r="AE141" s="9">
        <f t="shared" si="111"/>
        <v>1419.6</v>
      </c>
      <c r="AF141" s="9">
        <f>(SUM(AF25,0.8*AF26,0.95*AF27))</f>
        <v>2221.4</v>
      </c>
      <c r="AG141" s="9">
        <f>(SUM(AG25,0.8*AG26,0.95*AG27))</f>
        <v>1947.8999999999999</v>
      </c>
      <c r="AH141" s="9">
        <f>(SUM(AH25,0.8*AH26,0.95*AH27))</f>
        <v>3567.65</v>
      </c>
      <c r="AI141" s="9">
        <f>(SUM(AI25,0.8*AI26,0.95*AI27))</f>
        <v>3350.85</v>
      </c>
      <c r="AJ141" s="9">
        <f>(SUM(AJ25,0.8*AJ26,0.95*AJ27))</f>
        <v>5362.3499999999995</v>
      </c>
    </row>
    <row r="142" spans="5:70" x14ac:dyDescent="0.25">
      <c r="F142" t="s">
        <v>7</v>
      </c>
      <c r="G142" t="s">
        <v>22</v>
      </c>
      <c r="H142" s="9">
        <f t="shared" ref="H142:AE142" si="112">-SUM(H55,0.2*H48*(H55/SUM(H55:H56)),0.05*H49*(H55/SUM(H55:H56)))</f>
        <v>-170.75</v>
      </c>
      <c r="I142" s="9">
        <f t="shared" si="112"/>
        <v>-1266.6500000000001</v>
      </c>
      <c r="J142" s="9">
        <f t="shared" si="112"/>
        <v>-1296.7</v>
      </c>
      <c r="K142" s="9">
        <f t="shared" si="112"/>
        <v>-491.45</v>
      </c>
      <c r="L142" s="9">
        <f t="shared" si="112"/>
        <v>-527.1</v>
      </c>
      <c r="M142" s="9">
        <f t="shared" si="112"/>
        <v>-922.75</v>
      </c>
      <c r="N142" s="9">
        <f t="shared" si="112"/>
        <v>-2159.4499999999998</v>
      </c>
      <c r="O142" s="9">
        <f t="shared" si="112"/>
        <v>-1304.3499999999999</v>
      </c>
      <c r="P142" s="9">
        <f t="shared" si="112"/>
        <v>-685.72016248153614</v>
      </c>
      <c r="Q142" s="9">
        <f t="shared" si="112"/>
        <v>-1155.8499999999999</v>
      </c>
      <c r="R142" s="9">
        <f t="shared" si="112"/>
        <v>-1122.7</v>
      </c>
      <c r="S142" s="9">
        <f t="shared" si="112"/>
        <v>-617.4</v>
      </c>
      <c r="T142" s="9">
        <f t="shared" si="112"/>
        <v>-1922.3999999999999</v>
      </c>
      <c r="U142" s="9">
        <f t="shared" si="112"/>
        <v>-1487.8500000000001</v>
      </c>
      <c r="V142" s="9">
        <f t="shared" si="112"/>
        <v>-1596.75</v>
      </c>
      <c r="W142" s="9">
        <f t="shared" si="112"/>
        <v>-997</v>
      </c>
      <c r="X142" s="9">
        <f t="shared" si="112"/>
        <v>-214.10271739130437</v>
      </c>
      <c r="Y142" s="9">
        <f t="shared" si="112"/>
        <v>-3994.0523210831725</v>
      </c>
      <c r="Z142" s="9">
        <f t="shared" si="112"/>
        <v>-1495.041499713795</v>
      </c>
      <c r="AA142" s="9">
        <f t="shared" si="112"/>
        <v>-3258.2678314337136</v>
      </c>
      <c r="AB142" s="9">
        <f t="shared" si="112"/>
        <v>-1381.2382398383647</v>
      </c>
      <c r="AC142" s="9">
        <f t="shared" si="112"/>
        <v>-383.84476083554466</v>
      </c>
      <c r="AD142" s="9">
        <f t="shared" si="112"/>
        <v>-2322.8627090301006</v>
      </c>
      <c r="AE142" s="9">
        <f t="shared" si="112"/>
        <v>-257.5813476061295</v>
      </c>
      <c r="AF142" s="9">
        <f>-SUM(AF55,0.2*AF48*(AF55/SUM(AF55:AF56)),0.05*AF49*(AF55/SUM(AF55:AF56)))</f>
        <v>-3877.50574919152</v>
      </c>
      <c r="AG142" s="9">
        <f>-SUM(AG55,0.2*AG48*(AG55/SUM(AG55:AG56)),0.05*AG49*(AG55/SUM(AG55:AG56)))</f>
        <v>-11027.43218042716</v>
      </c>
      <c r="AH142" s="9">
        <f>-SUM(AH55,0.2*AH48*(AH55/SUM(AH55:AH56)),0.05*AH49*(AH55/SUM(AH55:AH56)))</f>
        <v>-5948.2086022589756</v>
      </c>
      <c r="AI142" s="9">
        <f>-SUM(AI55,0.2*AI48*(AI55/SUM(AI55:AI56)),0.05*AI49*(AI55/SUM(AI55:AI56)))</f>
        <v>-4578.3415245087454</v>
      </c>
      <c r="AJ142" s="9">
        <f>-SUM(AJ55,0.2*AJ48*(AJ55/SUM(AJ55:AJ56)),0.05*AJ49*(AJ55/SUM(AJ55:AJ56)))</f>
        <v>-923.89155712841261</v>
      </c>
    </row>
    <row r="143" spans="5:70" x14ac:dyDescent="0.25">
      <c r="G143" t="s">
        <v>23</v>
      </c>
      <c r="H143" s="9">
        <f t="shared" ref="H143:AE143" si="113">SUM(H33,0.2*H26*(H33/SUM(H33:H34)),0.05*H27*(H33/SUM(H33:H34)))</f>
        <v>58535.45</v>
      </c>
      <c r="I143" s="9">
        <f t="shared" si="113"/>
        <v>65184.25</v>
      </c>
      <c r="J143" s="9">
        <f t="shared" si="113"/>
        <v>76536.649999999994</v>
      </c>
      <c r="K143" s="9">
        <f t="shared" si="113"/>
        <v>69425</v>
      </c>
      <c r="L143" s="9">
        <f t="shared" si="113"/>
        <v>57473.9</v>
      </c>
      <c r="M143" s="9">
        <f t="shared" si="113"/>
        <v>83399.55</v>
      </c>
      <c r="N143" s="9">
        <f t="shared" si="113"/>
        <v>92234.3</v>
      </c>
      <c r="O143" s="9">
        <f t="shared" si="113"/>
        <v>88402.364302230009</v>
      </c>
      <c r="P143" s="9">
        <f t="shared" si="113"/>
        <v>73409.366444146566</v>
      </c>
      <c r="Q143" s="9">
        <f t="shared" si="113"/>
        <v>88849.069200915517</v>
      </c>
      <c r="R143" s="9">
        <f t="shared" si="113"/>
        <v>101531.73239736639</v>
      </c>
      <c r="S143" s="9">
        <f t="shared" si="113"/>
        <v>91223.083479329463</v>
      </c>
      <c r="T143" s="9">
        <f t="shared" si="113"/>
        <v>83643.89034535778</v>
      </c>
      <c r="U143" s="9">
        <f t="shared" si="113"/>
        <v>121931.67814397121</v>
      </c>
      <c r="V143" s="9">
        <f t="shared" si="113"/>
        <v>125308.690061976</v>
      </c>
      <c r="W143" s="9">
        <f t="shared" si="113"/>
        <v>116168.98353013491</v>
      </c>
      <c r="X143" s="9">
        <f t="shared" si="113"/>
        <v>116657.36065868131</v>
      </c>
      <c r="Y143" s="9">
        <f t="shared" si="113"/>
        <v>112450.84379158895</v>
      </c>
      <c r="Z143" s="9">
        <f t="shared" si="113"/>
        <v>126320.6612109752</v>
      </c>
      <c r="AA143" s="9">
        <f t="shared" si="113"/>
        <v>126072.45739645541</v>
      </c>
      <c r="AB143" s="9">
        <f t="shared" si="113"/>
        <v>102203.37909957707</v>
      </c>
      <c r="AC143" s="9">
        <f t="shared" si="113"/>
        <v>141584.16310252674</v>
      </c>
      <c r="AD143" s="9">
        <f t="shared" si="113"/>
        <v>145475.07164125939</v>
      </c>
      <c r="AE143" s="9">
        <f t="shared" si="113"/>
        <v>132277.68602962786</v>
      </c>
      <c r="AF143" s="9">
        <f>SUM(AF33,0.2*AF26*(AF33/SUM(AF33:AF34)),0.05*AF27*(AF33/SUM(AF33:AF34)))</f>
        <v>119897.16131848452</v>
      </c>
      <c r="AG143" s="9">
        <f>SUM(AG33,0.2*AG26*(AG33/SUM(AG33:AG34)),0.05*AG27*(AG33/SUM(AG33:AG34)))</f>
        <v>172389.33443363657</v>
      </c>
      <c r="AH143" s="9">
        <f>SUM(AH33,0.2*AH26*(AH33/SUM(AH33:AH34)),0.05*AH27*(AH33/SUM(AH33:AH34)))</f>
        <v>118449.56317076343</v>
      </c>
      <c r="AI143" s="9">
        <f>SUM(AI33,0.2*AI26*(AI33/SUM(AI33:AI34)),0.05*AI27*(AI33/SUM(AI33:AI34)))</f>
        <v>158274.46531513045</v>
      </c>
      <c r="AJ143" s="9">
        <f>SUM(AJ33,0.2*AJ26*(AJ33/SUM(AJ33:AJ34)),0.05*AJ27*(AJ33/SUM(AJ33:AJ34)))</f>
        <v>106986.16792680627</v>
      </c>
    </row>
    <row r="144" spans="5:70" x14ac:dyDescent="0.25">
      <c r="F144" t="s">
        <v>6</v>
      </c>
      <c r="G144" t="s">
        <v>22</v>
      </c>
      <c r="H144" s="9">
        <f t="shared" ref="H144:AE144" si="114">-SUM(H56,0.2*H48*(H56/SUM(H55:H56)),0.05*H49*(H56/SUM(H55:H56)))</f>
        <v>0</v>
      </c>
      <c r="I144" s="9">
        <f t="shared" si="114"/>
        <v>0</v>
      </c>
      <c r="J144" s="9">
        <f t="shared" si="114"/>
        <v>0</v>
      </c>
      <c r="K144" s="9">
        <f t="shared" si="114"/>
        <v>0</v>
      </c>
      <c r="L144" s="9">
        <f t="shared" si="114"/>
        <v>0</v>
      </c>
      <c r="M144" s="9">
        <f t="shared" si="114"/>
        <v>0</v>
      </c>
      <c r="N144" s="9">
        <f t="shared" si="114"/>
        <v>0</v>
      </c>
      <c r="O144" s="9">
        <f t="shared" si="114"/>
        <v>0</v>
      </c>
      <c r="P144" s="9">
        <f t="shared" si="114"/>
        <v>-18.72983751846381</v>
      </c>
      <c r="Q144" s="9">
        <f t="shared" si="114"/>
        <v>0</v>
      </c>
      <c r="R144" s="9">
        <f t="shared" si="114"/>
        <v>0</v>
      </c>
      <c r="S144" s="9">
        <f t="shared" si="114"/>
        <v>0</v>
      </c>
      <c r="T144" s="9">
        <f t="shared" si="114"/>
        <v>0</v>
      </c>
      <c r="U144" s="9">
        <f t="shared" si="114"/>
        <v>0</v>
      </c>
      <c r="V144" s="9">
        <f t="shared" si="114"/>
        <v>0</v>
      </c>
      <c r="W144" s="9">
        <f t="shared" si="114"/>
        <v>0</v>
      </c>
      <c r="X144" s="9">
        <f t="shared" si="114"/>
        <v>-157.54728260869567</v>
      </c>
      <c r="Y144" s="9">
        <f t="shared" si="114"/>
        <v>-211.49767891682785</v>
      </c>
      <c r="Z144" s="9">
        <f t="shared" si="114"/>
        <v>-312.45850028620492</v>
      </c>
      <c r="AA144" s="9">
        <f t="shared" si="114"/>
        <v>-143.88216856628674</v>
      </c>
      <c r="AB144" s="9">
        <f t="shared" si="114"/>
        <v>-15535.411760161634</v>
      </c>
      <c r="AC144" s="9">
        <f t="shared" si="114"/>
        <v>-29152.105239164455</v>
      </c>
      <c r="AD144" s="9">
        <f t="shared" si="114"/>
        <v>-184.48729096989965</v>
      </c>
      <c r="AE144" s="9">
        <f t="shared" si="114"/>
        <v>-13465.66865239387</v>
      </c>
      <c r="AF144" s="9">
        <f>-SUM(AF56,0.2*AF48*(AF56/SUM(AF55:AF56)),0.05*AF49*(AF56/SUM(AF55:AF56)))</f>
        <v>-4592.7442508084796</v>
      </c>
      <c r="AG144" s="9">
        <f>-SUM(AG56,0.2*AG48*(AG56/SUM(AG55:AG56)),0.05*AG49*(AG56/SUM(AG55:AG56)))</f>
        <v>-7953.66781957284</v>
      </c>
      <c r="AH144" s="9">
        <f>-SUM(AH56,0.2*AH48*(AH56/SUM(AH55:AH56)),0.05*AH49*(AH56/SUM(AH55:AH56)))</f>
        <v>-28952.641397741023</v>
      </c>
      <c r="AI144" s="9">
        <f>-SUM(AI56,0.2*AI48*(AI56/SUM(AI55:AI56)),0.05*AI49*(AI56/SUM(AI55:AI56)))</f>
        <v>-153.25847549125459</v>
      </c>
      <c r="AJ144" s="9">
        <f>-SUM(AJ56,0.2*AJ48*(AJ56/SUM(AJ55:AJ56)),0.05*AJ49*(AJ56/SUM(AJ55:AJ56)))</f>
        <v>-183.65844287158745</v>
      </c>
    </row>
    <row r="145" spans="6:36" x14ac:dyDescent="0.25">
      <c r="G145" t="s">
        <v>23</v>
      </c>
      <c r="H145" s="9">
        <f t="shared" ref="H145:AE145" si="115">SUM(H34,0.2*H26*(H34/SUM(H33:H34)),0.05*H27*(H34/SUM(H33:H34)))</f>
        <v>0</v>
      </c>
      <c r="I145" s="9">
        <f t="shared" si="115"/>
        <v>0</v>
      </c>
      <c r="J145" s="9">
        <f t="shared" si="115"/>
        <v>0</v>
      </c>
      <c r="K145" s="9">
        <f t="shared" si="115"/>
        <v>0</v>
      </c>
      <c r="L145" s="9">
        <f t="shared" si="115"/>
        <v>0</v>
      </c>
      <c r="M145" s="9">
        <f t="shared" si="115"/>
        <v>0</v>
      </c>
      <c r="N145" s="9">
        <f t="shared" si="115"/>
        <v>0</v>
      </c>
      <c r="O145" s="9">
        <f t="shared" si="115"/>
        <v>2863.335697769985</v>
      </c>
      <c r="P145" s="9">
        <f t="shared" si="115"/>
        <v>1967.7335558534287</v>
      </c>
      <c r="Q145" s="9">
        <f t="shared" si="115"/>
        <v>1637.830799084486</v>
      </c>
      <c r="R145" s="9">
        <f t="shared" si="115"/>
        <v>1800.9176026336174</v>
      </c>
      <c r="S145" s="9">
        <f t="shared" si="115"/>
        <v>4037.2165206705317</v>
      </c>
      <c r="T145" s="9">
        <f t="shared" si="115"/>
        <v>907.0096546422235</v>
      </c>
      <c r="U145" s="9">
        <f t="shared" si="115"/>
        <v>3104.2718560287944</v>
      </c>
      <c r="V145" s="9">
        <f t="shared" si="115"/>
        <v>98816.909938023993</v>
      </c>
      <c r="W145" s="9">
        <f t="shared" si="115"/>
        <v>38391.316469865094</v>
      </c>
      <c r="X145" s="9">
        <f t="shared" si="115"/>
        <v>64375.339341318686</v>
      </c>
      <c r="Y145" s="9">
        <f t="shared" si="115"/>
        <v>53784.05620841105</v>
      </c>
      <c r="Z145" s="9">
        <f t="shared" si="115"/>
        <v>1167.3387890248016</v>
      </c>
      <c r="AA145" s="9">
        <f t="shared" si="115"/>
        <v>29181.892603544577</v>
      </c>
      <c r="AB145" s="9">
        <f t="shared" si="115"/>
        <v>43765.570900422928</v>
      </c>
      <c r="AC145" s="9">
        <f t="shared" si="115"/>
        <v>41103.336897473251</v>
      </c>
      <c r="AD145" s="9">
        <f t="shared" si="115"/>
        <v>20242.028358740605</v>
      </c>
      <c r="AE145" s="9">
        <f t="shared" si="115"/>
        <v>27712.71397037213</v>
      </c>
      <c r="AF145" s="9">
        <f>SUM(AF34,0.2*AF26*(AF34/SUM(AF33:AF34)),0.05*AF27*(AF34/SUM(AF33:AF34)))</f>
        <v>94647.438681515472</v>
      </c>
      <c r="AG145" s="9">
        <f>SUM(AG34,0.2*AG26*(AG34/SUM(AG33:AG34)),0.05*AG27*(AG34/SUM(AG33:AG34)))</f>
        <v>43497.765566363436</v>
      </c>
      <c r="AH145" s="9">
        <f>SUM(AH34,0.2*AH26*(AH34/SUM(AH33:AH34)),0.05*AH27*(AH34/SUM(AH33:AH34)))</f>
        <v>112402.78682923657</v>
      </c>
      <c r="AI145" s="9">
        <f>SUM(AI34,0.2*AI26*(AI34/SUM(AI33:AI34)),0.05*AI27*(AI34/SUM(AI33:AI34)))</f>
        <v>124528.68468486956</v>
      </c>
      <c r="AJ145" s="9">
        <f>SUM(AJ34,0.2*AJ26*(AJ34/SUM(AJ33:AJ34)),0.05*AJ27*(AJ34/SUM(AJ33:AJ34)))</f>
        <v>142572.48207319374</v>
      </c>
    </row>
    <row r="146" spans="6:36" x14ac:dyDescent="0.25">
      <c r="F146" t="s">
        <v>566</v>
      </c>
      <c r="G146" t="s">
        <v>22</v>
      </c>
      <c r="H146" s="9">
        <f t="shared" ref="H146:AE146" si="116">-H58</f>
        <v>0</v>
      </c>
      <c r="I146" s="9">
        <f t="shared" si="116"/>
        <v>0</v>
      </c>
      <c r="J146" s="9">
        <f t="shared" si="116"/>
        <v>0</v>
      </c>
      <c r="K146" s="9">
        <f t="shared" si="116"/>
        <v>0</v>
      </c>
      <c r="L146" s="9">
        <f t="shared" si="116"/>
        <v>0</v>
      </c>
      <c r="M146" s="9">
        <f t="shared" si="116"/>
        <v>0</v>
      </c>
      <c r="N146" s="9">
        <f t="shared" si="116"/>
        <v>0</v>
      </c>
      <c r="O146" s="9">
        <f t="shared" si="116"/>
        <v>0</v>
      </c>
      <c r="P146" s="9">
        <f t="shared" si="116"/>
        <v>0</v>
      </c>
      <c r="Q146" s="9">
        <f t="shared" si="116"/>
        <v>0</v>
      </c>
      <c r="R146" s="9">
        <f t="shared" si="116"/>
        <v>0</v>
      </c>
      <c r="S146" s="9">
        <f t="shared" si="116"/>
        <v>0</v>
      </c>
      <c r="T146" s="9">
        <f t="shared" si="116"/>
        <v>0</v>
      </c>
      <c r="U146" s="9">
        <f t="shared" si="116"/>
        <v>0</v>
      </c>
      <c r="V146" s="9">
        <f t="shared" si="116"/>
        <v>0</v>
      </c>
      <c r="W146" s="9">
        <f t="shared" si="116"/>
        <v>0</v>
      </c>
      <c r="X146" s="9">
        <f t="shared" si="116"/>
        <v>0</v>
      </c>
      <c r="Y146" s="9">
        <f t="shared" si="116"/>
        <v>0</v>
      </c>
      <c r="Z146" s="9">
        <f t="shared" si="116"/>
        <v>0</v>
      </c>
      <c r="AA146" s="9">
        <f t="shared" si="116"/>
        <v>0</v>
      </c>
      <c r="AB146" s="9">
        <f t="shared" si="116"/>
        <v>0</v>
      </c>
      <c r="AC146" s="9">
        <f t="shared" si="116"/>
        <v>0</v>
      </c>
      <c r="AD146" s="9">
        <f t="shared" si="116"/>
        <v>0</v>
      </c>
      <c r="AE146" s="9">
        <f t="shared" si="116"/>
        <v>0</v>
      </c>
      <c r="AF146" s="9">
        <f>-AF58</f>
        <v>0</v>
      </c>
      <c r="AG146" s="9">
        <f>-AG58</f>
        <v>0</v>
      </c>
      <c r="AH146" s="9">
        <f>-AH58</f>
        <v>0</v>
      </c>
      <c r="AI146" s="9">
        <f>-AI58</f>
        <v>0</v>
      </c>
      <c r="AJ146" s="9">
        <f>-AJ58</f>
        <v>0</v>
      </c>
    </row>
    <row r="147" spans="6:36" x14ac:dyDescent="0.25">
      <c r="G147" t="s">
        <v>23</v>
      </c>
      <c r="H147" s="9">
        <f t="shared" ref="H147:AE147" si="117">SUM(H36:H37)</f>
        <v>8894</v>
      </c>
      <c r="I147" s="9">
        <f t="shared" si="117"/>
        <v>9074</v>
      </c>
      <c r="J147" s="9">
        <f t="shared" si="117"/>
        <v>9257</v>
      </c>
      <c r="K147" s="9">
        <f t="shared" si="117"/>
        <v>9214</v>
      </c>
      <c r="L147" s="9">
        <f t="shared" si="117"/>
        <v>10950</v>
      </c>
      <c r="M147" s="9">
        <f t="shared" si="117"/>
        <v>11123</v>
      </c>
      <c r="N147" s="9">
        <f t="shared" si="117"/>
        <v>11396</v>
      </c>
      <c r="O147" s="9">
        <f t="shared" si="117"/>
        <v>11247</v>
      </c>
      <c r="P147" s="9">
        <f t="shared" si="117"/>
        <v>14761</v>
      </c>
      <c r="Q147" s="9">
        <f t="shared" si="117"/>
        <v>14983</v>
      </c>
      <c r="R147" s="9">
        <f t="shared" si="117"/>
        <v>15191</v>
      </c>
      <c r="S147" s="9">
        <f t="shared" si="117"/>
        <v>15437</v>
      </c>
      <c r="T147" s="9">
        <f t="shared" si="117"/>
        <v>19504</v>
      </c>
      <c r="U147" s="9">
        <f t="shared" si="117"/>
        <v>19817</v>
      </c>
      <c r="V147" s="9">
        <f t="shared" si="117"/>
        <v>20283</v>
      </c>
      <c r="W147" s="9">
        <f t="shared" si="117"/>
        <v>20258</v>
      </c>
      <c r="X147" s="9">
        <f t="shared" si="117"/>
        <v>26401</v>
      </c>
      <c r="Y147" s="9">
        <f t="shared" si="117"/>
        <v>25904</v>
      </c>
      <c r="Z147" s="9">
        <f t="shared" si="117"/>
        <v>26824</v>
      </c>
      <c r="AA147" s="9">
        <f t="shared" si="117"/>
        <v>26690</v>
      </c>
      <c r="AB147" s="9">
        <f>SUM(AB36:AB37)</f>
        <v>34754.5</v>
      </c>
      <c r="AC147" s="9">
        <f t="shared" si="117"/>
        <v>35682.5</v>
      </c>
      <c r="AD147" s="9">
        <f t="shared" si="117"/>
        <v>44713</v>
      </c>
      <c r="AE147" s="9">
        <f t="shared" si="117"/>
        <v>44850</v>
      </c>
      <c r="AF147" s="9">
        <f>SUM(AF36:AF37)</f>
        <v>51825</v>
      </c>
      <c r="AG147" s="9">
        <f>SUM(AG36:AG37)</f>
        <v>54233</v>
      </c>
      <c r="AH147" s="9">
        <f>SUM(AH36:AH37)</f>
        <v>57469</v>
      </c>
      <c r="AI147" s="9">
        <f>SUM(AI36:AI37)</f>
        <v>57494</v>
      </c>
      <c r="AJ147" s="9">
        <f>SUM(AJ36:AJ37)</f>
        <v>8864</v>
      </c>
    </row>
    <row r="148" spans="6:36" x14ac:dyDescent="0.25">
      <c r="F148" t="s">
        <v>567</v>
      </c>
      <c r="G148" t="s">
        <v>22</v>
      </c>
      <c r="H148" s="9">
        <f t="shared" ref="H148:AE148" si="118">-H57</f>
        <v>0</v>
      </c>
      <c r="I148" s="9">
        <f t="shared" si="118"/>
        <v>0</v>
      </c>
      <c r="J148" s="9">
        <f t="shared" si="118"/>
        <v>0</v>
      </c>
      <c r="K148" s="9">
        <f t="shared" si="118"/>
        <v>0</v>
      </c>
      <c r="L148" s="9">
        <f t="shared" si="118"/>
        <v>0</v>
      </c>
      <c r="M148" s="9">
        <f t="shared" si="118"/>
        <v>0</v>
      </c>
      <c r="N148" s="9">
        <f t="shared" si="118"/>
        <v>0</v>
      </c>
      <c r="O148" s="9">
        <f t="shared" si="118"/>
        <v>0</v>
      </c>
      <c r="P148" s="9">
        <f t="shared" si="118"/>
        <v>0</v>
      </c>
      <c r="Q148" s="9">
        <f t="shared" si="118"/>
        <v>0</v>
      </c>
      <c r="R148" s="9">
        <f t="shared" si="118"/>
        <v>0</v>
      </c>
      <c r="S148" s="9">
        <f t="shared" si="118"/>
        <v>0</v>
      </c>
      <c r="T148" s="9">
        <f t="shared" si="118"/>
        <v>0</v>
      </c>
      <c r="U148" s="9">
        <f t="shared" si="118"/>
        <v>0</v>
      </c>
      <c r="V148" s="9">
        <f t="shared" si="118"/>
        <v>0</v>
      </c>
      <c r="W148" s="9">
        <f t="shared" si="118"/>
        <v>0</v>
      </c>
      <c r="X148" s="9">
        <f t="shared" si="118"/>
        <v>0</v>
      </c>
      <c r="Y148" s="9">
        <f t="shared" si="118"/>
        <v>0</v>
      </c>
      <c r="Z148" s="9">
        <f t="shared" si="118"/>
        <v>0</v>
      </c>
      <c r="AA148" s="9">
        <f t="shared" si="118"/>
        <v>0</v>
      </c>
      <c r="AB148" s="9">
        <f t="shared" si="118"/>
        <v>0</v>
      </c>
      <c r="AC148" s="9">
        <f t="shared" si="118"/>
        <v>0</v>
      </c>
      <c r="AD148" s="9">
        <f t="shared" si="118"/>
        <v>0</v>
      </c>
      <c r="AE148" s="9">
        <f t="shared" si="118"/>
        <v>0</v>
      </c>
      <c r="AF148" s="9">
        <f>-AF57</f>
        <v>0</v>
      </c>
      <c r="AG148" s="9">
        <f>-AG57</f>
        <v>0</v>
      </c>
      <c r="AH148" s="9">
        <f>-AH57</f>
        <v>0</v>
      </c>
      <c r="AI148" s="9">
        <f>-AI57</f>
        <v>0</v>
      </c>
      <c r="AJ148" s="9">
        <f>-AJ57</f>
        <v>0</v>
      </c>
    </row>
    <row r="149" spans="6:36" x14ac:dyDescent="0.25">
      <c r="G149" t="s">
        <v>23</v>
      </c>
      <c r="H149" s="9">
        <f t="shared" ref="H149:AE149" si="119">H35</f>
        <v>0</v>
      </c>
      <c r="I149" s="9">
        <f t="shared" si="119"/>
        <v>0</v>
      </c>
      <c r="J149" s="9">
        <f t="shared" si="119"/>
        <v>0</v>
      </c>
      <c r="K149" s="9">
        <f t="shared" si="119"/>
        <v>0</v>
      </c>
      <c r="L149" s="9">
        <f t="shared" si="119"/>
        <v>0</v>
      </c>
      <c r="M149" s="9">
        <f t="shared" si="119"/>
        <v>0</v>
      </c>
      <c r="N149" s="9">
        <f t="shared" si="119"/>
        <v>0</v>
      </c>
      <c r="O149" s="9">
        <f t="shared" si="119"/>
        <v>0</v>
      </c>
      <c r="P149" s="9">
        <f t="shared" si="119"/>
        <v>4288</v>
      </c>
      <c r="Q149" s="9">
        <f t="shared" si="119"/>
        <v>4206</v>
      </c>
      <c r="R149" s="9">
        <f t="shared" si="119"/>
        <v>4382</v>
      </c>
      <c r="S149" s="9">
        <f t="shared" si="119"/>
        <v>4313</v>
      </c>
      <c r="T149" s="9">
        <f t="shared" si="119"/>
        <v>4662</v>
      </c>
      <c r="U149" s="9">
        <f t="shared" si="119"/>
        <v>4756</v>
      </c>
      <c r="V149" s="9">
        <f t="shared" si="119"/>
        <v>5787</v>
      </c>
      <c r="W149" s="9">
        <f t="shared" si="119"/>
        <v>6098</v>
      </c>
      <c r="X149" s="9">
        <f t="shared" si="119"/>
        <v>6391</v>
      </c>
      <c r="Y149" s="9">
        <f t="shared" si="119"/>
        <v>6459</v>
      </c>
      <c r="Z149" s="9">
        <f t="shared" si="119"/>
        <v>7835</v>
      </c>
      <c r="AA149" s="9">
        <f t="shared" si="119"/>
        <v>8579</v>
      </c>
      <c r="AB149" s="9">
        <f t="shared" si="119"/>
        <v>18392</v>
      </c>
      <c r="AC149" s="9">
        <f t="shared" si="119"/>
        <v>28285</v>
      </c>
      <c r="AD149" s="9">
        <f t="shared" si="119"/>
        <v>32449</v>
      </c>
      <c r="AE149" s="9">
        <f t="shared" si="119"/>
        <v>36097</v>
      </c>
      <c r="AF149" s="9">
        <f>AF35</f>
        <v>38001</v>
      </c>
      <c r="AG149" s="9">
        <f>AG35</f>
        <v>39897</v>
      </c>
      <c r="AH149" s="9">
        <f>AH35</f>
        <v>42917</v>
      </c>
      <c r="AI149" s="9">
        <f>AI35</f>
        <v>46713</v>
      </c>
      <c r="AJ149" s="9">
        <f>AJ35</f>
        <v>21487</v>
      </c>
    </row>
    <row r="150" spans="6:36" x14ac:dyDescent="0.25">
      <c r="F150" t="s">
        <v>568</v>
      </c>
      <c r="G150" t="s">
        <v>22</v>
      </c>
      <c r="H150" s="9">
        <f t="shared" ref="H150:AE150" si="120">-SUM(H63:H64)</f>
        <v>0</v>
      </c>
      <c r="I150" s="9">
        <f t="shared" si="120"/>
        <v>0</v>
      </c>
      <c r="J150" s="9">
        <f t="shared" si="120"/>
        <v>0</v>
      </c>
      <c r="K150" s="9">
        <f t="shared" si="120"/>
        <v>0</v>
      </c>
      <c r="L150" s="9">
        <f t="shared" si="120"/>
        <v>0</v>
      </c>
      <c r="M150" s="9">
        <f t="shared" si="120"/>
        <v>0</v>
      </c>
      <c r="N150" s="9">
        <f t="shared" si="120"/>
        <v>0</v>
      </c>
      <c r="O150" s="9">
        <f t="shared" si="120"/>
        <v>0</v>
      </c>
      <c r="P150" s="9">
        <f t="shared" si="120"/>
        <v>0</v>
      </c>
      <c r="Q150" s="9">
        <f t="shared" si="120"/>
        <v>0</v>
      </c>
      <c r="R150" s="9">
        <f t="shared" si="120"/>
        <v>0</v>
      </c>
      <c r="S150" s="9">
        <f t="shared" si="120"/>
        <v>0</v>
      </c>
      <c r="T150" s="9">
        <f t="shared" si="120"/>
        <v>0</v>
      </c>
      <c r="U150" s="9">
        <f t="shared" si="120"/>
        <v>0</v>
      </c>
      <c r="V150" s="9">
        <f t="shared" si="120"/>
        <v>0</v>
      </c>
      <c r="W150" s="9">
        <f t="shared" si="120"/>
        <v>0</v>
      </c>
      <c r="X150" s="9">
        <f t="shared" si="120"/>
        <v>0</v>
      </c>
      <c r="Y150" s="9">
        <f t="shared" si="120"/>
        <v>0</v>
      </c>
      <c r="Z150" s="9">
        <f t="shared" si="120"/>
        <v>0</v>
      </c>
      <c r="AA150" s="9">
        <f t="shared" si="120"/>
        <v>0</v>
      </c>
      <c r="AB150" s="9">
        <f t="shared" si="120"/>
        <v>0</v>
      </c>
      <c r="AC150" s="9">
        <f t="shared" si="120"/>
        <v>0</v>
      </c>
      <c r="AD150" s="9">
        <f t="shared" si="120"/>
        <v>0</v>
      </c>
      <c r="AE150" s="9">
        <f t="shared" si="120"/>
        <v>0</v>
      </c>
      <c r="AF150" s="9">
        <f>-SUM(AF63:AF64)</f>
        <v>0</v>
      </c>
      <c r="AG150" s="9">
        <f>-SUM(AG63:AG64)</f>
        <v>0</v>
      </c>
      <c r="AH150" s="9">
        <f>-SUM(AH63:AH64)</f>
        <v>0</v>
      </c>
      <c r="AI150" s="9">
        <f>-SUM(AI63:AI64)</f>
        <v>0</v>
      </c>
      <c r="AJ150" s="9">
        <f>-SUM(AJ63:AJ64)</f>
        <v>-3</v>
      </c>
    </row>
    <row r="151" spans="6:36" x14ac:dyDescent="0.25">
      <c r="G151" t="s">
        <v>23</v>
      </c>
      <c r="H151" s="9">
        <f t="shared" ref="H151:AE151" si="121">SUM(H42:H43)</f>
        <v>61</v>
      </c>
      <c r="I151" s="9">
        <f t="shared" si="121"/>
        <v>112</v>
      </c>
      <c r="J151" s="9">
        <f t="shared" si="121"/>
        <v>346</v>
      </c>
      <c r="K151" s="9">
        <f t="shared" si="121"/>
        <v>292</v>
      </c>
      <c r="L151" s="9">
        <f t="shared" si="121"/>
        <v>308</v>
      </c>
      <c r="M151" s="9">
        <f t="shared" si="121"/>
        <v>297</v>
      </c>
      <c r="N151" s="9">
        <f t="shared" si="121"/>
        <v>327</v>
      </c>
      <c r="O151" s="9">
        <f t="shared" si="121"/>
        <v>272</v>
      </c>
      <c r="P151" s="9">
        <f t="shared" si="121"/>
        <v>472</v>
      </c>
      <c r="Q151" s="9">
        <f t="shared" si="121"/>
        <v>514</v>
      </c>
      <c r="R151" s="9">
        <f t="shared" si="121"/>
        <v>486</v>
      </c>
      <c r="S151" s="9">
        <f t="shared" si="121"/>
        <v>430</v>
      </c>
      <c r="T151" s="9">
        <f t="shared" si="121"/>
        <v>393</v>
      </c>
      <c r="U151" s="9">
        <f t="shared" si="121"/>
        <v>399</v>
      </c>
      <c r="V151" s="9">
        <f t="shared" si="121"/>
        <v>435</v>
      </c>
      <c r="W151" s="9">
        <f t="shared" si="121"/>
        <v>325</v>
      </c>
      <c r="X151" s="9">
        <f t="shared" si="121"/>
        <v>263</v>
      </c>
      <c r="Y151" s="9">
        <f t="shared" si="121"/>
        <v>136</v>
      </c>
      <c r="Z151" s="9">
        <f t="shared" si="121"/>
        <v>99</v>
      </c>
      <c r="AA151" s="9">
        <f t="shared" si="121"/>
        <v>113</v>
      </c>
      <c r="AB151" s="9">
        <f t="shared" si="121"/>
        <v>302</v>
      </c>
      <c r="AC151" s="9">
        <f t="shared" si="121"/>
        <v>284</v>
      </c>
      <c r="AD151" s="9">
        <f t="shared" si="121"/>
        <v>89</v>
      </c>
      <c r="AE151" s="9">
        <f t="shared" si="121"/>
        <v>16</v>
      </c>
      <c r="AF151" s="9">
        <f>SUM(AF42:AF43)</f>
        <v>2</v>
      </c>
      <c r="AG151" s="9">
        <f>SUM(AG42:AG43)</f>
        <v>162</v>
      </c>
      <c r="AH151" s="9">
        <f>SUM(AH42:AH43)</f>
        <v>156</v>
      </c>
      <c r="AI151" s="9">
        <f>SUM(AI42:AI43)</f>
        <v>178</v>
      </c>
      <c r="AJ151" s="9">
        <f>SUM(AJ42:AJ43)</f>
        <v>5</v>
      </c>
    </row>
    <row r="152" spans="6:36" x14ac:dyDescent="0.25">
      <c r="F152" t="s">
        <v>30</v>
      </c>
      <c r="G152" t="s">
        <v>22</v>
      </c>
      <c r="H152" s="9">
        <f t="shared" ref="H152:AE152" si="122">SUM(H53:H54)</f>
        <v>0</v>
      </c>
      <c r="I152" s="9">
        <f t="shared" si="122"/>
        <v>0</v>
      </c>
      <c r="J152" s="9">
        <f t="shared" si="122"/>
        <v>0</v>
      </c>
      <c r="K152" s="9">
        <f t="shared" si="122"/>
        <v>0</v>
      </c>
      <c r="L152" s="9">
        <f t="shared" si="122"/>
        <v>0</v>
      </c>
      <c r="M152" s="9">
        <f t="shared" si="122"/>
        <v>0</v>
      </c>
      <c r="N152" s="9">
        <f t="shared" si="122"/>
        <v>0</v>
      </c>
      <c r="O152" s="9">
        <f t="shared" si="122"/>
        <v>0</v>
      </c>
      <c r="P152" s="9">
        <f t="shared" si="122"/>
        <v>0</v>
      </c>
      <c r="Q152" s="9">
        <f t="shared" si="122"/>
        <v>0</v>
      </c>
      <c r="R152" s="9">
        <f t="shared" si="122"/>
        <v>0</v>
      </c>
      <c r="S152" s="9">
        <f t="shared" si="122"/>
        <v>0</v>
      </c>
      <c r="T152" s="9">
        <f t="shared" si="122"/>
        <v>0</v>
      </c>
      <c r="U152" s="9">
        <f t="shared" si="122"/>
        <v>0</v>
      </c>
      <c r="V152" s="9">
        <f t="shared" si="122"/>
        <v>0</v>
      </c>
      <c r="W152" s="9">
        <f t="shared" si="122"/>
        <v>0</v>
      </c>
      <c r="X152" s="9">
        <f t="shared" si="122"/>
        <v>0</v>
      </c>
      <c r="Y152" s="9">
        <f t="shared" si="122"/>
        <v>0</v>
      </c>
      <c r="Z152" s="9">
        <f t="shared" si="122"/>
        <v>0</v>
      </c>
      <c r="AA152" s="9">
        <f t="shared" si="122"/>
        <v>0</v>
      </c>
      <c r="AB152" s="9">
        <f t="shared" si="122"/>
        <v>0</v>
      </c>
      <c r="AC152" s="9">
        <f t="shared" si="122"/>
        <v>0</v>
      </c>
      <c r="AD152" s="9">
        <f t="shared" si="122"/>
        <v>0</v>
      </c>
      <c r="AE152" s="9">
        <f t="shared" si="122"/>
        <v>0</v>
      </c>
      <c r="AF152" s="9">
        <f>SUM(AF53:AF54)</f>
        <v>0</v>
      </c>
      <c r="AG152" s="9">
        <f>SUM(AG53:AG54)</f>
        <v>0</v>
      </c>
      <c r="AH152" s="9">
        <f>SUM(AH53:AH54)</f>
        <v>0</v>
      </c>
      <c r="AI152" s="9">
        <f>SUM(AI53:AI54)</f>
        <v>0</v>
      </c>
      <c r="AJ152" s="9">
        <f>SUM(AJ53:AJ54)</f>
        <v>0</v>
      </c>
    </row>
    <row r="153" spans="6:36" x14ac:dyDescent="0.25">
      <c r="G153" t="s">
        <v>23</v>
      </c>
      <c r="H153" s="9">
        <f t="shared" ref="H153:AE153" si="123">SUM(H31:H32)</f>
        <v>474</v>
      </c>
      <c r="I153" s="9">
        <f t="shared" si="123"/>
        <v>315</v>
      </c>
      <c r="J153" s="9">
        <f t="shared" si="123"/>
        <v>2034</v>
      </c>
      <c r="K153" s="9">
        <f t="shared" si="123"/>
        <v>2843</v>
      </c>
      <c r="L153" s="9">
        <f t="shared" si="123"/>
        <v>2056</v>
      </c>
      <c r="M153" s="9">
        <f t="shared" si="123"/>
        <v>2719</v>
      </c>
      <c r="N153" s="9">
        <f t="shared" si="123"/>
        <v>2634</v>
      </c>
      <c r="O153" s="9">
        <f t="shared" si="123"/>
        <v>2607</v>
      </c>
      <c r="P153" s="9">
        <f t="shared" si="123"/>
        <v>1203</v>
      </c>
      <c r="Q153" s="9">
        <f t="shared" si="123"/>
        <v>1770</v>
      </c>
      <c r="R153" s="9">
        <f t="shared" si="123"/>
        <v>1921</v>
      </c>
      <c r="S153" s="9">
        <f t="shared" si="123"/>
        <v>2115</v>
      </c>
      <c r="T153" s="9">
        <f t="shared" si="123"/>
        <v>1905</v>
      </c>
      <c r="U153" s="9">
        <f t="shared" si="123"/>
        <v>2097</v>
      </c>
      <c r="V153" s="9">
        <f t="shared" si="123"/>
        <v>2089</v>
      </c>
      <c r="W153" s="9">
        <f t="shared" si="123"/>
        <v>2651</v>
      </c>
      <c r="X153" s="9">
        <f t="shared" si="123"/>
        <v>2475</v>
      </c>
      <c r="Y153" s="9">
        <f t="shared" si="123"/>
        <v>2651</v>
      </c>
      <c r="Z153" s="9">
        <f t="shared" si="123"/>
        <v>3457</v>
      </c>
      <c r="AA153" s="9">
        <f t="shared" si="123"/>
        <v>3624</v>
      </c>
      <c r="AB153" s="9">
        <f t="shared" si="123"/>
        <v>3471</v>
      </c>
      <c r="AC153" s="9">
        <f t="shared" si="123"/>
        <v>4521</v>
      </c>
      <c r="AD153" s="9">
        <f t="shared" si="123"/>
        <v>9662</v>
      </c>
      <c r="AE153" s="9">
        <f t="shared" si="123"/>
        <v>11595</v>
      </c>
      <c r="AF153" s="9">
        <f>SUM(AF31:AF32)</f>
        <v>11716</v>
      </c>
      <c r="AG153" s="9">
        <f>SUM(AG31:AG32)</f>
        <v>8342</v>
      </c>
      <c r="AH153" s="9">
        <f>SUM(AH31:AH32)</f>
        <v>4093</v>
      </c>
      <c r="AI153" s="9">
        <f>SUM(AI31:AI32)</f>
        <v>9021</v>
      </c>
      <c r="AJ153" s="9">
        <f>SUM(AJ31:AJ32)</f>
        <v>21991</v>
      </c>
    </row>
    <row r="154" spans="6:36" x14ac:dyDescent="0.25">
      <c r="F154" t="s">
        <v>11</v>
      </c>
      <c r="G154" t="s">
        <v>22</v>
      </c>
      <c r="H154" s="9">
        <f t="shared" ref="H154:AE154" si="124">-SUM(H65:H66)</f>
        <v>0</v>
      </c>
      <c r="I154" s="9">
        <f t="shared" si="124"/>
        <v>0</v>
      </c>
      <c r="J154" s="9">
        <f t="shared" si="124"/>
        <v>0</v>
      </c>
      <c r="K154" s="9">
        <f t="shared" si="124"/>
        <v>0</v>
      </c>
      <c r="L154" s="9">
        <f t="shared" si="124"/>
        <v>0</v>
      </c>
      <c r="M154" s="9">
        <f t="shared" si="124"/>
        <v>0</v>
      </c>
      <c r="N154" s="9">
        <f t="shared" si="124"/>
        <v>0</v>
      </c>
      <c r="O154" s="9">
        <f t="shared" si="124"/>
        <v>0</v>
      </c>
      <c r="P154" s="9">
        <f t="shared" si="124"/>
        <v>0</v>
      </c>
      <c r="Q154" s="9">
        <f t="shared" si="124"/>
        <v>0</v>
      </c>
      <c r="R154" s="9">
        <f t="shared" si="124"/>
        <v>0</v>
      </c>
      <c r="S154" s="9">
        <f t="shared" si="124"/>
        <v>0</v>
      </c>
      <c r="T154" s="9">
        <f t="shared" si="124"/>
        <v>0</v>
      </c>
      <c r="U154" s="9">
        <f t="shared" si="124"/>
        <v>0</v>
      </c>
      <c r="V154" s="9">
        <f t="shared" si="124"/>
        <v>0</v>
      </c>
      <c r="W154" s="9">
        <f t="shared" si="124"/>
        <v>0</v>
      </c>
      <c r="X154" s="9">
        <f t="shared" si="124"/>
        <v>0</v>
      </c>
      <c r="Y154" s="9">
        <f t="shared" si="124"/>
        <v>0</v>
      </c>
      <c r="Z154" s="9">
        <f t="shared" si="124"/>
        <v>0</v>
      </c>
      <c r="AA154" s="9">
        <f t="shared" si="124"/>
        <v>0</v>
      </c>
      <c r="AB154" s="9">
        <f t="shared" si="124"/>
        <v>0</v>
      </c>
      <c r="AC154" s="9">
        <f t="shared" si="124"/>
        <v>0</v>
      </c>
      <c r="AD154" s="9">
        <f t="shared" si="124"/>
        <v>0</v>
      </c>
      <c r="AE154" s="9">
        <f t="shared" si="124"/>
        <v>0</v>
      </c>
      <c r="AF154" s="9">
        <f>-SUM(AF65:AF66)</f>
        <v>0</v>
      </c>
      <c r="AG154" s="9">
        <f>-SUM(AG65:AG66)</f>
        <v>0</v>
      </c>
      <c r="AH154" s="9">
        <f>-SUM(AH65:AH66)</f>
        <v>0</v>
      </c>
      <c r="AI154" s="9">
        <f>-SUM(AI65:AI66)</f>
        <v>0</v>
      </c>
      <c r="AJ154" s="9">
        <f>-SUM(AJ65:AJ66)</f>
        <v>0</v>
      </c>
    </row>
    <row r="155" spans="6:36" x14ac:dyDescent="0.25">
      <c r="G155" t="s">
        <v>23</v>
      </c>
      <c r="H155" s="9">
        <f t="shared" ref="H155:AE155" si="125">SUM(H44:H45)</f>
        <v>28</v>
      </c>
      <c r="I155" s="9">
        <f t="shared" si="125"/>
        <v>28</v>
      </c>
      <c r="J155" s="9">
        <f t="shared" si="125"/>
        <v>13</v>
      </c>
      <c r="K155" s="9">
        <f t="shared" si="125"/>
        <v>31</v>
      </c>
      <c r="L155" s="9">
        <f t="shared" si="125"/>
        <v>32</v>
      </c>
      <c r="M155" s="9">
        <f t="shared" si="125"/>
        <v>68</v>
      </c>
      <c r="N155" s="9">
        <f t="shared" si="125"/>
        <v>38</v>
      </c>
      <c r="O155" s="9">
        <f t="shared" si="125"/>
        <v>61</v>
      </c>
      <c r="P155" s="9">
        <f t="shared" si="125"/>
        <v>199</v>
      </c>
      <c r="Q155" s="9">
        <f t="shared" si="125"/>
        <v>218</v>
      </c>
      <c r="R155" s="9">
        <f t="shared" si="125"/>
        <v>238</v>
      </c>
      <c r="S155" s="9">
        <f t="shared" si="125"/>
        <v>535</v>
      </c>
      <c r="T155" s="9">
        <f t="shared" si="125"/>
        <v>1219</v>
      </c>
      <c r="U155" s="9">
        <f t="shared" si="125"/>
        <v>1385</v>
      </c>
      <c r="V155" s="9">
        <f t="shared" si="125"/>
        <v>1643</v>
      </c>
      <c r="W155" s="9">
        <f t="shared" si="125"/>
        <v>1935</v>
      </c>
      <c r="X155" s="9">
        <f t="shared" si="125"/>
        <v>1487</v>
      </c>
      <c r="Y155" s="9">
        <f t="shared" si="125"/>
        <v>961</v>
      </c>
      <c r="Z155" s="9">
        <f t="shared" si="125"/>
        <v>777</v>
      </c>
      <c r="AA155" s="9">
        <f t="shared" si="125"/>
        <v>1043</v>
      </c>
      <c r="AB155" s="9">
        <f t="shared" si="125"/>
        <v>1318</v>
      </c>
      <c r="AC155" s="9">
        <f t="shared" si="125"/>
        <v>1410</v>
      </c>
      <c r="AD155" s="9">
        <f t="shared" si="125"/>
        <v>1062</v>
      </c>
      <c r="AE155" s="9">
        <f t="shared" si="125"/>
        <v>1320</v>
      </c>
      <c r="AF155" s="9">
        <f>SUM(AF44:AF45)</f>
        <v>1047</v>
      </c>
      <c r="AG155" s="9">
        <f>SUM(AG44:AG45)</f>
        <v>1282</v>
      </c>
      <c r="AH155" s="9">
        <f>SUM(AH44:AH45)</f>
        <v>1581</v>
      </c>
      <c r="AI155" s="9">
        <f>SUM(AI44:AI45)</f>
        <v>1428</v>
      </c>
      <c r="AJ155" s="9">
        <f>SUM(AJ44:AJ45)</f>
        <v>1740</v>
      </c>
    </row>
    <row r="156" spans="6:36" x14ac:dyDescent="0.25">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row>
    <row r="157" spans="6:36" x14ac:dyDescent="0.25">
      <c r="G157" s="57" t="s">
        <v>620</v>
      </c>
      <c r="H157" s="96">
        <f t="shared" ref="H157:AE157" si="126">SUM(H30,H46,-H52,-H67)</f>
        <v>45656</v>
      </c>
      <c r="I157" s="96">
        <f t="shared" si="126"/>
        <v>55015</v>
      </c>
      <c r="J157" s="96">
        <f t="shared" si="126"/>
        <v>62097</v>
      </c>
      <c r="K157" s="96">
        <f t="shared" si="126"/>
        <v>51811</v>
      </c>
      <c r="L157" s="96">
        <f t="shared" si="126"/>
        <v>53903</v>
      </c>
      <c r="M157" s="96">
        <f t="shared" si="126"/>
        <v>45232</v>
      </c>
      <c r="N157" s="96">
        <f t="shared" si="126"/>
        <v>49355</v>
      </c>
      <c r="O157" s="96">
        <f t="shared" si="126"/>
        <v>62410</v>
      </c>
      <c r="P157" s="96">
        <f t="shared" si="126"/>
        <v>21680</v>
      </c>
      <c r="Q157" s="96">
        <f t="shared" si="126"/>
        <v>-3620</v>
      </c>
      <c r="R157" s="96">
        <f t="shared" si="126"/>
        <v>24025</v>
      </c>
      <c r="S157" s="96">
        <f t="shared" si="126"/>
        <v>36678</v>
      </c>
      <c r="T157" s="96">
        <f t="shared" si="126"/>
        <v>-20414</v>
      </c>
      <c r="U157" s="96">
        <f t="shared" si="126"/>
        <v>32650</v>
      </c>
      <c r="V157" s="96">
        <f t="shared" si="126"/>
        <v>140598</v>
      </c>
      <c r="W157" s="96">
        <f t="shared" si="126"/>
        <v>65901</v>
      </c>
      <c r="X157" s="96">
        <f t="shared" si="126"/>
        <v>61039</v>
      </c>
      <c r="Y157" s="96">
        <f t="shared" si="126"/>
        <v>46752</v>
      </c>
      <c r="Z157" s="96">
        <f t="shared" si="126"/>
        <v>-28223</v>
      </c>
      <c r="AA157" s="96">
        <f t="shared" si="126"/>
        <v>27076</v>
      </c>
      <c r="AB157" s="96">
        <f t="shared" si="126"/>
        <v>-71734.5</v>
      </c>
      <c r="AC157" s="96">
        <f t="shared" si="126"/>
        <v>7761.5</v>
      </c>
      <c r="AD157" s="96">
        <f t="shared" si="126"/>
        <v>-16280</v>
      </c>
      <c r="AE157" s="96">
        <f t="shared" si="126"/>
        <v>16123</v>
      </c>
      <c r="AF157" s="96">
        <f>SUM(AF30,AF46,-AF52,-AF67)</f>
        <v>-42633</v>
      </c>
      <c r="AG157" s="96">
        <f>SUM(AG30,AG46,-AG52,-AG67)</f>
        <v>-22311</v>
      </c>
      <c r="AH157" s="96">
        <f>SUM(AH30,AH46,-AH52,-AH67)</f>
        <v>-64696</v>
      </c>
      <c r="AI157" s="96">
        <f>SUM(AI30,AI46,-AI52,-AI67)</f>
        <v>13393</v>
      </c>
      <c r="AJ157" s="96">
        <f>SUM(AJ30,AJ46,-AJ52,-AJ67)</f>
        <v>-69582</v>
      </c>
    </row>
    <row r="158" spans="6:36" x14ac:dyDescent="0.25">
      <c r="G158" s="57" t="s">
        <v>621</v>
      </c>
      <c r="H158" s="96">
        <f>SUM(H136:H155)</f>
        <v>45656</v>
      </c>
      <c r="I158" s="96">
        <f t="shared" ref="I158:AD158" si="127">SUM(I136:I155)</f>
        <v>55015</v>
      </c>
      <c r="J158" s="96">
        <f t="shared" si="127"/>
        <v>62096.999999999985</v>
      </c>
      <c r="K158" s="96">
        <f t="shared" si="127"/>
        <v>51811</v>
      </c>
      <c r="L158" s="96">
        <f t="shared" si="127"/>
        <v>53903</v>
      </c>
      <c r="M158" s="96">
        <f t="shared" si="127"/>
        <v>45232</v>
      </c>
      <c r="N158" s="96">
        <f t="shared" si="127"/>
        <v>49355</v>
      </c>
      <c r="O158" s="96">
        <f t="shared" si="127"/>
        <v>62410</v>
      </c>
      <c r="P158" s="96">
        <f t="shared" si="127"/>
        <v>21679.999999999985</v>
      </c>
      <c r="Q158" s="96">
        <f t="shared" si="127"/>
        <v>-3619.9999999999927</v>
      </c>
      <c r="R158" s="96">
        <f t="shared" si="127"/>
        <v>24025.000000000011</v>
      </c>
      <c r="S158" s="96">
        <f t="shared" si="127"/>
        <v>36677.999999999993</v>
      </c>
      <c r="T158" s="96">
        <f t="shared" si="127"/>
        <v>-20413.999999999964</v>
      </c>
      <c r="U158" s="96">
        <f t="shared" si="127"/>
        <v>32649.999999999989</v>
      </c>
      <c r="V158" s="96">
        <f t="shared" si="127"/>
        <v>140598</v>
      </c>
      <c r="W158" s="96">
        <f t="shared" si="127"/>
        <v>65901</v>
      </c>
      <c r="X158" s="96">
        <f t="shared" si="127"/>
        <v>61038.999999999978</v>
      </c>
      <c r="Y158" s="96">
        <f t="shared" si="127"/>
        <v>46751.999999999993</v>
      </c>
      <c r="Z158" s="96">
        <f t="shared" si="127"/>
        <v>-28222.999999999985</v>
      </c>
      <c r="AA158" s="96">
        <f t="shared" si="127"/>
        <v>27075.999999999985</v>
      </c>
      <c r="AB158" s="96">
        <f t="shared" si="127"/>
        <v>-71734.5</v>
      </c>
      <c r="AC158" s="96">
        <f t="shared" si="127"/>
        <v>7761.4999999999636</v>
      </c>
      <c r="AD158" s="96">
        <f t="shared" si="127"/>
        <v>-16279.999999999956</v>
      </c>
      <c r="AE158" s="96">
        <f t="shared" ref="AE158:AJ158" si="128">SUM(AE136:AE155)</f>
        <v>16123.000000000015</v>
      </c>
      <c r="AF158" s="96">
        <f t="shared" si="128"/>
        <v>-42633</v>
      </c>
      <c r="AG158" s="96">
        <f t="shared" si="128"/>
        <v>-22310.999999999971</v>
      </c>
      <c r="AH158" s="96">
        <f t="shared" si="128"/>
        <v>-64696.000000000029</v>
      </c>
      <c r="AI158" s="96">
        <f t="shared" si="128"/>
        <v>13392.999999999985</v>
      </c>
      <c r="AJ158" s="96">
        <f t="shared" si="128"/>
        <v>-69581.999999999971</v>
      </c>
    </row>
    <row r="160" spans="6:36" x14ac:dyDescent="0.25">
      <c r="G160" s="57" t="s">
        <v>649</v>
      </c>
      <c r="H160" s="57"/>
      <c r="I160" s="57"/>
      <c r="J160" s="57"/>
      <c r="K160" s="57"/>
      <c r="L160" s="57"/>
      <c r="M160" s="57"/>
      <c r="N160" s="57"/>
      <c r="O160" s="57"/>
      <c r="P160" s="57"/>
      <c r="Q160" s="57"/>
      <c r="R160" s="57"/>
      <c r="S160" s="57"/>
      <c r="T160" s="57"/>
      <c r="U160" s="57"/>
      <c r="V160" s="57"/>
      <c r="W160" s="57"/>
      <c r="X160" s="57"/>
      <c r="Y160" s="57"/>
      <c r="Z160" s="57"/>
      <c r="AA160" s="57"/>
      <c r="AB160" s="57"/>
    </row>
    <row r="163" spans="5:47" x14ac:dyDescent="0.25">
      <c r="R163" s="9"/>
    </row>
    <row r="164" spans="5:47" x14ac:dyDescent="0.25">
      <c r="G164" t="s">
        <v>918</v>
      </c>
      <c r="H164" s="9">
        <f>+'Electric Vehicles'!H16</f>
        <v>10172</v>
      </c>
      <c r="I164" s="9">
        <f>+'Electric Vehicles'!H17</f>
        <v>11122</v>
      </c>
      <c r="J164" s="9">
        <f>+'Electric Vehicles'!H18</f>
        <v>12057</v>
      </c>
      <c r="K164" s="9">
        <f>+'Electric Vehicles'!H19</f>
        <v>13169</v>
      </c>
      <c r="L164" s="9">
        <f>+'Electric Vehicles'!H20</f>
        <v>14319</v>
      </c>
      <c r="M164" s="9">
        <f>+'Electric Vehicles'!H21</f>
        <v>15418</v>
      </c>
      <c r="N164" s="9">
        <f>+'Electric Vehicles'!H22</f>
        <v>16325</v>
      </c>
      <c r="O164" s="9">
        <f>+'Electric Vehicles'!H23</f>
        <v>17313</v>
      </c>
      <c r="P164" s="9">
        <f>+'Electric Vehicles'!H24</f>
        <v>18461</v>
      </c>
      <c r="Q164" s="9">
        <f>+'Electric Vehicles'!H25</f>
        <v>19638</v>
      </c>
      <c r="R164" s="9">
        <f>+'Electric Vehicles'!H26</f>
        <v>20867</v>
      </c>
      <c r="S164" s="9">
        <f>+'Electric Vehicles'!H27</f>
        <v>22847</v>
      </c>
      <c r="T164" s="9">
        <f>+'Electric Vehicles'!H28</f>
        <v>24747</v>
      </c>
      <c r="U164" s="9">
        <f>+'Electric Vehicles'!H29</f>
        <v>26315</v>
      </c>
      <c r="V164" s="9">
        <f>+'Electric Vehicles'!H30</f>
        <v>28425</v>
      </c>
      <c r="W164" s="9">
        <f>+'Electric Vehicles'!H31</f>
        <v>30242</v>
      </c>
      <c r="X164" s="9">
        <f>+'Electric Vehicles'!H32</f>
        <v>32230</v>
      </c>
      <c r="Y164" s="9">
        <f>+'Electric Vehicles'!H33</f>
        <v>32579</v>
      </c>
      <c r="Z164" s="9">
        <f>+'Electric Vehicles'!H34</f>
        <v>33752</v>
      </c>
      <c r="AA164" s="9">
        <f>+'Electric Vehicles'!H35</f>
        <v>35735</v>
      </c>
      <c r="AB164" s="9">
        <f>+'Electric Vehicles'!H36</f>
        <v>37908</v>
      </c>
      <c r="AC164" s="9">
        <f>+'Electric Vehicles'!H37</f>
        <v>40303</v>
      </c>
      <c r="AD164" s="9">
        <f>+'Electric Vehicles'!H38</f>
        <v>43647</v>
      </c>
      <c r="AE164" s="9">
        <f>+'Electric Vehicles'!H39</f>
        <v>47157</v>
      </c>
      <c r="AF164" s="9">
        <f>+'Electric Vehicles'!H40</f>
        <v>50044</v>
      </c>
      <c r="AG164" s="9">
        <f>+'Electric Vehicles'!H41</f>
        <v>53169</v>
      </c>
      <c r="AH164" s="9">
        <f>+'Electric Vehicles'!H42</f>
        <v>57744</v>
      </c>
      <c r="AI164" s="9">
        <f>+'Electric Vehicles'!H43</f>
        <v>62532</v>
      </c>
      <c r="AJ164" s="9">
        <f>+'Electric Vehicles'!H44</f>
        <v>67769</v>
      </c>
      <c r="AK164" s="9">
        <f>+'Electric Vehicles'!H45</f>
        <v>73369</v>
      </c>
      <c r="AL164" s="9">
        <f>+'Electric Vehicles'!H46</f>
        <v>79022</v>
      </c>
      <c r="AM164" s="9">
        <f>+'Electric Vehicles'!H47</f>
        <v>84561</v>
      </c>
      <c r="AN164" s="9">
        <f>+'Electric Vehicles'!H48</f>
        <v>92528</v>
      </c>
      <c r="AO164" s="9">
        <f>+'Electric Vehicles'!H49</f>
        <v>100008</v>
      </c>
      <c r="AP164" s="9">
        <f>+'Electric Vehicles'!H50</f>
        <v>107463</v>
      </c>
      <c r="AQ164" s="9">
        <f>+'Electric Vehicles'!H51</f>
        <v>114570</v>
      </c>
      <c r="AR164" s="9">
        <f>+'Electric Vehicles'!H52</f>
        <v>124589</v>
      </c>
      <c r="AS164" s="9">
        <f>+'Electric Vehicles'!H53</f>
        <v>133633</v>
      </c>
      <c r="AT164" s="9">
        <f>+'Electric Vehicles'!H54</f>
        <v>142945</v>
      </c>
      <c r="AU164" s="9">
        <f>+'Electric Vehicles'!H55</f>
        <v>152151</v>
      </c>
    </row>
    <row r="167" spans="5:47" x14ac:dyDescent="0.25">
      <c r="E167" s="15" t="s">
        <v>244</v>
      </c>
      <c r="H167" s="15" t="s">
        <v>219</v>
      </c>
    </row>
    <row r="168" spans="5:47" x14ac:dyDescent="0.25">
      <c r="E168" s="15" t="s">
        <v>220</v>
      </c>
      <c r="F168" s="15" t="s">
        <v>239</v>
      </c>
      <c r="G168" s="15" t="s">
        <v>684</v>
      </c>
      <c r="H168" s="16">
        <v>42370</v>
      </c>
      <c r="I168" s="16">
        <v>42461</v>
      </c>
      <c r="J168" s="16">
        <v>42552</v>
      </c>
      <c r="K168" s="16">
        <v>42644</v>
      </c>
      <c r="L168" s="16">
        <v>42736</v>
      </c>
      <c r="M168" s="16">
        <v>42826</v>
      </c>
      <c r="N168" s="16">
        <v>42917</v>
      </c>
      <c r="O168" s="16">
        <v>43009</v>
      </c>
      <c r="P168" s="16">
        <v>43101</v>
      </c>
      <c r="Q168" s="16">
        <v>43191</v>
      </c>
      <c r="R168" s="16">
        <v>43282</v>
      </c>
      <c r="S168" s="16">
        <v>43374</v>
      </c>
      <c r="T168" s="16">
        <v>43466</v>
      </c>
      <c r="U168" s="16">
        <v>43556</v>
      </c>
      <c r="V168" s="16">
        <v>43647</v>
      </c>
      <c r="W168" s="16">
        <v>43739</v>
      </c>
      <c r="X168" s="16">
        <v>43831</v>
      </c>
      <c r="Y168" s="16">
        <v>43922</v>
      </c>
      <c r="Z168" s="16">
        <v>44013</v>
      </c>
      <c r="AA168" s="16">
        <v>44105</v>
      </c>
      <c r="AB168" s="16">
        <v>44197</v>
      </c>
      <c r="AC168" s="16">
        <v>44287</v>
      </c>
      <c r="AD168" s="16">
        <v>44378</v>
      </c>
      <c r="AE168" s="16">
        <v>44470</v>
      </c>
      <c r="AF168" s="16">
        <v>44562</v>
      </c>
      <c r="AG168" s="16">
        <v>44652</v>
      </c>
      <c r="AH168" s="16">
        <v>44743</v>
      </c>
      <c r="AI168" s="16">
        <v>44835</v>
      </c>
      <c r="AJ168" s="16">
        <v>44927</v>
      </c>
    </row>
    <row r="169" spans="5:47" x14ac:dyDescent="0.25">
      <c r="E169" t="s">
        <v>582</v>
      </c>
      <c r="F169" t="s">
        <v>5</v>
      </c>
      <c r="G169" t="s">
        <v>5</v>
      </c>
      <c r="H169">
        <v>64.5</v>
      </c>
      <c r="I169">
        <v>62.85</v>
      </c>
      <c r="J169">
        <v>63</v>
      </c>
      <c r="K169">
        <v>62.48</v>
      </c>
      <c r="L169">
        <v>62.68</v>
      </c>
      <c r="M169">
        <v>63.04</v>
      </c>
      <c r="N169">
        <v>63.49</v>
      </c>
      <c r="O169">
        <v>61.33</v>
      </c>
      <c r="P169">
        <v>61.85</v>
      </c>
      <c r="Q169">
        <v>61.12</v>
      </c>
      <c r="R169">
        <v>60.81</v>
      </c>
      <c r="S169">
        <v>59.73</v>
      </c>
      <c r="T169">
        <v>60.13</v>
      </c>
      <c r="U169">
        <v>59.68</v>
      </c>
      <c r="V169">
        <v>57.02</v>
      </c>
      <c r="W169">
        <v>55.81</v>
      </c>
      <c r="X169">
        <v>55.33</v>
      </c>
      <c r="Y169">
        <v>55.78</v>
      </c>
      <c r="Z169">
        <v>55.03</v>
      </c>
      <c r="AA169">
        <v>52.89</v>
      </c>
      <c r="AB169">
        <v>53.55</v>
      </c>
      <c r="AC169">
        <v>53.66</v>
      </c>
      <c r="AD169">
        <v>53.67</v>
      </c>
      <c r="AE169">
        <v>53.98</v>
      </c>
      <c r="AF169">
        <v>53.71</v>
      </c>
      <c r="AG169">
        <v>53.34</v>
      </c>
      <c r="AH169">
        <v>54.01</v>
      </c>
      <c r="AI169">
        <v>52.46</v>
      </c>
      <c r="AJ169">
        <v>49.51</v>
      </c>
    </row>
    <row r="170" spans="5:47" x14ac:dyDescent="0.25">
      <c r="F170" t="s">
        <v>7</v>
      </c>
      <c r="G170" t="s">
        <v>7</v>
      </c>
      <c r="H170">
        <v>56.38</v>
      </c>
      <c r="I170">
        <v>51.31</v>
      </c>
      <c r="J170">
        <v>51.13</v>
      </c>
      <c r="K170">
        <v>48.72</v>
      </c>
      <c r="L170">
        <v>46.35</v>
      </c>
      <c r="M170">
        <v>47.58</v>
      </c>
      <c r="N170">
        <v>47.06</v>
      </c>
      <c r="O170">
        <v>47.45</v>
      </c>
      <c r="P170">
        <v>45.21</v>
      </c>
      <c r="Q170">
        <v>46.03</v>
      </c>
      <c r="R170">
        <v>45.34</v>
      </c>
      <c r="S170">
        <v>44.35</v>
      </c>
      <c r="T170">
        <v>39.51</v>
      </c>
      <c r="U170">
        <v>38.92</v>
      </c>
      <c r="V170">
        <v>38.97</v>
      </c>
      <c r="W170">
        <v>37.380000000000003</v>
      </c>
      <c r="X170">
        <v>36.61</v>
      </c>
      <c r="Y170">
        <v>43.72</v>
      </c>
      <c r="Z170">
        <v>42.81</v>
      </c>
      <c r="AA170">
        <v>44.65</v>
      </c>
      <c r="AB170">
        <v>43.24</v>
      </c>
      <c r="AC170">
        <v>40.47</v>
      </c>
      <c r="AD170">
        <v>41.85</v>
      </c>
      <c r="AE170">
        <v>42.09</v>
      </c>
      <c r="AF170">
        <v>42.37</v>
      </c>
      <c r="AG170">
        <v>40.43</v>
      </c>
      <c r="AH170">
        <v>41.37</v>
      </c>
      <c r="AI170">
        <v>42.02</v>
      </c>
      <c r="AJ170">
        <v>45.52</v>
      </c>
    </row>
    <row r="171" spans="5:47" x14ac:dyDescent="0.25">
      <c r="F171" t="s">
        <v>225</v>
      </c>
      <c r="G171" t="s">
        <v>225</v>
      </c>
      <c r="O171">
        <v>33.64</v>
      </c>
      <c r="P171">
        <v>48.76</v>
      </c>
      <c r="Q171">
        <v>36.380000000000003</v>
      </c>
      <c r="R171">
        <v>37.42</v>
      </c>
      <c r="S171">
        <v>34.96</v>
      </c>
      <c r="T171">
        <v>53.91</v>
      </c>
      <c r="U171">
        <v>44.74</v>
      </c>
      <c r="V171">
        <v>29.88</v>
      </c>
      <c r="W171">
        <v>28.25</v>
      </c>
      <c r="X171">
        <v>27.32</v>
      </c>
      <c r="Y171">
        <v>30.18</v>
      </c>
      <c r="Z171">
        <v>64.02</v>
      </c>
      <c r="AA171">
        <v>39.46</v>
      </c>
      <c r="AB171">
        <v>63.84</v>
      </c>
      <c r="AC171">
        <v>298.41000000000003</v>
      </c>
      <c r="AD171">
        <v>48.95</v>
      </c>
      <c r="AE171">
        <v>-1561.21</v>
      </c>
      <c r="AF171">
        <v>44.83</v>
      </c>
      <c r="AG171">
        <v>39.86</v>
      </c>
      <c r="AH171">
        <v>19.690000000000001</v>
      </c>
      <c r="AI171">
        <v>43.54</v>
      </c>
      <c r="AJ171">
        <v>46.64</v>
      </c>
    </row>
  </sheetData>
  <phoneticPr fontId="32" type="noConversion"/>
  <pageMargins left="0.7" right="0.7" top="0.75" bottom="0.75" header="0.3" footer="0.3"/>
  <pageSetup orientation="portrait"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31"/>
  <sheetViews>
    <sheetView workbookViewId="0">
      <selection activeCell="A4" sqref="A4:L30"/>
    </sheetView>
  </sheetViews>
  <sheetFormatPr defaultRowHeight="15" x14ac:dyDescent="0.25"/>
  <cols>
    <col min="1" max="1" width="23" customWidth="1"/>
    <col min="2" max="6" width="8.28515625" hidden="1" customWidth="1"/>
    <col min="7" max="7" width="7.7109375" bestFit="1" customWidth="1"/>
    <col min="8" max="10" width="10.28515625" customWidth="1"/>
    <col min="11" max="11" width="3" customWidth="1"/>
    <col min="12" max="12" width="11.42578125" customWidth="1"/>
  </cols>
  <sheetData>
    <row r="2" spans="1:12" ht="18.75" x14ac:dyDescent="0.3">
      <c r="A2" s="170" t="s">
        <v>590</v>
      </c>
      <c r="B2" s="170"/>
      <c r="C2" s="170"/>
      <c r="D2" s="170"/>
      <c r="E2" s="170"/>
      <c r="F2" s="170"/>
      <c r="G2" s="170"/>
      <c r="H2" s="170"/>
      <c r="I2" s="170"/>
      <c r="J2" s="170"/>
      <c r="K2" s="170"/>
      <c r="L2" s="170"/>
    </row>
    <row r="3" spans="1:12" ht="7.5" customHeight="1" x14ac:dyDescent="0.25"/>
    <row r="4" spans="1:12" ht="33.75" customHeight="1" thickBot="1" x14ac:dyDescent="0.3">
      <c r="A4" t="s">
        <v>510</v>
      </c>
      <c r="B4" s="28">
        <v>2016</v>
      </c>
      <c r="C4" s="28">
        <v>2017</v>
      </c>
      <c r="D4" s="28">
        <v>2018</v>
      </c>
      <c r="E4" s="28">
        <v>2019</v>
      </c>
      <c r="F4" s="28">
        <v>2020</v>
      </c>
      <c r="G4" s="119">
        <v>2021</v>
      </c>
      <c r="H4" s="119">
        <v>2022</v>
      </c>
      <c r="I4" s="119" t="s">
        <v>683</v>
      </c>
      <c r="J4" s="119" t="s">
        <v>711</v>
      </c>
      <c r="K4" s="120"/>
      <c r="L4" s="121" t="s">
        <v>784</v>
      </c>
    </row>
    <row r="5" spans="1:12" x14ac:dyDescent="0.25">
      <c r="A5" t="s">
        <v>511</v>
      </c>
      <c r="B5" s="25">
        <f>SUM(Forecast_Main!H79:K79)/1000000</f>
        <v>1424.9795580999998</v>
      </c>
      <c r="C5" s="25">
        <f>SUM(Forecast_Main!L79:O79)/1000000</f>
        <v>1444.3539645000001</v>
      </c>
      <c r="D5" s="25">
        <f>SUM(Forecast_Main!P79:S79)/1000000</f>
        <v>1539.4155068000002</v>
      </c>
      <c r="E5" s="25">
        <f>SUM(Forecast_Main!T79:W79)/1000000</f>
        <v>1565.3501301000001</v>
      </c>
      <c r="F5" s="25">
        <f>SUM(Forecast_Main!X79:AA79)/1000000</f>
        <v>1265.4806676999999</v>
      </c>
      <c r="G5" s="25">
        <f>SUM(Forecast_Main!AB79:AE79)/1000000</f>
        <v>1351.4159157000001</v>
      </c>
      <c r="H5" s="25">
        <f>SUM(Forecast_Main!AF79:AI79)/1000000</f>
        <v>1358.9182239000002</v>
      </c>
      <c r="I5" s="25">
        <f>SUM(Forecast_Main!AJ79:AM79)/1000000</f>
        <v>1341.2651812842726</v>
      </c>
      <c r="J5" s="25">
        <f>SUM(Forecast_Main!AN79:AQ79)/1000000</f>
        <v>1345.1953629280963</v>
      </c>
      <c r="K5" s="25"/>
      <c r="L5" s="7">
        <f>(J5/H5)^(1/2)-1</f>
        <v>-5.0619976264442146E-3</v>
      </c>
    </row>
    <row r="6" spans="1:12" x14ac:dyDescent="0.25">
      <c r="A6" t="s">
        <v>5</v>
      </c>
      <c r="B6" s="25">
        <f>SUM(Forecast_Main!H80:K80)/1000000</f>
        <v>177.6073509</v>
      </c>
      <c r="C6" s="25">
        <f>SUM(Forecast_Main!L80:O80)/1000000</f>
        <v>174.2783335</v>
      </c>
      <c r="D6" s="25">
        <f>SUM(Forecast_Main!P80:S80)/1000000</f>
        <v>172.64196719999998</v>
      </c>
      <c r="E6" s="25">
        <f>SUM(Forecast_Main!T80:W80)/1000000</f>
        <v>174.03229690000003</v>
      </c>
      <c r="F6" s="25">
        <f>SUM(Forecast_Main!X80:AA80)/1000000</f>
        <v>141.76438829999998</v>
      </c>
      <c r="G6" s="25">
        <f>SUM(Forecast_Main!AB80:AE80)/1000000</f>
        <v>156.96306730000001</v>
      </c>
      <c r="H6" s="25">
        <f>SUM(Forecast_Main!AF80:AI80)/1000000</f>
        <v>149.66587410000002</v>
      </c>
      <c r="I6" s="25">
        <f>SUM(Forecast_Main!AJ80:AM80)/1000000</f>
        <v>153.34035745351673</v>
      </c>
      <c r="J6" s="25">
        <f>SUM(Forecast_Main!AN80:AQ80)/1000000</f>
        <v>151.96141272921733</v>
      </c>
      <c r="K6" s="25"/>
      <c r="L6" s="7">
        <f>(J6/H6)^(1/2)-1</f>
        <v>7.6396954291397812E-3</v>
      </c>
    </row>
    <row r="7" spans="1:12" x14ac:dyDescent="0.25">
      <c r="A7" s="107" t="s">
        <v>512</v>
      </c>
      <c r="B7" s="108">
        <f t="shared" ref="B7:H7" si="0">B6/SUM(B5:B6)</f>
        <v>0.11082540978125513</v>
      </c>
      <c r="C7" s="108">
        <f t="shared" si="0"/>
        <v>0.10767011983842176</v>
      </c>
      <c r="D7" s="108">
        <f t="shared" si="0"/>
        <v>0.10083888527214242</v>
      </c>
      <c r="E7" s="108">
        <f t="shared" si="0"/>
        <v>0.10005407333001647</v>
      </c>
      <c r="F7" s="124">
        <f t="shared" si="0"/>
        <v>0.10073894926513778</v>
      </c>
      <c r="G7" s="108">
        <f t="shared" si="0"/>
        <v>0.10406076262599318</v>
      </c>
      <c r="H7" s="108">
        <f t="shared" si="0"/>
        <v>9.9209500019534214E-2</v>
      </c>
      <c r="I7" s="108">
        <f>I6/SUM(I5:I6)</f>
        <v>0.10259587127116787</v>
      </c>
      <c r="J7" s="108">
        <f>J6/SUM(J5:J6)</f>
        <v>0.10150000000000001</v>
      </c>
      <c r="K7" s="93"/>
    </row>
    <row r="8" spans="1:12" ht="15.75" thickBot="1" x14ac:dyDescent="0.3">
      <c r="A8" s="23" t="s">
        <v>29</v>
      </c>
      <c r="B8" s="26">
        <f t="shared" ref="B8:H8" si="1">SUM(B5:B6)</f>
        <v>1602.5869089999999</v>
      </c>
      <c r="C8" s="26">
        <f t="shared" si="1"/>
        <v>1618.632298</v>
      </c>
      <c r="D8" s="26">
        <f t="shared" si="1"/>
        <v>1712.0574740000002</v>
      </c>
      <c r="E8" s="26">
        <f t="shared" si="1"/>
        <v>1739.3824270000002</v>
      </c>
      <c r="F8" s="26">
        <f t="shared" si="1"/>
        <v>1407.245056</v>
      </c>
      <c r="G8" s="26">
        <f t="shared" si="1"/>
        <v>1508.3789830000001</v>
      </c>
      <c r="H8" s="26">
        <f t="shared" si="1"/>
        <v>1508.5840980000003</v>
      </c>
      <c r="I8" s="26">
        <f>SUM(I5:I6)</f>
        <v>1494.6055387377892</v>
      </c>
      <c r="J8" s="26">
        <f>SUM(J5:J6)</f>
        <v>1497.1567756573136</v>
      </c>
      <c r="K8" s="25"/>
      <c r="L8" s="27">
        <f>(J8/H8)^(1/2)-1</f>
        <v>-3.7946326019207E-3</v>
      </c>
    </row>
    <row r="9" spans="1:12" ht="9.75" customHeight="1" x14ac:dyDescent="0.25"/>
    <row r="10" spans="1:12" x14ac:dyDescent="0.25">
      <c r="A10" t="s">
        <v>513</v>
      </c>
      <c r="B10" s="25">
        <f>SUM(Forecast_Main!H85:K85)/1000000</f>
        <v>708.89300119999996</v>
      </c>
      <c r="C10" s="25">
        <f>SUM(Forecast_Main!L85:O85)/1000000</f>
        <v>682.74407774999997</v>
      </c>
      <c r="D10" s="25">
        <f>SUM(Forecast_Main!P85:S85)/1000000</f>
        <v>716.54592369999989</v>
      </c>
      <c r="E10" s="25">
        <f>SUM(Forecast_Main!T85:W85)/1000000</f>
        <v>719.75400409999997</v>
      </c>
      <c r="F10" s="25">
        <f>SUM(Forecast_Main!X85:AA85)/1000000</f>
        <v>662.29301144999999</v>
      </c>
      <c r="G10" s="25">
        <f>SUM(Forecast_Main!AB85:AE85)/1000000</f>
        <v>736.15378175000001</v>
      </c>
      <c r="H10" s="25">
        <f>SUM(Forecast_Main!AF85:AI85)/1000000</f>
        <v>755.31903675000001</v>
      </c>
      <c r="I10" s="25">
        <f>SUM(Forecast_Main!AJ85:AM85)/1000000</f>
        <v>691.07237029128908</v>
      </c>
      <c r="J10" s="25">
        <f>SUM(Forecast_Main!AN85:AQ85)/1000000</f>
        <v>677.41582120009991</v>
      </c>
      <c r="K10" s="25"/>
      <c r="L10" s="7">
        <f>(J10/H10)^(1/2)-1</f>
        <v>-5.2972800704031653E-2</v>
      </c>
    </row>
    <row r="11" spans="1:12" x14ac:dyDescent="0.25">
      <c r="A11" t="s">
        <v>7</v>
      </c>
      <c r="B11" s="25">
        <f>SUM(Forecast_Main!H86:K86)/1000000</f>
        <v>47.535072800000002</v>
      </c>
      <c r="C11" s="25">
        <f>SUM(Forecast_Main!L86:O86)/1000000</f>
        <v>51.186438718036811</v>
      </c>
      <c r="D11" s="25">
        <f>SUM(Forecast_Main!P86:S86)/1000000</f>
        <v>51.641068418850473</v>
      </c>
      <c r="E11" s="25">
        <f>SUM(Forecast_Main!T86:W86)/1000000</f>
        <v>60.083342074614102</v>
      </c>
      <c r="F11" s="25">
        <f>SUM(Forecast_Main!X86:AA86)/1000000</f>
        <v>68.451569799040172</v>
      </c>
      <c r="G11" s="25">
        <f>SUM(Forecast_Main!AB86:AE86)/1000000</f>
        <v>75.852930730132698</v>
      </c>
      <c r="H11" s="25">
        <f>SUM(Forecast_Main!AF86:AI86)/1000000</f>
        <v>81.638879498646531</v>
      </c>
      <c r="I11" s="25">
        <f>SUM(Forecast_Main!AJ86:AM86)/1000000</f>
        <v>79.813166122257485</v>
      </c>
      <c r="J11" s="25">
        <f>SUM(Forecast_Main!AN86:AQ86)/1000000</f>
        <v>82.776496854875063</v>
      </c>
      <c r="K11" s="25"/>
      <c r="L11" s="7">
        <f>(J11/H11)^(1/2)-1</f>
        <v>6.943270376573718E-3</v>
      </c>
    </row>
    <row r="12" spans="1:12" x14ac:dyDescent="0.25">
      <c r="A12" s="107" t="s">
        <v>514</v>
      </c>
      <c r="B12" s="109">
        <f t="shared" ref="B12:G12" si="2">B11/SUM(B10:B11,B13)</f>
        <v>6.2841497339772193E-2</v>
      </c>
      <c r="C12" s="109">
        <f t="shared" si="2"/>
        <v>6.9710576546628447E-2</v>
      </c>
      <c r="D12" s="109">
        <f t="shared" si="2"/>
        <v>6.7119109796882459E-2</v>
      </c>
      <c r="E12" s="109">
        <f t="shared" si="2"/>
        <v>7.5467383810708E-2</v>
      </c>
      <c r="F12" s="109">
        <f t="shared" si="2"/>
        <v>9.1492637947454547E-2</v>
      </c>
      <c r="G12" s="109">
        <f t="shared" si="2"/>
        <v>9.2302846662562665E-2</v>
      </c>
      <c r="H12" s="109">
        <f>H11/SUM(H10:H11,H13)</f>
        <v>9.2396944485550705E-2</v>
      </c>
      <c r="I12" s="109">
        <f>I11/SUM(I10:I11,I13)</f>
        <v>9.4241384254592012E-2</v>
      </c>
      <c r="J12" s="109">
        <f>J11/SUM(J10:J11,J13)</f>
        <v>9.8000000000000004E-2</v>
      </c>
      <c r="K12" s="94"/>
    </row>
    <row r="13" spans="1:12" x14ac:dyDescent="0.25">
      <c r="A13" t="s">
        <v>6</v>
      </c>
      <c r="B13" s="25">
        <f>SUM(Forecast_Main!H88:K88)/1000000</f>
        <v>0</v>
      </c>
      <c r="C13" s="25">
        <f>SUM(Forecast_Main!L88:O88)/1000000</f>
        <v>0.34025353196319624</v>
      </c>
      <c r="D13" s="25">
        <f>SUM(Forecast_Main!P88:S88)/1000000</f>
        <v>1.207425881149528</v>
      </c>
      <c r="E13" s="25">
        <f>SUM(Forecast_Main!T88:W88)/1000000</f>
        <v>16.312447825385895</v>
      </c>
      <c r="F13" s="25">
        <f>SUM(Forecast_Main!X88:AA88)/1000000</f>
        <v>17.420203750959825</v>
      </c>
      <c r="G13" s="25">
        <f>SUM(Forecast_Main!AB88:AE88)/1000000</f>
        <v>9.7765095198672949</v>
      </c>
      <c r="H13" s="25">
        <f>SUM(Forecast_Main!AF88:AI88)/1000000</f>
        <v>46.60895875135347</v>
      </c>
      <c r="I13" s="25">
        <f>SUM(Forecast_Main!AJ88:AM88)/1000000</f>
        <v>76.015925757712935</v>
      </c>
      <c r="J13" s="25">
        <f>SUM(Forecast_Main!AN88:AQ88)/1000000</f>
        <v>84.46581311721944</v>
      </c>
      <c r="K13" s="25"/>
      <c r="L13" s="7">
        <f>(J13/H13)^(1/2)-1</f>
        <v>0.34618821156554302</v>
      </c>
    </row>
    <row r="14" spans="1:12" x14ac:dyDescent="0.25">
      <c r="A14" s="107" t="s">
        <v>515</v>
      </c>
      <c r="B14" s="109">
        <f t="shared" ref="B14:G14" si="3">B13/SUM(B10:B11,B13)</f>
        <v>0</v>
      </c>
      <c r="C14" s="109">
        <f t="shared" si="3"/>
        <v>4.6338972742057574E-4</v>
      </c>
      <c r="D14" s="109">
        <f t="shared" si="3"/>
        <v>1.5693197830680492E-3</v>
      </c>
      <c r="E14" s="109">
        <f t="shared" si="3"/>
        <v>2.0489169184393329E-2</v>
      </c>
      <c r="F14" s="109">
        <f t="shared" si="3"/>
        <v>2.3283912983100143E-2</v>
      </c>
      <c r="G14" s="109">
        <f t="shared" si="3"/>
        <v>1.189670129316329E-2</v>
      </c>
      <c r="H14" s="109">
        <f>H13/SUM(H10:H11,H13)</f>
        <v>5.2750912319289314E-2</v>
      </c>
      <c r="I14" s="109">
        <f>I13/SUM(I10:I11,I13)</f>
        <v>8.9757698094918487E-2</v>
      </c>
      <c r="J14" s="109">
        <f>J13/SUM(J10:J11,J13)</f>
        <v>9.9999999999999992E-2</v>
      </c>
      <c r="K14" s="94"/>
    </row>
    <row r="15" spans="1:12" ht="15.75" thickBot="1" x14ac:dyDescent="0.3">
      <c r="A15" s="23" t="s">
        <v>508</v>
      </c>
      <c r="B15" s="26">
        <f t="shared" ref="B15:G15" si="4">SUM(B10,B11,B13)</f>
        <v>756.42807399999992</v>
      </c>
      <c r="C15" s="26">
        <f t="shared" si="4"/>
        <v>734.27076999999997</v>
      </c>
      <c r="D15" s="26">
        <f t="shared" si="4"/>
        <v>769.39441799999997</v>
      </c>
      <c r="E15" s="26">
        <f t="shared" si="4"/>
        <v>796.14979399999993</v>
      </c>
      <c r="F15" s="26">
        <f t="shared" si="4"/>
        <v>748.16478499999994</v>
      </c>
      <c r="G15" s="26">
        <f t="shared" si="4"/>
        <v>821.78322200000002</v>
      </c>
      <c r="H15" s="26">
        <f>SUM(H10,H11,H13)</f>
        <v>883.5668750000001</v>
      </c>
      <c r="I15" s="26">
        <f>SUM(I10,I11,I13)</f>
        <v>846.90146217125948</v>
      </c>
      <c r="J15" s="26">
        <f>SUM(J10,J11,J13)</f>
        <v>844.65813117219443</v>
      </c>
      <c r="K15" s="25"/>
      <c r="L15" s="27">
        <f>(J15/H15)^(1/2)-1</f>
        <v>-2.226588071570812E-2</v>
      </c>
    </row>
    <row r="16" spans="1:12" ht="9.75" customHeight="1" x14ac:dyDescent="0.25"/>
    <row r="17" spans="1:12" x14ac:dyDescent="0.25">
      <c r="A17" t="s">
        <v>516</v>
      </c>
      <c r="B17" s="25">
        <f>SUM(Forecast_Main!H96:K96)/1000000</f>
        <v>1.3264875488844861</v>
      </c>
      <c r="C17" s="25">
        <f>SUM(Forecast_Main!L96:O96)/1000000</f>
        <v>1.6431522740976827</v>
      </c>
      <c r="D17" s="25">
        <f>SUM(Forecast_Main!P96:S96)/1000000</f>
        <v>2.2355978027392536</v>
      </c>
      <c r="E17" s="25">
        <f>SUM(Forecast_Main!T96:W96)/1000000</f>
        <v>2.8779460795975775</v>
      </c>
      <c r="F17" s="25">
        <f>SUM(Forecast_Main!X96:AA96)/1000000</f>
        <v>3.6727678272371005</v>
      </c>
      <c r="G17" s="25">
        <f>SUM(Forecast_Main!AB96:AE96)/1000000</f>
        <v>4.6635986949706076</v>
      </c>
      <c r="H17" s="25">
        <f>SUM(Forecast_Main!AF96:AI96)/1000000</f>
        <v>6.9076645094709344</v>
      </c>
      <c r="I17" s="25">
        <f>SUM(Forecast_Main!AJ96:AM96)/1000000</f>
        <v>8.1317908802839955</v>
      </c>
      <c r="J17" s="25" cm="1">
        <f t="array" ref="J17">SUM(Forecast_Main!AN96:AQ96/1000000)</f>
        <v>11.221513786240191</v>
      </c>
      <c r="K17" s="25"/>
      <c r="L17" s="53">
        <f>(J17/H17)^(1/2)-1</f>
        <v>0.27455947356488841</v>
      </c>
    </row>
    <row r="18" spans="1:12" x14ac:dyDescent="0.25">
      <c r="A18" t="s">
        <v>517</v>
      </c>
      <c r="B18" s="25">
        <f>SUM(Forecast_Main!H101:K101)/1000000</f>
        <v>0</v>
      </c>
      <c r="C18" s="25">
        <f>SUM(Forecast_Main!L101:O101)/1000000</f>
        <v>0</v>
      </c>
      <c r="D18" s="25">
        <f>SUM(Forecast_Main!P101:S101)/1000000</f>
        <v>1.727786</v>
      </c>
      <c r="E18" s="25">
        <f>SUM(Forecast_Main!T101:W101)/1000000</f>
        <v>2.2205819999999998</v>
      </c>
      <c r="F18" s="25">
        <f>SUM(Forecast_Main!X101:AA101)/1000000</f>
        <v>3.2340559999999998</v>
      </c>
      <c r="G18" s="25">
        <f>SUM(Forecast_Main!AB101:AE101)/1000000</f>
        <v>4.9761439999999997</v>
      </c>
      <c r="H18" s="25">
        <f>SUM(Forecast_Main!AF101:AI101)/1000000</f>
        <v>6.3405370000000003</v>
      </c>
      <c r="I18" s="25">
        <f>SUM(Forecast_Main!AJ101:AM101)/1000000</f>
        <v>5.7653989242353196</v>
      </c>
      <c r="J18" s="25" cm="1">
        <f t="array" ref="J18">SUM(Forecast_Main!AN101:AQ101/1000000)</f>
        <v>10.2556681875</v>
      </c>
      <c r="K18" s="25"/>
      <c r="L18" s="7">
        <f>(J18/H18)^(1/2)-1</f>
        <v>0.27180040809652772</v>
      </c>
    </row>
    <row r="19" spans="1:12" ht="9.75" customHeight="1" x14ac:dyDescent="0.25"/>
    <row r="20" spans="1:12" x14ac:dyDescent="0.25">
      <c r="A20" t="s">
        <v>518</v>
      </c>
      <c r="B20" s="25">
        <f>SUM(Forecast_Main!H104:K104)/1000000</f>
        <v>0.597634</v>
      </c>
      <c r="C20" s="25">
        <f>SUM(Forecast_Main!L104:O104)/1000000</f>
        <v>0.913574</v>
      </c>
      <c r="D20" s="25">
        <f>SUM(Forecast_Main!P104:S104)/1000000</f>
        <v>1.3719790000000001</v>
      </c>
      <c r="E20" s="25">
        <f>SUM(Forecast_Main!T104:W104)/1000000</f>
        <v>1.089796</v>
      </c>
      <c r="F20" s="25">
        <f>SUM(Forecast_Main!X104:AA104)/1000000</f>
        <v>0.37100899999999998</v>
      </c>
      <c r="G20" s="25">
        <f>SUM(Forecast_Main!AB104:AE104)/1000000</f>
        <v>0.32717499999999999</v>
      </c>
      <c r="H20" s="25">
        <f>SUM(Forecast_Main!AF104:AI104)/1000000</f>
        <v>0.23852100000000001</v>
      </c>
      <c r="I20" s="25">
        <f>SUM(Forecast_Main!AJ104:AM104)/1000000</f>
        <v>0.17490160000000021</v>
      </c>
      <c r="J20" s="25" cm="1">
        <f t="array" ref="J20">SUM(Forecast_Main!AN104:AQ104/1000000)</f>
        <v>0.12456886250000028</v>
      </c>
      <c r="K20" s="25"/>
      <c r="L20" s="7">
        <f>(J20/H20)^(1/2)-1</f>
        <v>-0.27732764994992798</v>
      </c>
    </row>
    <row r="21" spans="1:12" x14ac:dyDescent="0.25">
      <c r="A21" t="s">
        <v>30</v>
      </c>
      <c r="B21" s="25">
        <f>SUM(Forecast_Main!H105:K105)/1000000</f>
        <v>0.914605</v>
      </c>
      <c r="C21" s="25">
        <f>SUM(Forecast_Main!L105:O105)/1000000</f>
        <v>1.86127</v>
      </c>
      <c r="D21" s="25">
        <f>SUM(Forecast_Main!P105:S105)/1000000</f>
        <v>1.7193350000000001</v>
      </c>
      <c r="E21" s="25">
        <f>SUM(Forecast_Main!T105:W105)/1000000</f>
        <v>2.2240639999999998</v>
      </c>
      <c r="F21" s="25">
        <f>SUM(Forecast_Main!X105:AA105)/1000000</f>
        <v>2.919343</v>
      </c>
      <c r="G21" s="25">
        <f>SUM(Forecast_Main!AB105:AE105)/1000000</f>
        <v>3.4838399999999998</v>
      </c>
      <c r="H21" s="25">
        <f>SUM(Forecast_Main!AF105:AI105)/1000000</f>
        <v>3.7197800000000001</v>
      </c>
      <c r="I21" s="25">
        <f>SUM(Forecast_Main!AJ105:AM105)/1000000</f>
        <v>4.1579284000000003</v>
      </c>
      <c r="J21" s="25" cm="1">
        <f t="array" ref="J21">SUM(Forecast_Main!AN105:AQ105/1000000)</f>
        <v>4.8581856374999992</v>
      </c>
      <c r="K21" s="25"/>
      <c r="L21" s="7">
        <f>(J21/H21)^(1/2)-1</f>
        <v>0.14282156089188169</v>
      </c>
    </row>
    <row r="22" spans="1:12" x14ac:dyDescent="0.25">
      <c r="A22" s="107" t="s">
        <v>519</v>
      </c>
      <c r="B22" s="109">
        <f t="shared" ref="B22:G22" si="5">B21/SUM(B20:B21)</f>
        <v>0.604801886474294</v>
      </c>
      <c r="C22" s="109">
        <f t="shared" si="5"/>
        <v>0.67076563583394244</v>
      </c>
      <c r="D22" s="109">
        <f t="shared" si="5"/>
        <v>0.55618258125832576</v>
      </c>
      <c r="E22" s="109">
        <f t="shared" si="5"/>
        <v>0.67113999987929474</v>
      </c>
      <c r="F22" s="109">
        <f t="shared" si="5"/>
        <v>0.88724337092201688</v>
      </c>
      <c r="G22" s="109">
        <f t="shared" si="5"/>
        <v>0.91415016734387033</v>
      </c>
      <c r="H22" s="109">
        <f>H21/SUM(H20:H21)</f>
        <v>0.93974157094167421</v>
      </c>
      <c r="I22" s="109">
        <f>I21/SUM(I20:I21)</f>
        <v>0.95963340357226101</v>
      </c>
      <c r="J22" s="109">
        <f>J21/SUM(J20:J21)</f>
        <v>0.97499999999999998</v>
      </c>
      <c r="K22" s="94"/>
    </row>
    <row r="23" spans="1:12" ht="15.75" thickBot="1" x14ac:dyDescent="0.3">
      <c r="A23" s="23" t="s">
        <v>520</v>
      </c>
      <c r="B23" s="26">
        <f t="shared" ref="B23:G23" si="6">SUM(B20:B21)</f>
        <v>1.5122390000000001</v>
      </c>
      <c r="C23" s="26">
        <f t="shared" si="6"/>
        <v>2.7748439999999999</v>
      </c>
      <c r="D23" s="26">
        <f t="shared" si="6"/>
        <v>3.0913140000000001</v>
      </c>
      <c r="E23" s="26">
        <f t="shared" si="6"/>
        <v>3.31386</v>
      </c>
      <c r="F23" s="26">
        <f t="shared" si="6"/>
        <v>3.2903519999999999</v>
      </c>
      <c r="G23" s="26">
        <f t="shared" si="6"/>
        <v>3.8110149999999998</v>
      </c>
      <c r="H23" s="26">
        <f>SUM(H20:H21)</f>
        <v>3.9583010000000001</v>
      </c>
      <c r="I23" s="26">
        <f>SUM(I20:I21)</f>
        <v>4.3328300000000004</v>
      </c>
      <c r="J23" s="26">
        <f>SUM(J20:J21)</f>
        <v>4.9827544999999995</v>
      </c>
      <c r="K23" s="25"/>
      <c r="L23" s="27">
        <f>(J23/H23)^(1/2)-1</f>
        <v>0.12196765521284259</v>
      </c>
    </row>
    <row r="24" spans="1:12" x14ac:dyDescent="0.25">
      <c r="A24" s="22"/>
      <c r="B24" s="22"/>
      <c r="C24" s="22"/>
      <c r="D24" s="22"/>
    </row>
    <row r="25" spans="1:12" x14ac:dyDescent="0.25">
      <c r="A25" s="22" t="s">
        <v>781</v>
      </c>
      <c r="B25" s="22"/>
      <c r="C25" s="22"/>
      <c r="D25" s="22"/>
      <c r="G25" s="25">
        <f>SUM(Forecast_Main!AB110:AE110)/1000000</f>
        <v>2.1546690000000002</v>
      </c>
      <c r="H25" s="25">
        <f>SUM(Forecast_Main!AF110:AI110)/1000000</f>
        <v>2.5717110000000001</v>
      </c>
      <c r="I25" s="25">
        <f>SUM(Forecast_Main!AJ110:AM110)/1000000</f>
        <v>3.0879667474365236</v>
      </c>
      <c r="J25" s="25">
        <f>SUM(Forecast_Main!AN110:AQ110)/1000000</f>
        <v>3.6943420041581612</v>
      </c>
      <c r="L25" s="7">
        <f>(J25/H25)^(1/2)-1</f>
        <v>0.19855361924646964</v>
      </c>
    </row>
    <row r="26" spans="1:12" x14ac:dyDescent="0.25">
      <c r="A26" s="22" t="s">
        <v>815</v>
      </c>
      <c r="B26" s="22"/>
      <c r="C26" s="22"/>
      <c r="D26" s="22"/>
      <c r="G26" s="25">
        <f>SUM(Forecast_Main!AB111:AE111)/1000000</f>
        <v>0.28938799999999998</v>
      </c>
      <c r="H26" s="25">
        <f>SUM(Forecast_Main!AF111:AI111)/1000000</f>
        <v>0.670242</v>
      </c>
      <c r="I26" s="25">
        <f>SUM(Forecast_Main!AJ111:AM111)/1000000</f>
        <v>1.2307267489013671</v>
      </c>
      <c r="J26" s="25">
        <f>SUM(Forecast_Main!AN111:AQ111)/1000000</f>
        <v>1.9892610791620864</v>
      </c>
      <c r="L26" s="7">
        <f>(J26/H26)^(1/2)-1</f>
        <v>0.72278099948458352</v>
      </c>
    </row>
    <row r="27" spans="1:12" x14ac:dyDescent="0.25">
      <c r="A27" s="107" t="s">
        <v>816</v>
      </c>
      <c r="B27" s="109" t="e">
        <f t="shared" ref="B27:G27" si="7">B26/SUM(B25:B26)</f>
        <v>#DIV/0!</v>
      </c>
      <c r="C27" s="109" t="e">
        <f t="shared" si="7"/>
        <v>#DIV/0!</v>
      </c>
      <c r="D27" s="109" t="e">
        <f t="shared" si="7"/>
        <v>#DIV/0!</v>
      </c>
      <c r="E27" s="109" t="e">
        <f t="shared" si="7"/>
        <v>#DIV/0!</v>
      </c>
      <c r="F27" s="109" t="e">
        <f t="shared" si="7"/>
        <v>#DIV/0!</v>
      </c>
      <c r="G27" s="109">
        <f t="shared" si="7"/>
        <v>0.11840476715559416</v>
      </c>
      <c r="H27" s="109">
        <f>H26/SUM(H25:H26)</f>
        <v>0.20674019641864025</v>
      </c>
      <c r="I27" s="109">
        <f>I26/SUM(I25:I26)</f>
        <v>0.28497663701880738</v>
      </c>
      <c r="J27" s="109">
        <f>J26/SUM(J25:J26)</f>
        <v>0.35</v>
      </c>
      <c r="L27" s="7"/>
    </row>
    <row r="28" spans="1:12" ht="15.75" thickBot="1" x14ac:dyDescent="0.3">
      <c r="A28" s="24" t="s">
        <v>676</v>
      </c>
      <c r="B28" s="26">
        <f>SUM(Forecast_Main!H110:K110)/1000000</f>
        <v>6.5049999999999997E-2</v>
      </c>
      <c r="C28" s="26">
        <f>SUM(Forecast_Main!L110:O110)/1000000</f>
        <v>0.12829099999999999</v>
      </c>
      <c r="D28" s="26">
        <f>SUM(Forecast_Main!P110:S110)/1000000</f>
        <v>0.74041800000000002</v>
      </c>
      <c r="E28" s="26">
        <f>SUM(Forecast_Main!T110:W110)/1000000</f>
        <v>1.6031040000000001</v>
      </c>
      <c r="F28" s="26">
        <f>SUM(Forecast_Main!X113:AA113)/1000000</f>
        <v>1.475168</v>
      </c>
      <c r="G28" s="26">
        <f>SUM(G25:G26)</f>
        <v>2.4440569999999999</v>
      </c>
      <c r="H28" s="26">
        <f>SUM(H25:H26)</f>
        <v>3.2419530000000001</v>
      </c>
      <c r="I28" s="26">
        <f>SUM(I25:I26)</f>
        <v>4.3186934963378905</v>
      </c>
      <c r="J28" s="26">
        <f>SUM(J25:J26)</f>
        <v>5.6836030833202473</v>
      </c>
      <c r="K28" s="25"/>
      <c r="L28" s="27">
        <f>(J28/H28)^(1/2)-1</f>
        <v>0.32406258448441094</v>
      </c>
    </row>
    <row r="29" spans="1:12" ht="6" customHeight="1" x14ac:dyDescent="0.25">
      <c r="A29" s="29"/>
      <c r="B29" s="29"/>
      <c r="C29" s="29"/>
      <c r="D29" s="29"/>
      <c r="E29" s="25"/>
      <c r="F29" s="25"/>
      <c r="G29" s="25"/>
      <c r="H29" s="25"/>
      <c r="I29" s="25"/>
      <c r="J29" s="25"/>
      <c r="K29" s="25"/>
    </row>
    <row r="30" spans="1:12" ht="39.75" customHeight="1" x14ac:dyDescent="0.25">
      <c r="A30" s="171" t="s">
        <v>925</v>
      </c>
      <c r="B30" s="171"/>
      <c r="C30" s="171"/>
      <c r="D30" s="171"/>
      <c r="E30" s="171"/>
      <c r="F30" s="171"/>
      <c r="G30" s="171"/>
      <c r="H30" s="171"/>
      <c r="I30" s="171"/>
      <c r="J30" s="171"/>
      <c r="K30" s="171"/>
      <c r="L30" s="171"/>
    </row>
    <row r="31" spans="1:12" x14ac:dyDescent="0.25">
      <c r="D31" s="36"/>
    </row>
  </sheetData>
  <mergeCells count="2">
    <mergeCell ref="A2:L2"/>
    <mergeCell ref="A30:L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0"/>
  <sheetViews>
    <sheetView tabSelected="1" workbookViewId="0">
      <pane xSplit="2" ySplit="2" topLeftCell="C3" activePane="bottomRight" state="frozen"/>
      <selection pane="topRight" activeCell="C1" sqref="C1"/>
      <selection pane="bottomLeft" activeCell="A3" sqref="A3"/>
      <selection pane="bottomRight" activeCell="G29" sqref="G29:K39"/>
    </sheetView>
  </sheetViews>
  <sheetFormatPr defaultRowHeight="15" x14ac:dyDescent="0.25"/>
  <cols>
    <col min="1" max="1" width="14.5703125" customWidth="1"/>
    <col min="2" max="2" width="22.7109375" bestFit="1" customWidth="1"/>
    <col min="3" max="3" width="13.42578125" hidden="1" customWidth="1"/>
    <col min="4" max="5" width="13.42578125" customWidth="1"/>
    <col min="7" max="7" width="16.28515625" customWidth="1"/>
    <col min="8" max="11" width="13.42578125" customWidth="1"/>
    <col min="12" max="14" width="12.42578125" customWidth="1"/>
    <col min="15" max="16" width="9.85546875" bestFit="1" customWidth="1"/>
    <col min="17" max="18" width="9.85546875" hidden="1" customWidth="1"/>
    <col min="19" max="21" width="10.140625" hidden="1" customWidth="1"/>
    <col min="22" max="27" width="10.85546875" hidden="1" customWidth="1"/>
    <col min="28" max="47" width="0" hidden="1" customWidth="1"/>
  </cols>
  <sheetData>
    <row r="1" spans="1:27" ht="15.75" thickBot="1" x14ac:dyDescent="0.3">
      <c r="A1" t="s">
        <v>625</v>
      </c>
      <c r="R1" s="126">
        <v>0.95</v>
      </c>
      <c r="T1" s="127">
        <v>0.95</v>
      </c>
    </row>
    <row r="2" spans="1:27" ht="21" x14ac:dyDescent="0.35">
      <c r="A2" s="172" t="s">
        <v>21</v>
      </c>
      <c r="B2" s="173"/>
      <c r="C2" s="173"/>
      <c r="D2" s="173"/>
      <c r="E2" s="174"/>
      <c r="G2" s="175" t="s">
        <v>602</v>
      </c>
      <c r="H2" s="175"/>
      <c r="I2" s="175"/>
      <c r="J2" s="175"/>
      <c r="K2" s="175"/>
      <c r="L2" s="175"/>
      <c r="M2" s="175"/>
      <c r="N2" s="175"/>
      <c r="O2" s="175"/>
    </row>
    <row r="3" spans="1:27" ht="21.75" thickBot="1" x14ac:dyDescent="0.4">
      <c r="A3" s="139"/>
      <c r="B3" s="140"/>
      <c r="C3" s="141">
        <v>2022</v>
      </c>
      <c r="D3" s="141" t="s">
        <v>683</v>
      </c>
      <c r="E3" s="141" t="s">
        <v>711</v>
      </c>
      <c r="H3" s="20">
        <v>2016</v>
      </c>
      <c r="I3" s="20">
        <v>2017</v>
      </c>
      <c r="J3" s="20">
        <v>2018</v>
      </c>
      <c r="K3" s="20">
        <v>2019</v>
      </c>
      <c r="L3" s="76">
        <v>2020</v>
      </c>
      <c r="M3" s="76">
        <v>2021</v>
      </c>
      <c r="N3" s="76" t="s">
        <v>652</v>
      </c>
      <c r="O3" s="79" t="s">
        <v>683</v>
      </c>
      <c r="P3" s="79" t="s">
        <v>711</v>
      </c>
      <c r="Q3" s="79" t="s">
        <v>712</v>
      </c>
      <c r="R3" s="79" t="s">
        <v>713</v>
      </c>
      <c r="S3" s="79" t="s">
        <v>714</v>
      </c>
      <c r="T3" s="79" t="s">
        <v>715</v>
      </c>
      <c r="U3" s="79" t="s">
        <v>716</v>
      </c>
      <c r="V3" s="79" t="s">
        <v>717</v>
      </c>
      <c r="W3" s="79" t="s">
        <v>718</v>
      </c>
      <c r="X3" s="79" t="s">
        <v>719</v>
      </c>
      <c r="Y3" s="79" t="s">
        <v>720</v>
      </c>
      <c r="Z3" s="79" t="s">
        <v>721</v>
      </c>
      <c r="AA3" s="79" t="s">
        <v>722</v>
      </c>
    </row>
    <row r="4" spans="1:27" x14ac:dyDescent="0.25">
      <c r="A4" s="51" t="s">
        <v>22</v>
      </c>
      <c r="B4" s="2" t="s">
        <v>4</v>
      </c>
      <c r="C4" s="11">
        <f>SUM(Forecast_Main!AF118:AI118)</f>
        <v>-1210616.3999999999</v>
      </c>
      <c r="D4" s="11">
        <f>SUM(Forecast_Main!AJ118:AM118)</f>
        <v>-1401260.7289927765</v>
      </c>
      <c r="E4" s="11">
        <f>SUM(Forecast_Main!AN118:AQ118)</f>
        <v>-1636062.1135507331</v>
      </c>
      <c r="G4" s="2" t="s">
        <v>4</v>
      </c>
      <c r="H4" s="9">
        <f>SUM(Forecast_Main!H118:K118)</f>
        <v>-390550.7</v>
      </c>
      <c r="I4" s="9">
        <f>SUM(Forecast_Main!L118:O118)</f>
        <v>-423554.5</v>
      </c>
      <c r="J4" s="9">
        <f>SUM(Forecast_Main!P118:S118)</f>
        <v>-569013.6</v>
      </c>
      <c r="K4" s="9">
        <f>SUM(Forecast_Main!T118:W118)</f>
        <v>-665177.5</v>
      </c>
      <c r="L4" s="9">
        <f>SUM(Forecast_Main!X118:AA118)</f>
        <v>-742380.9</v>
      </c>
      <c r="M4" s="9">
        <f>SUM(Forecast_Main!AB118:AE118)</f>
        <v>-955411.29999999993</v>
      </c>
      <c r="N4" s="9">
        <f>SUM(Forecast_Main!AF118:AI118)</f>
        <v>-1210616.3999999999</v>
      </c>
      <c r="O4" s="80">
        <f>SUM(Forecast_Main!AJ118:AM118)</f>
        <v>-1401260.7289927765</v>
      </c>
      <c r="P4" s="80">
        <f>SUM(Forecast_Main!AN118:AQ118)</f>
        <v>-1636062.1135507331</v>
      </c>
      <c r="Q4" s="80">
        <f t="shared" ref="Q4:AA4" si="0">P4*(1+((P4/O4)^($R1)-1))</f>
        <v>-1895468.5495051867</v>
      </c>
      <c r="R4" s="80">
        <f t="shared" si="0"/>
        <v>-2179904.8523625545</v>
      </c>
      <c r="S4" s="80">
        <f t="shared" si="0"/>
        <v>-2489559.1293501724</v>
      </c>
      <c r="T4" s="80">
        <f t="shared" si="0"/>
        <v>-2824379.8717504865</v>
      </c>
      <c r="U4" s="80">
        <f t="shared" si="0"/>
        <v>-3184078.2842806219</v>
      </c>
      <c r="V4" s="80">
        <f t="shared" si="0"/>
        <v>-3568135.4677194366</v>
      </c>
      <c r="W4" s="80">
        <f t="shared" si="0"/>
        <v>-3975813.9403594183</v>
      </c>
      <c r="X4" s="80">
        <f t="shared" si="0"/>
        <v>-4406172.8891593367</v>
      </c>
      <c r="Y4" s="80">
        <f t="shared" si="0"/>
        <v>-4858086.4820908522</v>
      </c>
      <c r="Z4" s="80">
        <f t="shared" si="0"/>
        <v>-5330264.5467031244</v>
      </c>
      <c r="AA4" s="80">
        <f t="shared" si="0"/>
        <v>-5821274.9226525147</v>
      </c>
    </row>
    <row r="5" spans="1:27" ht="15.75" thickBot="1" x14ac:dyDescent="0.3">
      <c r="A5" s="44"/>
      <c r="B5" s="45" t="s">
        <v>3</v>
      </c>
      <c r="C5" s="11">
        <f>SUM(Forecast_Main!AF119:AI119)</f>
        <v>-718117.4</v>
      </c>
      <c r="D5" s="11">
        <f>SUM(Forecast_Main!AJ119:AM119)</f>
        <v>-787067.96995903831</v>
      </c>
      <c r="E5" s="11">
        <f>SUM(Forecast_Main!AN119:AQ119)</f>
        <v>-901878.9083863945</v>
      </c>
      <c r="G5" s="45" t="s">
        <v>3</v>
      </c>
      <c r="H5" s="9">
        <f>SUM(Forecast_Main!H119:K119)</f>
        <v>-204280.8</v>
      </c>
      <c r="I5" s="9">
        <f>SUM(Forecast_Main!L119:O119)</f>
        <v>-220817.80000000002</v>
      </c>
      <c r="J5" s="9">
        <f>SUM(Forecast_Main!P119:S119)</f>
        <v>-295869.55000000005</v>
      </c>
      <c r="K5" s="9">
        <f>SUM(Forecast_Main!T119:W119)</f>
        <v>-336842.75</v>
      </c>
      <c r="L5" s="9">
        <f>SUM(Forecast_Main!X119:AA119)</f>
        <v>-411555.10000000003</v>
      </c>
      <c r="M5" s="9">
        <f>SUM(Forecast_Main!AB119:AE119)</f>
        <v>-552274.75</v>
      </c>
      <c r="N5" s="9">
        <f>SUM(Forecast_Main!AF119:AI119)</f>
        <v>-718117.4</v>
      </c>
      <c r="O5" s="80">
        <f>SUM(Forecast_Main!AJ119:AM119)</f>
        <v>-787067.96995903831</v>
      </c>
      <c r="P5" s="80">
        <f>SUM(Forecast_Main!AN119:AQ119)</f>
        <v>-901878.9083863945</v>
      </c>
      <c r="Q5" s="80">
        <f t="shared" ref="Q5:AA5" si="1">P5*(1+((P5/O5)^($R1)-1))</f>
        <v>-1026425.4753298877</v>
      </c>
      <c r="R5" s="80">
        <f t="shared" si="1"/>
        <v>-1160640.323137745</v>
      </c>
      <c r="S5" s="80">
        <f t="shared" si="1"/>
        <v>-1304365.7168475902</v>
      </c>
      <c r="T5" s="80">
        <f t="shared" si="1"/>
        <v>-1457357.1977809095</v>
      </c>
      <c r="U5" s="80">
        <f t="shared" si="1"/>
        <v>-1619288.8044072203</v>
      </c>
      <c r="V5" s="80">
        <f t="shared" si="1"/>
        <v>-1789759.6018734043</v>
      </c>
      <c r="W5" s="80">
        <f t="shared" si="1"/>
        <v>-1968301.2553750596</v>
      </c>
      <c r="X5" s="80">
        <f t="shared" si="1"/>
        <v>-2154386.3783439971</v>
      </c>
      <c r="Y5" s="80">
        <f t="shared" si="1"/>
        <v>-2347437.3926126026</v>
      </c>
      <c r="Z5" s="80">
        <f t="shared" si="1"/>
        <v>-2546835.6524265762</v>
      </c>
      <c r="AA5" s="80">
        <f t="shared" si="1"/>
        <v>-2751930.605461169</v>
      </c>
    </row>
    <row r="6" spans="1:27" ht="15.75" thickBot="1" x14ac:dyDescent="0.3">
      <c r="A6" s="48" t="s">
        <v>555</v>
      </c>
      <c r="B6" s="49"/>
      <c r="C6" s="50">
        <f>SUM(C4:C5)</f>
        <v>-1928733.7999999998</v>
      </c>
      <c r="D6" s="50">
        <f>SUM(D4:D5)</f>
        <v>-2188328.6989518148</v>
      </c>
      <c r="E6" s="50">
        <f>SUM(E4:E5)</f>
        <v>-2537941.0219371277</v>
      </c>
      <c r="G6" s="49" t="s">
        <v>598</v>
      </c>
      <c r="H6" s="50">
        <f t="shared" ref="H6:M6" si="2">SUM(H4:H5)</f>
        <v>-594831.5</v>
      </c>
      <c r="I6" s="50">
        <f t="shared" si="2"/>
        <v>-644372.30000000005</v>
      </c>
      <c r="J6" s="50">
        <f t="shared" si="2"/>
        <v>-864883.15</v>
      </c>
      <c r="K6" s="50">
        <f t="shared" si="2"/>
        <v>-1002020.25</v>
      </c>
      <c r="L6" s="111">
        <f t="shared" si="2"/>
        <v>-1153936</v>
      </c>
      <c r="M6" s="111">
        <f t="shared" si="2"/>
        <v>-1507686.0499999998</v>
      </c>
      <c r="N6" s="111">
        <f t="shared" ref="N6:AA6" si="3">SUM(N4:N5)</f>
        <v>-1928733.7999999998</v>
      </c>
      <c r="O6" s="81">
        <f t="shared" si="3"/>
        <v>-2188328.6989518148</v>
      </c>
      <c r="P6" s="81">
        <f t="shared" si="3"/>
        <v>-2537941.0219371277</v>
      </c>
      <c r="Q6" s="81">
        <f t="shared" si="3"/>
        <v>-2921894.0248350743</v>
      </c>
      <c r="R6" s="81">
        <f t="shared" si="3"/>
        <v>-3340545.1755002998</v>
      </c>
      <c r="S6" s="81">
        <f t="shared" si="3"/>
        <v>-3793924.8461977625</v>
      </c>
      <c r="T6" s="81">
        <f t="shared" si="3"/>
        <v>-4281737.069531396</v>
      </c>
      <c r="U6" s="81">
        <f t="shared" si="3"/>
        <v>-4803367.0886878427</v>
      </c>
      <c r="V6" s="81">
        <f t="shared" si="3"/>
        <v>-5357895.069592841</v>
      </c>
      <c r="W6" s="81">
        <f t="shared" si="3"/>
        <v>-5944115.1957344776</v>
      </c>
      <c r="X6" s="81">
        <f t="shared" si="3"/>
        <v>-6560559.2675033342</v>
      </c>
      <c r="Y6" s="81">
        <f t="shared" si="3"/>
        <v>-7205523.8747034548</v>
      </c>
      <c r="Z6" s="81">
        <f t="shared" si="3"/>
        <v>-7877100.1991297007</v>
      </c>
      <c r="AA6" s="81">
        <f t="shared" si="3"/>
        <v>-8573205.5281136837</v>
      </c>
    </row>
    <row r="7" spans="1:27" x14ac:dyDescent="0.25">
      <c r="A7" s="46"/>
      <c r="B7" s="46"/>
      <c r="C7" s="46"/>
      <c r="D7" s="47"/>
      <c r="G7" s="46"/>
      <c r="H7" s="9"/>
      <c r="I7" s="9"/>
      <c r="J7" s="9"/>
      <c r="K7" s="9"/>
      <c r="L7" s="9"/>
      <c r="M7" s="9"/>
      <c r="N7" s="9"/>
      <c r="O7" s="80"/>
    </row>
    <row r="8" spans="1:27" x14ac:dyDescent="0.25">
      <c r="A8" s="51" t="s">
        <v>23</v>
      </c>
      <c r="B8" s="2" t="s">
        <v>5</v>
      </c>
      <c r="C8" s="11">
        <f>SUM(Forecast_Main!AF122:AI122)</f>
        <v>507926.4</v>
      </c>
      <c r="D8" s="3">
        <f>SUM(Forecast_Main!AJ122:AM122)</f>
        <v>520874.32256065827</v>
      </c>
      <c r="E8" s="3">
        <f>SUM(Forecast_Main!AN122:AQ122)</f>
        <v>498056.1287601674</v>
      </c>
      <c r="G8" s="2" t="s">
        <v>5</v>
      </c>
      <c r="H8" s="9">
        <f>SUM(Forecast_Main!H122:K122)</f>
        <v>499938.7</v>
      </c>
      <c r="I8" s="9">
        <f>SUM(Forecast_Main!L122:O122)</f>
        <v>479677.5</v>
      </c>
      <c r="J8" s="9">
        <f>SUM(Forecast_Main!P122:S122)</f>
        <v>495127.6</v>
      </c>
      <c r="K8" s="9">
        <f>SUM(Forecast_Main!T122:W122)</f>
        <v>520845.49999999994</v>
      </c>
      <c r="L8" s="9">
        <f>SUM(Forecast_Main!X122:AA122)</f>
        <v>488187.9</v>
      </c>
      <c r="M8" s="9">
        <f>SUM(Forecast_Main!AB122:AE122)</f>
        <v>541602.30000000005</v>
      </c>
      <c r="N8" s="9">
        <f>SUM(Forecast_Main!AF122:AI122)</f>
        <v>507926.4</v>
      </c>
      <c r="O8" s="80">
        <f>SUM(Forecast_Main!AJ122:AM122)</f>
        <v>520874.32256065827</v>
      </c>
      <c r="P8" s="80">
        <f>SUM(Forecast_Main!AN122:AQ122)</f>
        <v>498056.1287601674</v>
      </c>
      <c r="Q8" s="80" cm="1">
        <f t="array" ref="Q8">TREND(M8:P8,M$22:P$22,Q$22)</f>
        <v>487692.14004049823</v>
      </c>
      <c r="R8" s="80" cm="1">
        <f t="array" ref="R8">TREND(N8:Q8,N$22:Q$22,R$22)</f>
        <v>482757.00442058221</v>
      </c>
      <c r="S8" s="80" cm="1">
        <f t="array" ref="S8">TREND(O8:R8,O$22:R$22,S$22)</f>
        <v>466165.91316050291</v>
      </c>
      <c r="T8" s="80" cm="1">
        <f t="array" ref="T8">TREND(P8:S8,P$22:S$22,T$22)</f>
        <v>458516.35099070892</v>
      </c>
      <c r="U8" s="80" cm="1">
        <f t="array" ref="U8">TREND(Q8:T8,Q$22:T$22,U$22)</f>
        <v>447753.2375507094</v>
      </c>
      <c r="V8" s="80" cm="1">
        <f t="array" ref="V8">TREND(R8:U8,R$22:U$22,V$22)</f>
        <v>435632.91083577275</v>
      </c>
      <c r="W8" s="80" cm="1">
        <f t="array" ref="W8">TREND(S8:V8,S$22:V$22,W$22)</f>
        <v>426426.57303087413</v>
      </c>
      <c r="X8" s="80" cm="1">
        <f t="array" ref="X8">TREND(T8:W8,T$22:W$22,X$22)</f>
        <v>414984.85295340419</v>
      </c>
      <c r="Y8" s="80" cm="1">
        <f t="array" ref="Y8">TREND(U8:X8,U$22:X$22,Y$22)</f>
        <v>404321.52069348842</v>
      </c>
      <c r="Z8" s="80" cm="1">
        <f t="array" ref="Z8">TREND(V8:Y8,V$22:Y$22,Z$22)</f>
        <v>393997.49175230786</v>
      </c>
      <c r="AA8" s="80" cm="1">
        <f t="array" ref="AA8">TREND(W8:Z8,W$22:Z$22,AA$22)</f>
        <v>382944.96558361501</v>
      </c>
    </row>
    <row r="9" spans="1:27" x14ac:dyDescent="0.25">
      <c r="A9" s="51"/>
      <c r="B9" s="2" t="s">
        <v>7</v>
      </c>
      <c r="C9" s="11">
        <f>SUM(Forecast_Main!AF123:AI123)</f>
        <v>543579.03618162847</v>
      </c>
      <c r="D9" s="3">
        <f>SUM(Forecast_Main!AJ123:AM123)</f>
        <v>507547.76958086109</v>
      </c>
      <c r="E9" s="3">
        <f>SUM(Forecast_Main!AN123:AQ123)</f>
        <v>525579.78126169345</v>
      </c>
      <c r="G9" s="2" t="s">
        <v>7</v>
      </c>
      <c r="H9" s="9">
        <f>SUM(Forecast_Main!H123:K123)</f>
        <v>266455.8</v>
      </c>
      <c r="I9" s="9">
        <f>SUM(Forecast_Main!L123:O123)</f>
        <v>316596.46430223004</v>
      </c>
      <c r="J9" s="9">
        <f>SUM(Forecast_Main!P123:S123)</f>
        <v>351431.58135927643</v>
      </c>
      <c r="K9" s="9">
        <f>SUM(Forecast_Main!T123:W123)</f>
        <v>441049.24208143988</v>
      </c>
      <c r="L9" s="9">
        <f>SUM(Forecast_Main!X123:AA123)</f>
        <v>472539.85868807894</v>
      </c>
      <c r="M9" s="9">
        <f>SUM(Forecast_Main!AB123:AE123)</f>
        <v>517194.77281568095</v>
      </c>
      <c r="N9" s="9">
        <f>SUM(Forecast_Main!AF123:AI123)</f>
        <v>543579.03618162847</v>
      </c>
      <c r="O9" s="80">
        <f>SUM(Forecast_Main!AJ123:AM123)</f>
        <v>507547.76958086109</v>
      </c>
      <c r="P9" s="80">
        <f>SUM(Forecast_Main!AN123:AQ123)</f>
        <v>525579.78126169345</v>
      </c>
      <c r="Q9" s="80" cm="1">
        <f t="array" ref="Q9">TREND(H9:P9,H$22:P$22,Q$22)</f>
        <v>610479.66857968271</v>
      </c>
      <c r="R9" s="80" cm="1">
        <f t="array" ref="R9">TREND(I9:Q9,I$22:Q$22,R$22)</f>
        <v>634723.15687029809</v>
      </c>
      <c r="S9" s="80" cm="1">
        <f t="array" ref="S9">TREND(J9:R9,J$22:R$22,S$22)</f>
        <v>656393.63166745752</v>
      </c>
      <c r="T9" s="80" cm="1">
        <f t="array" ref="T9">TREND(K9:S9,K$22:S$22,T$22)</f>
        <v>671828.9344278723</v>
      </c>
      <c r="U9" s="80" cm="1">
        <f t="array" ref="U9">TREND(L9:T9,L$22:T$22,U$22)</f>
        <v>696094.04166569561</v>
      </c>
      <c r="V9" s="80" cm="1">
        <f t="array" ref="V9">TREND(M9:U9,M$22:U$22,V$22)</f>
        <v>721534.13283236325</v>
      </c>
      <c r="W9" s="80" cm="1">
        <f t="array" ref="W9">TREND(N9:V9,N$22:V$22,W$22)</f>
        <v>753295.97303063422</v>
      </c>
      <c r="X9" s="80" cm="1">
        <f t="array" ref="X9">TREND(O9:W9,O$22:W$22,X$22)</f>
        <v>790207.76489967853</v>
      </c>
      <c r="Y9" s="80" cm="1">
        <f t="array" ref="Y9">TREND(P9:X9,P$22:X$22,Y$22)</f>
        <v>815038.83251174539</v>
      </c>
      <c r="Z9" s="80" cm="1">
        <f t="array" ref="Z9">TREND(Q9:Y9,Q$22:Y$22,Z$22)</f>
        <v>832860.71191065758</v>
      </c>
      <c r="AA9" s="80" cm="1">
        <f t="array" ref="AA9">TREND(R9:Z9,R$22:Z$22,AA$22)</f>
        <v>860423.47122983634</v>
      </c>
    </row>
    <row r="10" spans="1:27" x14ac:dyDescent="0.25">
      <c r="A10" s="51"/>
      <c r="B10" s="2" t="s">
        <v>6</v>
      </c>
      <c r="C10" s="11">
        <f>SUM(Forecast_Main!AF124:AI124)</f>
        <v>333424.36381837144</v>
      </c>
      <c r="D10" s="3">
        <f>SUM(Forecast_Main!AJ124:AM124)</f>
        <v>493303.17152682587</v>
      </c>
      <c r="E10" s="3">
        <f>SUM(Forecast_Main!AN124:AQ124)</f>
        <v>540869.52800328005</v>
      </c>
      <c r="G10" s="2" t="s">
        <v>6</v>
      </c>
      <c r="H10" s="9">
        <f>SUM(Forecast_Main!H124:K124)</f>
        <v>0</v>
      </c>
      <c r="I10" s="9">
        <f>SUM(Forecast_Main!L124:O124)</f>
        <v>2863.335697769985</v>
      </c>
      <c r="J10" s="9">
        <f>SUM(Forecast_Main!P124:S124)</f>
        <v>9424.9686407236004</v>
      </c>
      <c r="K10" s="9">
        <f>SUM(Forecast_Main!T124:W124)</f>
        <v>141219.50791856012</v>
      </c>
      <c r="L10" s="9">
        <f>SUM(Forecast_Main!X124:AA124)</f>
        <v>147683.2413119211</v>
      </c>
      <c r="M10" s="9">
        <f>SUM(Forecast_Main!AB124:AE124)</f>
        <v>74485.977184319054</v>
      </c>
      <c r="N10" s="9">
        <f>SUM(Forecast_Main!AF124:AI124)</f>
        <v>333424.36381837144</v>
      </c>
      <c r="O10" s="80">
        <f>SUM(Forecast_Main!AJ124:AM124)</f>
        <v>493303.17152682587</v>
      </c>
      <c r="P10" s="80">
        <f>SUM(Forecast_Main!AN124:AQ124)</f>
        <v>540869.52800328005</v>
      </c>
      <c r="Q10" s="80" cm="1">
        <f t="array" ref="Q10">TREND(N10:P10,N$22:P$22,Q$22)</f>
        <v>663310.85196772218</v>
      </c>
      <c r="R10" s="80" cm="1">
        <f t="array" ref="R10">TREND(O10:Q10,O$22:Q$22,R$22)</f>
        <v>735835.53094014525</v>
      </c>
      <c r="S10" s="80" cm="1">
        <f t="array" ref="S10">TREND(P10:R10,P$22:R$22,S$22)</f>
        <v>841637.97324058414</v>
      </c>
      <c r="T10" s="80" cm="1">
        <f t="array" ref="T10">TREND(Q10:S10,Q$22:S$22,T$22)</f>
        <v>925255.23998901248</v>
      </c>
      <c r="U10" s="80" cm="1">
        <f t="array" ref="U10">TREND(R10:T10,R$22:T$22,U$22)</f>
        <v>1023662.6237721145</v>
      </c>
      <c r="V10" s="80" cm="1">
        <f t="array" ref="V10">TREND(S10:U10,S$22:U$22,V$22)</f>
        <v>1112209.9295321107</v>
      </c>
      <c r="W10" s="80" cm="1">
        <f t="array" ref="W10">TREND(T10:V10,T$22:V$22,W$22)</f>
        <v>1207330.6206408441</v>
      </c>
      <c r="X10" s="80" cm="1">
        <f t="array" ref="X10">TREND(U10:W10,U$22:W$22,X$22)</f>
        <v>1298069.0548504293</v>
      </c>
      <c r="Y10" s="80" cm="1">
        <f t="array" ref="Y10">TREND(V10:X10,V$22:X$22,Y$22)</f>
        <v>1391728.9936594069</v>
      </c>
      <c r="Z10" s="80" cm="1">
        <f t="array" ref="Z10">TREND(W10:Y10,W$22:Y$22,Z$22)</f>
        <v>1483441.2627354562</v>
      </c>
      <c r="AA10" s="80" cm="1">
        <f t="array" ref="AA10">TREND(X10:Z10,X$22:Z$22,AA$22)</f>
        <v>1576451.9783001244</v>
      </c>
    </row>
    <row r="11" spans="1:27" x14ac:dyDescent="0.25">
      <c r="A11" s="51"/>
      <c r="B11" s="2" t="s">
        <v>24</v>
      </c>
      <c r="C11" s="11">
        <f>SUM(Forecast_Main!AF125:AI126)</f>
        <v>221021</v>
      </c>
      <c r="D11" s="3">
        <f>SUM(Forecast_Main!AJ125:AM126)</f>
        <v>301595.39992944</v>
      </c>
      <c r="E11" s="3">
        <f>SUM(Forecast_Main!AN125:AQ126)</f>
        <v>421551.09807293839</v>
      </c>
      <c r="G11" s="2" t="s">
        <v>24</v>
      </c>
      <c r="H11" s="9">
        <f>SUM(Forecast_Main!H125:K126)</f>
        <v>36439</v>
      </c>
      <c r="I11" s="9">
        <f>SUM(Forecast_Main!L125:O126)</f>
        <v>44716</v>
      </c>
      <c r="J11" s="9">
        <f>SUM(Forecast_Main!P125:S126)</f>
        <v>60372</v>
      </c>
      <c r="K11" s="9">
        <f>SUM(Forecast_Main!T125:W126)</f>
        <v>79862</v>
      </c>
      <c r="L11" s="9">
        <f>SUM(Forecast_Main!X125:AA126)</f>
        <v>105819</v>
      </c>
      <c r="M11" s="9">
        <f>SUM(Forecast_Main!AB125:AE126)</f>
        <v>160000</v>
      </c>
      <c r="N11" s="9">
        <f>SUM(Forecast_Main!AF125:AI126)</f>
        <v>221021</v>
      </c>
      <c r="O11" s="80">
        <f>SUM(Forecast_Main!AJ125:AM126)</f>
        <v>301595.39992944</v>
      </c>
      <c r="P11" s="80">
        <f>SUM(Forecast_Main!AN125:AQ126)</f>
        <v>421551.09807293839</v>
      </c>
      <c r="Q11" s="80">
        <f t="shared" ref="Q11:AA11" si="4">P11*(1+((P11/O11)^($T1)-1))</f>
        <v>579434.64830007555</v>
      </c>
      <c r="R11" s="80">
        <f t="shared" si="4"/>
        <v>783882.52947622084</v>
      </c>
      <c r="S11" s="80">
        <f t="shared" si="4"/>
        <v>1044564.3109769556</v>
      </c>
      <c r="T11" s="80">
        <f t="shared" si="4"/>
        <v>1372098.1275478252</v>
      </c>
      <c r="U11" s="80">
        <f t="shared" si="4"/>
        <v>1777921.8220535549</v>
      </c>
      <c r="V11" s="80">
        <f t="shared" si="4"/>
        <v>2274122.0796233136</v>
      </c>
      <c r="W11" s="80">
        <f t="shared" si="4"/>
        <v>2873226.3024120983</v>
      </c>
      <c r="X11" s="80">
        <f t="shared" si="4"/>
        <v>3587964.1013638694</v>
      </c>
      <c r="Y11" s="80">
        <f t="shared" si="4"/>
        <v>4431006.9586495105</v>
      </c>
      <c r="Z11" s="80">
        <f t="shared" si="4"/>
        <v>5414695.7382621178</v>
      </c>
      <c r="AA11" s="80">
        <f t="shared" si="4"/>
        <v>6550766.2421294758</v>
      </c>
    </row>
    <row r="12" spans="1:27" x14ac:dyDescent="0.25">
      <c r="A12" s="51"/>
      <c r="B12" s="4" t="s">
        <v>25</v>
      </c>
      <c r="C12" s="11">
        <f>SUM(Forecast_Main!AF127:AI127)</f>
        <v>167528</v>
      </c>
      <c r="D12" s="3">
        <f>SUM(Forecast_Main!AJ127:AM127)</f>
        <v>133113.01904068014</v>
      </c>
      <c r="E12" s="3">
        <f>SUM(Forecast_Main!AN127:AQ127)</f>
        <v>237470.79175528532</v>
      </c>
      <c r="G12" s="4" t="s">
        <v>25</v>
      </c>
      <c r="H12" s="9">
        <f>SUM(Forecast_Main!H127:K127)</f>
        <v>0</v>
      </c>
      <c r="I12" s="9">
        <f>SUM(Forecast_Main!L127:O127)</f>
        <v>0</v>
      </c>
      <c r="J12" s="9">
        <f>SUM(Forecast_Main!P127:S127)</f>
        <v>17189</v>
      </c>
      <c r="K12" s="9">
        <f>SUM(Forecast_Main!T127:W127)</f>
        <v>21303</v>
      </c>
      <c r="L12" s="9">
        <f>SUM(Forecast_Main!X127:AA127)</f>
        <v>29264</v>
      </c>
      <c r="M12" s="9">
        <f>SUM(Forecast_Main!AB127:AE127)</f>
        <v>115223</v>
      </c>
      <c r="N12" s="9">
        <f>SUM(Forecast_Main!AF127:AI127)</f>
        <v>167528</v>
      </c>
      <c r="O12" s="80">
        <f>SUM(Forecast_Main!AJ127:AM127)</f>
        <v>133113.01904068014</v>
      </c>
      <c r="P12" s="80">
        <f>SUM(Forecast_Main!AN127:AQ127)</f>
        <v>237470.79175528532</v>
      </c>
      <c r="Q12" s="80" cm="1">
        <f t="array" ref="Q12">TREND(L12:P12,L$22:P$22,Q$22)</f>
        <v>266810.84292457998</v>
      </c>
      <c r="R12" s="80" cm="1">
        <f t="array" ref="R12">TREND(M12:Q12,M$22:Q$22,R$22)</f>
        <v>295964.67402544618</v>
      </c>
      <c r="S12" s="80" cm="1">
        <f t="array" ref="S12">TREND(N12:R12,N$22:R$22,S$22)</f>
        <v>337348.81712964177</v>
      </c>
      <c r="T12" s="80" cm="1">
        <f t="array" ref="T12">TREND(O12:S12,O$22:S$22,T$22)</f>
        <v>394231.27250954509</v>
      </c>
      <c r="U12" s="80" cm="1">
        <f t="array" ref="U12">TREND(P12:T12,P$22:T$22,U$22)</f>
        <v>421582.96038296819</v>
      </c>
      <c r="V12" s="80" cm="1">
        <f t="array" ref="V12">TREND(Q12:U12,Q$22:U$22,V$22)</f>
        <v>465530.96341469884</v>
      </c>
      <c r="W12" s="80" cm="1">
        <f t="array" ref="W12">TREND(R12:V12,R$22:V$22,W$22)</f>
        <v>509941.75410200655</v>
      </c>
      <c r="X12" s="80" cm="1">
        <f t="array" ref="X12">TREND(S12:W12,S$22:W$22,X$22)</f>
        <v>550672.82296274602</v>
      </c>
      <c r="Y12" s="80" cm="1">
        <f t="array" ref="Y12">TREND(T12:X12,T$22:X$22,Y$22)</f>
        <v>588764.52306203544</v>
      </c>
      <c r="Z12" s="80" cm="1">
        <f t="array" ref="Z12">TREND(U12:Y12,U$22:Y$22,Z$22)</f>
        <v>633150.10025675595</v>
      </c>
      <c r="AA12" s="80" cm="1">
        <f t="array" ref="AA12">TREND(V12:Z12,V$22:Z$22,AA$22)</f>
        <v>673830.34555289149</v>
      </c>
    </row>
    <row r="13" spans="1:27" x14ac:dyDescent="0.25">
      <c r="A13" s="51"/>
      <c r="B13" s="2" t="s">
        <v>10</v>
      </c>
      <c r="C13" s="11">
        <f>SUM(Forecast_Main!AF128:AI128)</f>
        <v>33670</v>
      </c>
      <c r="D13" s="3">
        <f>SUM(Forecast_Main!AJ128:AM128)</f>
        <v>55378.464535744642</v>
      </c>
      <c r="E13" s="3">
        <f>SUM(Forecast_Main!AN128:AQ128)</f>
        <v>51809.979320546037</v>
      </c>
      <c r="G13" s="2" t="s">
        <v>10</v>
      </c>
      <c r="H13" s="9">
        <f>SUM(Forecast_Main!H128:K128)</f>
        <v>6477</v>
      </c>
      <c r="I13" s="9">
        <f>SUM(Forecast_Main!L128:O128)</f>
        <v>11220</v>
      </c>
      <c r="J13" s="9">
        <f>SUM(Forecast_Main!P128:S128)</f>
        <v>8911</v>
      </c>
      <c r="K13" s="9">
        <f>SUM(Forecast_Main!T128:W128)</f>
        <v>10294</v>
      </c>
      <c r="L13" s="9">
        <f>SUM(Forecast_Main!X128:AA128)</f>
        <v>12818</v>
      </c>
      <c r="M13" s="9">
        <f>SUM(Forecast_Main!AB128:AE128)</f>
        <v>29940</v>
      </c>
      <c r="N13" s="9">
        <f>SUM(Forecast_Main!AF128:AI128)</f>
        <v>33670</v>
      </c>
      <c r="O13" s="80">
        <f>SUM(Forecast_Main!AJ128:AM128)</f>
        <v>55378.464535744642</v>
      </c>
      <c r="P13" s="80">
        <f>SUM(Forecast_Main!AN128:AQ128)</f>
        <v>51809.979320546037</v>
      </c>
      <c r="Q13" s="80" cm="1">
        <f t="array" ref="Q13">TREND(L13:P13,L$22:P$22,Q$22)</f>
        <v>67750.015724308789</v>
      </c>
      <c r="R13" s="80" cm="1">
        <f t="array" ref="R13">TREND(M13:Q13,M$22:Q$22,R$22)</f>
        <v>75837.695146866143</v>
      </c>
      <c r="S13" s="80" cm="1">
        <f t="array" ref="S13">TREND(N13:R13,N$22:R$22,S$22)</f>
        <v>85901.313390180469</v>
      </c>
      <c r="T13" s="80" cm="1">
        <f t="array" ref="T13">TREND(O13:S13,O$22:S$22,T$22)</f>
        <v>92857.517684083432</v>
      </c>
      <c r="U13" s="80" cm="1">
        <f t="array" ref="U13">TREND(P13:T13,P$22:T$22,U$22)</f>
        <v>104905.21657108143</v>
      </c>
      <c r="V13" s="80" cm="1">
        <f t="array" ref="V13">TREND(Q13:U13,Q$22:U$22,V$22)</f>
        <v>112849.4189725332</v>
      </c>
      <c r="W13" s="80" cm="1">
        <f t="array" ref="W13">TREND(R13:V13,R$22:V$22,W$22)</f>
        <v>122378.43760262057</v>
      </c>
      <c r="X13" s="80" cm="1">
        <f t="array" ref="X13">TREND(S13:W13,S$22:W$22,X$22)</f>
        <v>131662.22575810179</v>
      </c>
      <c r="Y13" s="80" cm="1">
        <f t="array" ref="Y13">TREND(T13:X13,T$22:X$22,Y$22)</f>
        <v>141455.35447155684</v>
      </c>
      <c r="Z13" s="80" cm="1">
        <f t="array" ref="Z13">TREND(U13:Y13,U$22:Y$22,Z$22)</f>
        <v>150224.05545113608</v>
      </c>
      <c r="AA13" s="80" cm="1">
        <f t="array" ref="AA13">TREND(V13:Z13,V$22:Z$22,AA$22)</f>
        <v>159861.75539903343</v>
      </c>
    </row>
    <row r="14" spans="1:27" ht="15.75" thickBot="1" x14ac:dyDescent="0.3">
      <c r="A14" s="44"/>
      <c r="B14" s="45" t="s">
        <v>676</v>
      </c>
      <c r="C14" s="11">
        <f>SUM(Forecast_Main!AF129:AI129)</f>
        <v>5338</v>
      </c>
      <c r="D14" s="3">
        <f>SUM(Forecast_Main!AJ129:AM129)</f>
        <v>13415.032692596877</v>
      </c>
      <c r="E14" s="3">
        <f>SUM(Forecast_Main!AN129:AQ129)</f>
        <v>21502.674945350915</v>
      </c>
      <c r="G14" s="45" t="s">
        <v>11</v>
      </c>
      <c r="H14" s="9">
        <f>SUM(Forecast_Main!H129:K129)</f>
        <v>100</v>
      </c>
      <c r="I14" s="9">
        <f>SUM(Forecast_Main!L129:O129)</f>
        <v>199</v>
      </c>
      <c r="J14" s="9">
        <f>SUM(Forecast_Main!P129:S129)</f>
        <v>1190</v>
      </c>
      <c r="K14" s="9">
        <f>SUM(Forecast_Main!T129:W129)</f>
        <v>6182</v>
      </c>
      <c r="L14" s="9">
        <f>SUM(Forecast_Main!X129:AA129)</f>
        <v>4268</v>
      </c>
      <c r="M14" s="9">
        <f>SUM(Forecast_Main!AB129:AE129)</f>
        <v>5110</v>
      </c>
      <c r="N14" s="9">
        <f>SUM(Forecast_Main!AF129:AI129)</f>
        <v>5338</v>
      </c>
      <c r="O14" s="80">
        <f>SUM(Forecast_Main!AJ129:AM129)</f>
        <v>13415.032692596877</v>
      </c>
      <c r="P14" s="80">
        <f>SUM(Forecast_Main!AN129:AQ129)</f>
        <v>21502.674945350915</v>
      </c>
      <c r="Q14" s="80" cm="1">
        <f t="array" ref="Q14">TREND(M14:P14,M$22:P$22,Q$22)</f>
        <v>25655.191291648895</v>
      </c>
      <c r="R14" s="80" cm="1">
        <f t="array" ref="R14">TREND(N14:Q14,N$22:Q$22,R$22)</f>
        <v>33737.528764324263</v>
      </c>
      <c r="S14" s="80" cm="1">
        <f t="array" ref="S14">TREND(O14:R14,O$22:R$22,S$22)</f>
        <v>39857.608063848689</v>
      </c>
      <c r="T14" s="80" cm="1">
        <f t="array" ref="T14">TREND(P14:S14,P$22:S$22,T$22)</f>
        <v>45975.034973336384</v>
      </c>
      <c r="U14" s="80" cm="1">
        <f t="array" ref="U14">TREND(Q14:T14,Q$22:T$22,U$22)</f>
        <v>53076.24335943535</v>
      </c>
      <c r="V14" s="80" cm="1">
        <f t="array" ref="V14">TREND(R14:U14,R$22:U$22,V$22)</f>
        <v>59194.99646394141</v>
      </c>
      <c r="W14" s="80" cm="1">
        <f t="array" ref="W14">TREND(S14:V14,S$22:V$22,W$22)</f>
        <v>65804.314111733809</v>
      </c>
      <c r="X14" s="80" cm="1">
        <f t="array" ref="X14">TREND(T14:W14,T$22:W$22,X$22)</f>
        <v>72414.294857036322</v>
      </c>
      <c r="Y14" s="80" cm="1">
        <f t="array" ref="Y14">TREND(U14:X14,U$22:X$22,Y$22)</f>
        <v>78778.330233184621</v>
      </c>
      <c r="Z14" s="80" cm="1">
        <f t="array" ref="Z14">TREND(V14:Y14,V$22:Y$22,Z$22)</f>
        <v>85387.979429733008</v>
      </c>
      <c r="AA14" s="80" cm="1">
        <f t="array" ref="AA14">TREND(W14:Z14,W$22:Z$22,AA$22)</f>
        <v>91874.987490458414</v>
      </c>
    </row>
    <row r="15" spans="1:27" ht="15.75" thickBot="1" x14ac:dyDescent="0.3">
      <c r="A15" s="48" t="s">
        <v>556</v>
      </c>
      <c r="B15" s="49"/>
      <c r="C15" s="50">
        <f>SUM(C8:C14)</f>
        <v>1812486.8</v>
      </c>
      <c r="D15" s="50">
        <f>SUM(D8:D14)</f>
        <v>2025227.1798668068</v>
      </c>
      <c r="E15" s="50">
        <f>SUM(E8:E14)</f>
        <v>2296839.9821192613</v>
      </c>
      <c r="G15" s="77" t="s">
        <v>599</v>
      </c>
      <c r="H15" s="50">
        <f t="shared" ref="H15:M15" si="5">SUM(H8:H14)</f>
        <v>809410.5</v>
      </c>
      <c r="I15" s="50">
        <f t="shared" si="5"/>
        <v>855272.3</v>
      </c>
      <c r="J15" s="50">
        <f t="shared" si="5"/>
        <v>943646.15</v>
      </c>
      <c r="K15" s="50">
        <f t="shared" si="5"/>
        <v>1220755.25</v>
      </c>
      <c r="L15" s="111">
        <f t="shared" si="5"/>
        <v>1260580</v>
      </c>
      <c r="M15" s="111">
        <f t="shared" si="5"/>
        <v>1443556.0499999998</v>
      </c>
      <c r="N15" s="111">
        <f>SUM(N8:N14)</f>
        <v>1812486.8</v>
      </c>
      <c r="O15" s="81">
        <f>SUM(O8:O14)</f>
        <v>2025227.1798668068</v>
      </c>
      <c r="P15" s="81">
        <f>SUM(P8:P14)</f>
        <v>2296839.9821192613</v>
      </c>
      <c r="Q15" s="81">
        <f t="shared" ref="Q15:AA15" si="6">SUM(Q8:Q14)</f>
        <v>2701133.3588285162</v>
      </c>
      <c r="R15" s="81">
        <f t="shared" si="6"/>
        <v>3042738.1196438828</v>
      </c>
      <c r="S15" s="81">
        <f t="shared" si="6"/>
        <v>3471869.5676291711</v>
      </c>
      <c r="T15" s="81">
        <f t="shared" si="6"/>
        <v>3960762.4781223838</v>
      </c>
      <c r="U15" s="81">
        <f t="shared" si="6"/>
        <v>4524996.1453555599</v>
      </c>
      <c r="V15" s="81">
        <f t="shared" si="6"/>
        <v>5181074.4316747338</v>
      </c>
      <c r="W15" s="81">
        <f t="shared" si="6"/>
        <v>5958403.9749308117</v>
      </c>
      <c r="X15" s="81">
        <f t="shared" si="6"/>
        <v>6845975.1176452655</v>
      </c>
      <c r="Y15" s="81">
        <f t="shared" si="6"/>
        <v>7851094.5132809281</v>
      </c>
      <c r="Z15" s="81">
        <f t="shared" si="6"/>
        <v>8993757.3397981636</v>
      </c>
      <c r="AA15" s="81">
        <f t="shared" si="6"/>
        <v>10296153.745685434</v>
      </c>
    </row>
    <row r="16" spans="1:27" x14ac:dyDescent="0.25">
      <c r="A16" s="1"/>
      <c r="B16" s="1"/>
      <c r="C16" s="1"/>
      <c r="D16" s="41"/>
      <c r="O16" s="73"/>
    </row>
    <row r="17" spans="1:27" x14ac:dyDescent="0.25">
      <c r="A17" s="67" t="s">
        <v>779</v>
      </c>
      <c r="B17" s="68"/>
      <c r="C17" s="42">
        <f>SUM(C8:C14)+C4+C5</f>
        <v>-116246.99999999988</v>
      </c>
      <c r="D17" s="42">
        <f>SUM(D8:D14)+D4+D5</f>
        <v>-163101.51908500795</v>
      </c>
      <c r="E17" s="42">
        <f>SUM(E8:E14)+E4+E5</f>
        <v>-241101.03981786629</v>
      </c>
      <c r="G17" s="1" t="s">
        <v>600</v>
      </c>
      <c r="H17" s="42">
        <f t="shared" ref="H17:M17" si="7">SUM(H8:H14)+H4+H5</f>
        <v>214579</v>
      </c>
      <c r="I17" s="42">
        <f t="shared" si="7"/>
        <v>210900.00000000003</v>
      </c>
      <c r="J17" s="42">
        <f>SUM(J8:J14)+J4+J5</f>
        <v>78763</v>
      </c>
      <c r="K17" s="42">
        <f t="shared" si="7"/>
        <v>218735</v>
      </c>
      <c r="L17" s="112">
        <f>SUM(L8:L14)+L4+L5</f>
        <v>106643.99999999994</v>
      </c>
      <c r="M17" s="112">
        <f t="shared" si="7"/>
        <v>-64130.000000000116</v>
      </c>
      <c r="N17" s="112">
        <f>SUM(N8:N14)+N4+N5</f>
        <v>-116246.99999999988</v>
      </c>
      <c r="O17" s="82">
        <f>SUM(O8:O14)+O4+O5</f>
        <v>-163101.51908500795</v>
      </c>
      <c r="P17" s="82">
        <f>SUM(P8:P14)+P4+P5</f>
        <v>-241101.03981786629</v>
      </c>
      <c r="Q17" s="82">
        <f t="shared" ref="Q17:AA17" si="8">SUM(Q8:Q14)+Q4+Q5</f>
        <v>-220760.66600655823</v>
      </c>
      <c r="R17" s="82">
        <f t="shared" si="8"/>
        <v>-297807.0558564167</v>
      </c>
      <c r="S17" s="82">
        <f t="shared" si="8"/>
        <v>-322055.27856859146</v>
      </c>
      <c r="T17" s="82">
        <f t="shared" si="8"/>
        <v>-320974.59140901221</v>
      </c>
      <c r="U17" s="82">
        <f t="shared" si="8"/>
        <v>-278370.94333228236</v>
      </c>
      <c r="V17" s="82">
        <f t="shared" si="8"/>
        <v>-176820.63791810721</v>
      </c>
      <c r="W17" s="82">
        <f t="shared" si="8"/>
        <v>14288.779196333839</v>
      </c>
      <c r="X17" s="82">
        <f t="shared" si="8"/>
        <v>285415.85014193179</v>
      </c>
      <c r="Y17" s="82">
        <f t="shared" si="8"/>
        <v>645570.63857747335</v>
      </c>
      <c r="Z17" s="82">
        <f t="shared" si="8"/>
        <v>1116657.140668463</v>
      </c>
      <c r="AA17" s="82">
        <f t="shared" si="8"/>
        <v>1722948.2175717503</v>
      </c>
    </row>
    <row r="18" spans="1:27" ht="15.75" thickBot="1" x14ac:dyDescent="0.3">
      <c r="A18" s="63" t="s">
        <v>780</v>
      </c>
      <c r="B18" s="64"/>
      <c r="C18" s="43">
        <f>+M19</f>
        <v>765490.99999999988</v>
      </c>
      <c r="D18" s="43">
        <f>+N19</f>
        <v>649244</v>
      </c>
      <c r="E18" s="43">
        <f>+D19</f>
        <v>486142.48091499205</v>
      </c>
    </row>
    <row r="19" spans="1:27" ht="15.75" thickBot="1" x14ac:dyDescent="0.3">
      <c r="A19" s="65" t="s">
        <v>218</v>
      </c>
      <c r="B19" s="66"/>
      <c r="C19" s="14">
        <f>SUM(C17:C18)</f>
        <v>649244</v>
      </c>
      <c r="D19" s="14">
        <f>SUM(D17:D18)</f>
        <v>486142.48091499205</v>
      </c>
      <c r="E19" s="14">
        <f>SUM(E17:E18)</f>
        <v>245041.44109712576</v>
      </c>
      <c r="G19" s="78" t="s">
        <v>601</v>
      </c>
      <c r="H19" s="54">
        <f>SUM($H17:H17)</f>
        <v>214579</v>
      </c>
      <c r="I19" s="54">
        <f>SUM($H17:I17)</f>
        <v>425479</v>
      </c>
      <c r="J19" s="54">
        <f>SUM($H17:J17)</f>
        <v>504242</v>
      </c>
      <c r="K19" s="54">
        <f>SUM($H17:K17)</f>
        <v>722977</v>
      </c>
      <c r="L19" s="54">
        <f>SUM($H17:L17)</f>
        <v>829621</v>
      </c>
      <c r="M19" s="54">
        <f>SUM($H17:M17)</f>
        <v>765490.99999999988</v>
      </c>
      <c r="N19" s="54">
        <f>SUM($H17:N17)</f>
        <v>649244</v>
      </c>
      <c r="O19" s="83">
        <f>SUM($H17:O17)</f>
        <v>486142.48091499205</v>
      </c>
      <c r="P19" s="83">
        <f>SUM($H17:P17)</f>
        <v>245041.44109712576</v>
      </c>
      <c r="Q19" s="83">
        <f>SUM($H17:Q17)</f>
        <v>24280.775090567535</v>
      </c>
      <c r="R19" s="83">
        <f>SUM($H17:R17)</f>
        <v>-273526.28076584917</v>
      </c>
      <c r="S19" s="83">
        <f>SUM($H17:S17)</f>
        <v>-595581.55933444062</v>
      </c>
      <c r="T19" s="83">
        <f>SUM($H17:T17)</f>
        <v>-916556.15074345283</v>
      </c>
      <c r="U19" s="83">
        <f>SUM($H17:U17)</f>
        <v>-1194927.0940757352</v>
      </c>
      <c r="V19" s="83">
        <f>SUM($H17:V17)</f>
        <v>-1371747.7319938424</v>
      </c>
      <c r="W19" s="83">
        <f>SUM($H17:W17)</f>
        <v>-1357458.9527975086</v>
      </c>
      <c r="X19" s="83">
        <f>SUM($H17:X17)</f>
        <v>-1072043.1026555768</v>
      </c>
      <c r="Y19" s="83">
        <f>SUM($H17:Y17)</f>
        <v>-426472.46407810342</v>
      </c>
      <c r="Z19" s="83">
        <f>SUM($H17:Z17)</f>
        <v>690184.67659035954</v>
      </c>
      <c r="AA19" s="83">
        <f>SUM($H17:AA17)</f>
        <v>2413132.8941621101</v>
      </c>
    </row>
    <row r="21" spans="1:27" x14ac:dyDescent="0.25">
      <c r="G21" t="s">
        <v>724</v>
      </c>
      <c r="H21" s="9">
        <f t="shared" ref="H21:AA21" si="9">-H6</f>
        <v>594831.5</v>
      </c>
      <c r="I21" s="9">
        <f t="shared" si="9"/>
        <v>644372.30000000005</v>
      </c>
      <c r="J21" s="9">
        <f t="shared" si="9"/>
        <v>864883.15</v>
      </c>
      <c r="K21" s="9">
        <f t="shared" si="9"/>
        <v>1002020.25</v>
      </c>
      <c r="L21" s="9">
        <f t="shared" si="9"/>
        <v>1153936</v>
      </c>
      <c r="M21" s="9">
        <f t="shared" si="9"/>
        <v>1507686.0499999998</v>
      </c>
      <c r="N21" s="9">
        <f t="shared" si="9"/>
        <v>1928733.7999999998</v>
      </c>
      <c r="O21" s="9">
        <f t="shared" si="9"/>
        <v>2188328.6989518148</v>
      </c>
      <c r="P21" s="9">
        <f t="shared" si="9"/>
        <v>2537941.0219371277</v>
      </c>
      <c r="Q21" s="9">
        <f t="shared" si="9"/>
        <v>2921894.0248350743</v>
      </c>
      <c r="R21" s="9">
        <f t="shared" si="9"/>
        <v>3340545.1755002998</v>
      </c>
      <c r="S21" s="9">
        <f t="shared" si="9"/>
        <v>3793924.8461977625</v>
      </c>
      <c r="T21" s="9">
        <f t="shared" si="9"/>
        <v>4281737.069531396</v>
      </c>
      <c r="U21" s="9">
        <f t="shared" si="9"/>
        <v>4803367.0886878427</v>
      </c>
      <c r="V21" s="9">
        <f t="shared" si="9"/>
        <v>5357895.069592841</v>
      </c>
      <c r="W21" s="9">
        <f t="shared" si="9"/>
        <v>5944115.1957344776</v>
      </c>
      <c r="X21" s="9">
        <f t="shared" si="9"/>
        <v>6560559.2675033342</v>
      </c>
      <c r="Y21" s="9">
        <f t="shared" si="9"/>
        <v>7205523.8747034548</v>
      </c>
      <c r="Z21" s="9">
        <f t="shared" si="9"/>
        <v>7877100.1991297007</v>
      </c>
      <c r="AA21" s="9">
        <f t="shared" si="9"/>
        <v>8573205.5281136837</v>
      </c>
    </row>
    <row r="22" spans="1:27" x14ac:dyDescent="0.25">
      <c r="H22">
        <v>2016</v>
      </c>
      <c r="I22">
        <v>2017</v>
      </c>
      <c r="J22">
        <v>2018</v>
      </c>
      <c r="K22">
        <v>2019</v>
      </c>
      <c r="L22">
        <v>2020</v>
      </c>
      <c r="M22">
        <v>2021</v>
      </c>
      <c r="N22">
        <v>2022</v>
      </c>
      <c r="O22">
        <v>2023</v>
      </c>
      <c r="P22">
        <v>2024</v>
      </c>
      <c r="Q22">
        <v>2025</v>
      </c>
      <c r="R22">
        <v>2026</v>
      </c>
      <c r="S22">
        <v>2027</v>
      </c>
      <c r="T22">
        <v>2028</v>
      </c>
      <c r="U22">
        <v>2029</v>
      </c>
      <c r="V22">
        <v>2030</v>
      </c>
      <c r="W22">
        <v>2031</v>
      </c>
      <c r="X22">
        <v>2032</v>
      </c>
      <c r="Y22">
        <v>2033</v>
      </c>
      <c r="Z22">
        <v>2034</v>
      </c>
      <c r="AA22">
        <v>2035</v>
      </c>
    </row>
    <row r="24" spans="1:27" x14ac:dyDescent="0.25">
      <c r="G24" t="s">
        <v>723</v>
      </c>
      <c r="I24" s="7">
        <f>I11/H11-1</f>
        <v>0.22714673838469768</v>
      </c>
      <c r="J24" s="7">
        <f t="shared" ref="J24:AA24" si="10">J11/I11-1</f>
        <v>0.35012076214330445</v>
      </c>
      <c r="K24" s="7">
        <f t="shared" si="10"/>
        <v>0.32283177632014848</v>
      </c>
      <c r="L24" s="7">
        <f t="shared" si="10"/>
        <v>0.32502316495955519</v>
      </c>
      <c r="M24" s="7">
        <f t="shared" si="10"/>
        <v>0.51201580056511586</v>
      </c>
      <c r="N24" s="7">
        <f t="shared" si="10"/>
        <v>0.38138125</v>
      </c>
      <c r="O24" s="7">
        <f>O11/N11-1</f>
        <v>0.36455540391836072</v>
      </c>
      <c r="P24" s="7">
        <f t="shared" si="10"/>
        <v>0.39773716101625789</v>
      </c>
      <c r="Q24" s="7">
        <f t="shared" si="10"/>
        <v>0.37453004143241375</v>
      </c>
      <c r="R24" s="7">
        <f t="shared" si="10"/>
        <v>0.35284027590677747</v>
      </c>
      <c r="S24" s="7">
        <f t="shared" si="10"/>
        <v>0.33255210021700399</v>
      </c>
      <c r="T24" s="7">
        <f t="shared" si="10"/>
        <v>0.31356022135634265</v>
      </c>
      <c r="U24" s="7">
        <f t="shared" si="10"/>
        <v>0.29576871096749202</v>
      </c>
      <c r="V24" s="7">
        <f t="shared" si="10"/>
        <v>0.27909003163965451</v>
      </c>
      <c r="W24" s="7">
        <f t="shared" si="10"/>
        <v>0.26344417837410927</v>
      </c>
      <c r="X24" s="7">
        <f t="shared" si="10"/>
        <v>0.24875792009551856</v>
      </c>
      <c r="Y24" s="7">
        <f t="shared" si="10"/>
        <v>0.2349641282545667</v>
      </c>
      <c r="Z24" s="7">
        <f t="shared" si="10"/>
        <v>0.22200118140017944</v>
      </c>
      <c r="AA24" s="7">
        <f t="shared" si="10"/>
        <v>0.20981243615213496</v>
      </c>
    </row>
    <row r="27" spans="1:27" x14ac:dyDescent="0.25">
      <c r="E27" s="9"/>
      <c r="G27" s="30" t="s">
        <v>596</v>
      </c>
    </row>
    <row r="28" spans="1:27" x14ac:dyDescent="0.25">
      <c r="E28" s="9"/>
    </row>
    <row r="29" spans="1:27" ht="30.75" thickBot="1" x14ac:dyDescent="0.3">
      <c r="G29" s="20" t="s">
        <v>19</v>
      </c>
      <c r="H29" s="157" t="s">
        <v>22</v>
      </c>
      <c r="I29" s="157" t="s">
        <v>23</v>
      </c>
      <c r="J29" s="165" t="s">
        <v>595</v>
      </c>
      <c r="K29" s="165" t="s">
        <v>913</v>
      </c>
    </row>
    <row r="30" spans="1:27" x14ac:dyDescent="0.25">
      <c r="E30" s="9"/>
    </row>
    <row r="31" spans="1:27" x14ac:dyDescent="0.25">
      <c r="E31" s="9"/>
      <c r="G31" s="75">
        <v>2016</v>
      </c>
      <c r="H31" s="9">
        <f>SUM(Forecast_Main!H120:K120)</f>
        <v>-594831.5</v>
      </c>
      <c r="I31" s="9">
        <f>SUM(Forecast_Main!H130:K130)</f>
        <v>809410.5</v>
      </c>
      <c r="J31" s="9">
        <f t="shared" ref="J31:J38" si="11">SUM(H31:I31)</f>
        <v>214579</v>
      </c>
      <c r="K31" s="9">
        <f>SUM(J$31:J31)</f>
        <v>214579</v>
      </c>
    </row>
    <row r="32" spans="1:27" x14ac:dyDescent="0.25">
      <c r="E32" s="9"/>
      <c r="G32" s="75">
        <v>2017</v>
      </c>
      <c r="H32" s="9">
        <f>SUM(Forecast_Main!L120:O120)</f>
        <v>-644372.30000000005</v>
      </c>
      <c r="I32" s="9">
        <f>SUM(Forecast_Main!L130:O130)</f>
        <v>855272.3</v>
      </c>
      <c r="J32" s="9">
        <f t="shared" si="11"/>
        <v>210900</v>
      </c>
      <c r="K32" s="9">
        <f>SUM(J$31:J32)</f>
        <v>425479</v>
      </c>
    </row>
    <row r="33" spans="5:12" x14ac:dyDescent="0.25">
      <c r="E33" s="9"/>
      <c r="G33" s="75">
        <v>2018</v>
      </c>
      <c r="H33" s="9">
        <f>SUM(Forecast_Main!P120:S120)</f>
        <v>-864883.15</v>
      </c>
      <c r="I33" s="9">
        <f>SUM(Forecast_Main!P130:S130)</f>
        <v>943646.15</v>
      </c>
      <c r="J33" s="9">
        <f t="shared" si="11"/>
        <v>78763</v>
      </c>
      <c r="K33" s="9">
        <f>SUM(J$31:J33)</f>
        <v>504242</v>
      </c>
    </row>
    <row r="34" spans="5:12" x14ac:dyDescent="0.25">
      <c r="E34" s="9"/>
      <c r="G34" s="75">
        <v>2019</v>
      </c>
      <c r="H34" s="9">
        <f>SUM(Forecast_Main!T120:W120)</f>
        <v>-1002020.25</v>
      </c>
      <c r="I34" s="9">
        <f>SUM(Forecast_Main!T130:W130)</f>
        <v>1220755.25</v>
      </c>
      <c r="J34" s="9">
        <f t="shared" si="11"/>
        <v>218735</v>
      </c>
      <c r="K34" s="9">
        <f>SUM(J$31:J34)</f>
        <v>722977</v>
      </c>
    </row>
    <row r="35" spans="5:12" x14ac:dyDescent="0.25">
      <c r="E35" s="9"/>
      <c r="G35" s="75">
        <v>2020</v>
      </c>
      <c r="H35" s="9">
        <f>SUM(Forecast_Main!X120:AA120)</f>
        <v>-1153936</v>
      </c>
      <c r="I35" s="9">
        <f>SUM(Forecast_Main!X130:AA130)</f>
        <v>1260580</v>
      </c>
      <c r="J35" s="9">
        <f t="shared" si="11"/>
        <v>106644</v>
      </c>
      <c r="K35" s="9">
        <f>SUM(J$31:J35)</f>
        <v>829621</v>
      </c>
    </row>
    <row r="36" spans="5:12" x14ac:dyDescent="0.25">
      <c r="E36" s="9"/>
      <c r="G36" s="75">
        <v>2021</v>
      </c>
      <c r="H36" s="9">
        <f>M6</f>
        <v>-1507686.0499999998</v>
      </c>
      <c r="I36" s="9">
        <f>M15</f>
        <v>1443556.0499999998</v>
      </c>
      <c r="J36" s="9">
        <f t="shared" si="11"/>
        <v>-64130</v>
      </c>
      <c r="K36" s="9">
        <f>SUM(J$31:J36)</f>
        <v>765491</v>
      </c>
    </row>
    <row r="37" spans="5:12" x14ac:dyDescent="0.25">
      <c r="E37" s="9"/>
      <c r="G37" s="75">
        <v>2022</v>
      </c>
      <c r="H37" s="9">
        <f>N6</f>
        <v>-1928733.7999999998</v>
      </c>
      <c r="I37" s="9">
        <f>N15</f>
        <v>1812486.8</v>
      </c>
      <c r="J37" s="9">
        <f t="shared" si="11"/>
        <v>-116246.99999999977</v>
      </c>
      <c r="K37" s="9">
        <f>SUM(J$31:J37)</f>
        <v>649244.00000000023</v>
      </c>
    </row>
    <row r="38" spans="5:12" x14ac:dyDescent="0.25">
      <c r="G38" s="75" t="s">
        <v>785</v>
      </c>
      <c r="H38" s="9">
        <f>O6</f>
        <v>-2188328.6989518148</v>
      </c>
      <c r="I38" s="9">
        <f>O15</f>
        <v>2025227.1798668068</v>
      </c>
      <c r="J38" s="9">
        <f t="shared" si="11"/>
        <v>-163101.51908500795</v>
      </c>
      <c r="K38" s="155">
        <f>SUM(J$31:J38)</f>
        <v>486142.48091499228</v>
      </c>
    </row>
    <row r="39" spans="5:12" ht="15.75" thickBot="1" x14ac:dyDescent="0.3">
      <c r="E39" s="9"/>
      <c r="G39" s="23" t="s">
        <v>28</v>
      </c>
      <c r="H39" s="54">
        <f>SUM(H31:H38)</f>
        <v>-9884791.7489518151</v>
      </c>
      <c r="I39" s="54">
        <f>SUM(I31:I38)</f>
        <v>10370934.229866806</v>
      </c>
      <c r="J39" s="54">
        <f>SUM(J31:J38)</f>
        <v>486142.48091499228</v>
      </c>
    </row>
    <row r="40" spans="5:12" x14ac:dyDescent="0.25">
      <c r="E40" s="9"/>
    </row>
    <row r="41" spans="5:12" x14ac:dyDescent="0.25">
      <c r="E41" s="9"/>
    </row>
    <row r="46" spans="5:12" x14ac:dyDescent="0.25">
      <c r="G46" s="30" t="s">
        <v>928</v>
      </c>
    </row>
    <row r="47" spans="5:12" x14ac:dyDescent="0.25">
      <c r="I47">
        <v>2023</v>
      </c>
      <c r="J47">
        <v>2024</v>
      </c>
    </row>
    <row r="48" spans="5:12" x14ac:dyDescent="0.25">
      <c r="G48" s="32" t="s">
        <v>929</v>
      </c>
      <c r="H48" s="32"/>
      <c r="I48" s="168">
        <v>163119</v>
      </c>
      <c r="J48" s="168">
        <v>212609</v>
      </c>
      <c r="L48" s="9">
        <f>SUM(I48:J48)</f>
        <v>375728</v>
      </c>
    </row>
    <row r="50" spans="7:12" x14ac:dyDescent="0.25">
      <c r="G50" s="32" t="s">
        <v>930</v>
      </c>
      <c r="H50" s="32"/>
      <c r="I50" s="168">
        <f>+D12</f>
        <v>133113.01904068014</v>
      </c>
      <c r="J50" s="168">
        <f>+E12</f>
        <v>237470.79175528532</v>
      </c>
      <c r="L50" s="9">
        <f>SUM(I50:J50)</f>
        <v>370583.81079596549</v>
      </c>
    </row>
  </sheetData>
  <mergeCells count="2">
    <mergeCell ref="A2:E2"/>
    <mergeCell ref="G2:O2"/>
  </mergeCells>
  <pageMargins left="0.7" right="0.7" top="0.75" bottom="0.75" header="0.3" footer="0.3"/>
  <pageSetup orientation="portrait" horizontalDpi="200"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42"/>
  <sheetViews>
    <sheetView zoomScale="75" zoomScaleNormal="75" workbookViewId="0">
      <pane xSplit="3" ySplit="5" topLeftCell="AJ6" activePane="bottomRight" state="frozen"/>
      <selection pane="topRight" activeCell="D1" sqref="D1"/>
      <selection pane="bottomLeft" activeCell="A3" sqref="A3"/>
      <selection pane="bottomRight" activeCell="AY41" sqref="AY41"/>
    </sheetView>
  </sheetViews>
  <sheetFormatPr defaultRowHeight="15" x14ac:dyDescent="0.25"/>
  <cols>
    <col min="1" max="1" width="23.5703125" customWidth="1"/>
    <col min="2" max="2" width="15.7109375" bestFit="1" customWidth="1"/>
    <col min="3" max="3" width="23.42578125" customWidth="1"/>
    <col min="4" max="6" width="15" customWidth="1"/>
    <col min="7" max="13" width="19.85546875" customWidth="1"/>
    <col min="14" max="41" width="13" customWidth="1"/>
    <col min="42" max="42" width="22.5703125" customWidth="1"/>
    <col min="43" max="49" width="17.7109375" customWidth="1"/>
    <col min="50" max="51" width="14.7109375" customWidth="1"/>
    <col min="52" max="55" width="10.42578125" customWidth="1"/>
    <col min="56" max="56" width="12.140625" bestFit="1" customWidth="1"/>
  </cols>
  <sheetData>
    <row r="1" spans="1:51" ht="21" x14ac:dyDescent="0.35">
      <c r="A1" s="71" t="s">
        <v>581</v>
      </c>
      <c r="D1" s="72"/>
      <c r="E1" s="72"/>
      <c r="F1" s="72"/>
      <c r="G1" s="72"/>
      <c r="H1" s="72"/>
      <c r="I1" s="72"/>
      <c r="J1" s="72"/>
      <c r="K1" s="72"/>
      <c r="L1" s="72"/>
      <c r="M1" s="72"/>
      <c r="N1" s="72"/>
      <c r="O1" s="72"/>
    </row>
    <row r="2" spans="1:51" ht="79.5" customHeight="1" x14ac:dyDescent="0.25">
      <c r="A2" s="176" t="s">
        <v>795</v>
      </c>
      <c r="B2" s="176"/>
      <c r="C2" s="176"/>
      <c r="D2" s="176"/>
      <c r="E2" s="176"/>
      <c r="F2" s="176"/>
      <c r="G2" s="176"/>
    </row>
    <row r="3" spans="1:51" ht="15.75" x14ac:dyDescent="0.25">
      <c r="AQ3" s="177" t="s">
        <v>814</v>
      </c>
      <c r="AR3" s="177"/>
      <c r="AS3" s="177"/>
      <c r="AT3" s="177"/>
      <c r="AU3" s="177"/>
      <c r="AV3" s="177"/>
      <c r="AW3" s="177"/>
      <c r="AX3" s="177"/>
      <c r="AY3" s="177"/>
    </row>
    <row r="4" spans="1:51" x14ac:dyDescent="0.25">
      <c r="A4" s="15" t="s">
        <v>244</v>
      </c>
      <c r="D4" s="15" t="s">
        <v>219</v>
      </c>
    </row>
    <row r="5" spans="1:51" ht="15.75" thickBot="1" x14ac:dyDescent="0.3">
      <c r="A5" s="15" t="s">
        <v>220</v>
      </c>
      <c r="B5" s="15" t="s">
        <v>239</v>
      </c>
      <c r="C5" s="15" t="s">
        <v>684</v>
      </c>
      <c r="D5" s="16">
        <v>42370</v>
      </c>
      <c r="E5" s="16">
        <v>42461</v>
      </c>
      <c r="F5" s="16">
        <v>42552</v>
      </c>
      <c r="G5" s="16">
        <v>42644</v>
      </c>
      <c r="H5" s="16">
        <v>42736</v>
      </c>
      <c r="I5" s="16">
        <v>42826</v>
      </c>
      <c r="J5" s="16">
        <v>42917</v>
      </c>
      <c r="K5" s="16">
        <v>43009</v>
      </c>
      <c r="L5" s="16">
        <v>43101</v>
      </c>
      <c r="M5" s="16">
        <v>43191</v>
      </c>
      <c r="N5" s="16">
        <v>43282</v>
      </c>
      <c r="O5" s="16">
        <v>43374</v>
      </c>
      <c r="P5" s="16">
        <v>43466</v>
      </c>
      <c r="Q5" s="16">
        <v>43556</v>
      </c>
      <c r="R5" s="16">
        <v>43647</v>
      </c>
      <c r="S5" s="16">
        <v>43739</v>
      </c>
      <c r="T5" s="16">
        <v>43831</v>
      </c>
      <c r="U5" s="16">
        <v>43922</v>
      </c>
      <c r="V5" s="16">
        <v>44013</v>
      </c>
      <c r="W5" s="16">
        <v>44105</v>
      </c>
      <c r="X5" s="16">
        <v>44197</v>
      </c>
      <c r="Y5" s="16">
        <v>44287</v>
      </c>
      <c r="Z5" s="16">
        <v>44378</v>
      </c>
      <c r="AA5" s="16">
        <v>44470</v>
      </c>
      <c r="AB5" s="16">
        <v>44562</v>
      </c>
      <c r="AC5" s="16">
        <v>44652</v>
      </c>
      <c r="AD5" s="16">
        <v>44743</v>
      </c>
      <c r="AE5" s="16">
        <v>44835</v>
      </c>
      <c r="AF5" s="16">
        <v>44927</v>
      </c>
      <c r="AG5" s="52">
        <f t="shared" ref="AG5:AM5" si="0">DATE(YEAR(AF5),MONTH(AF5)+3,1)</f>
        <v>45017</v>
      </c>
      <c r="AH5" s="52">
        <f t="shared" si="0"/>
        <v>45108</v>
      </c>
      <c r="AI5" s="52">
        <f t="shared" si="0"/>
        <v>45200</v>
      </c>
      <c r="AJ5" s="52">
        <f t="shared" si="0"/>
        <v>45292</v>
      </c>
      <c r="AK5" s="52">
        <f t="shared" si="0"/>
        <v>45383</v>
      </c>
      <c r="AL5" s="52">
        <f t="shared" si="0"/>
        <v>45474</v>
      </c>
      <c r="AM5" s="52">
        <f t="shared" si="0"/>
        <v>45566</v>
      </c>
      <c r="AN5" s="147"/>
      <c r="AO5" s="147"/>
      <c r="AP5" s="29" t="s">
        <v>19</v>
      </c>
      <c r="AQ5" s="157">
        <v>2016</v>
      </c>
      <c r="AR5" s="157">
        <v>2017</v>
      </c>
      <c r="AS5" s="157">
        <v>2018</v>
      </c>
      <c r="AT5" s="157">
        <v>2019</v>
      </c>
      <c r="AU5" s="157">
        <v>2020</v>
      </c>
      <c r="AV5" s="157">
        <v>2021</v>
      </c>
      <c r="AW5" s="157">
        <v>2022</v>
      </c>
      <c r="AX5" s="157" t="s">
        <v>683</v>
      </c>
      <c r="AY5" s="157" t="s">
        <v>711</v>
      </c>
    </row>
    <row r="6" spans="1:51" x14ac:dyDescent="0.25">
      <c r="A6" t="s">
        <v>582</v>
      </c>
      <c r="B6" t="s">
        <v>5</v>
      </c>
      <c r="C6" t="s">
        <v>5</v>
      </c>
      <c r="D6">
        <v>64.5</v>
      </c>
      <c r="E6">
        <v>62.85</v>
      </c>
      <c r="F6">
        <v>63</v>
      </c>
      <c r="G6">
        <v>62.48</v>
      </c>
      <c r="H6">
        <v>62.68</v>
      </c>
      <c r="I6">
        <v>63.04</v>
      </c>
      <c r="J6">
        <v>63.49</v>
      </c>
      <c r="K6">
        <v>61.33</v>
      </c>
      <c r="L6">
        <v>61.85</v>
      </c>
      <c r="M6">
        <v>61.12</v>
      </c>
      <c r="N6">
        <v>60.81</v>
      </c>
      <c r="O6">
        <v>59.73</v>
      </c>
      <c r="P6">
        <v>60.13</v>
      </c>
      <c r="Q6">
        <v>59.68</v>
      </c>
      <c r="R6">
        <v>57.02</v>
      </c>
      <c r="S6">
        <v>55.81</v>
      </c>
      <c r="T6">
        <v>55.33</v>
      </c>
      <c r="U6">
        <v>55.78</v>
      </c>
      <c r="V6">
        <v>55.03</v>
      </c>
      <c r="W6">
        <v>52.89</v>
      </c>
      <c r="X6">
        <v>53.55</v>
      </c>
      <c r="Y6">
        <v>53.66</v>
      </c>
      <c r="Z6">
        <v>53.67</v>
      </c>
      <c r="AA6">
        <v>53.98</v>
      </c>
      <c r="AB6">
        <v>53.71</v>
      </c>
      <c r="AC6">
        <v>53.34</v>
      </c>
      <c r="AD6">
        <v>54.01</v>
      </c>
      <c r="AE6">
        <v>52.46</v>
      </c>
      <c r="AF6">
        <v>49.51</v>
      </c>
      <c r="AP6" t="s">
        <v>5</v>
      </c>
      <c r="AQ6" s="8">
        <f>D6*(Forecast_Main!H80/SUM(Forecast_Main!H80:K80))+'CI Trend'!E6*(Forecast_Main!I80/SUM(Forecast_Main!H80:K80))+'CI Trend'!F6*(Forecast_Main!J80/SUM(Forecast_Main!H80:K80))+G6*(Forecast_Main!K80/SUM(Forecast_Main!H80:K80))</f>
        <v>63.281882080974157</v>
      </c>
      <c r="AR6" s="8">
        <f>H6*(Forecast_Main!L80/SUM(Forecast_Main!L80:O80))+'CI Trend'!I6*(Forecast_Main!M80/SUM(Forecast_Main!L80:O80))+'CI Trend'!J6*(Forecast_Main!N80/SUM(Forecast_Main!L80:O80))+K6*(Forecast_Main!O80/SUM(Forecast_Main!L80:O80))</f>
        <v>62.667879753847885</v>
      </c>
      <c r="AS6" s="8">
        <f>L6*(Forecast_Main!P80/SUM(Forecast_Main!P80:S80))+'CI Trend'!M6*(Forecast_Main!Q80/SUM(Forecast_Main!P80:S80))+'CI Trend'!N6*(Forecast_Main!R80/SUM(Forecast_Main!P80:S80))+O6*(Forecast_Main!S80/SUM(Forecast_Main!P80:S80))</f>
        <v>60.863121305588329</v>
      </c>
      <c r="AT6" s="8">
        <f>P6*(Forecast_Main!T80/SUM(Forecast_Main!T80:W80))+'CI Trend'!Q6*(Forecast_Main!U80/SUM(Forecast_Main!T80:W80))+'CI Trend'!R6*(Forecast_Main!V80/SUM(Forecast_Main!T80:W80))+S6*(Forecast_Main!W80/SUM(Forecast_Main!T80:W80))</f>
        <v>58.086587983738774</v>
      </c>
      <c r="AU6" s="8">
        <f>T6*(Forecast_Main!X80/SUM(Forecast_Main!X80:AA80))+'CI Trend'!U6*(Forecast_Main!Y80/SUM(Forecast_Main!X80:AA80))+'CI Trend'!V6*(Forecast_Main!Z80/SUM(Forecast_Main!X80:AA80))+W6*(Forecast_Main!AA80/SUM(Forecast_Main!X80:AA80))</f>
        <v>54.76250762154914</v>
      </c>
      <c r="AV6" s="8">
        <f>X6*(Forecast_Main!AB80/SUM(Forecast_Main!AB80:AE80))+'CI Trend'!Y6*(Forecast_Main!AC80/SUM(Forecast_Main!AB80:AE80))+'CI Trend'!Z6*(Forecast_Main!AD80/SUM(Forecast_Main!AB80:AE80))+AA6*(Forecast_Main!AE80/SUM(Forecast_Main!AB80:AE80))</f>
        <v>53.717956174981033</v>
      </c>
      <c r="AW6" s="8">
        <f>AB6*(Forecast_Main!AF80/SUM(Forecast_Main!AF80:AI80))+'CI Trend'!AC6*(Forecast_Main!AG80/SUM(Forecast_Main!AF80:AI80))+'CI Trend'!AD6*(Forecast_Main!AH80/SUM(Forecast_Main!AF80:AI80))+AE6*(Forecast_Main!AI80/SUM(Forecast_Main!AF80:AI80))</f>
        <v>53.407431487636629</v>
      </c>
      <c r="AX6" s="8">
        <f>CIA_eth_T1</f>
        <v>51</v>
      </c>
      <c r="AY6" s="8">
        <f>CIA_Eth_T0</f>
        <v>50</v>
      </c>
    </row>
    <row r="7" spans="1:51" x14ac:dyDescent="0.25">
      <c r="B7" t="s">
        <v>7</v>
      </c>
      <c r="C7" t="s">
        <v>7</v>
      </c>
      <c r="D7">
        <v>56.38</v>
      </c>
      <c r="E7">
        <v>51.31</v>
      </c>
      <c r="F7">
        <v>51.13</v>
      </c>
      <c r="G7">
        <v>48.72</v>
      </c>
      <c r="H7">
        <v>46.35</v>
      </c>
      <c r="I7">
        <v>47.58</v>
      </c>
      <c r="J7">
        <v>47.06</v>
      </c>
      <c r="K7">
        <v>47.45</v>
      </c>
      <c r="L7">
        <v>45.21</v>
      </c>
      <c r="M7">
        <v>46.03</v>
      </c>
      <c r="N7">
        <v>45.34</v>
      </c>
      <c r="O7">
        <v>44.35</v>
      </c>
      <c r="P7">
        <v>39.51</v>
      </c>
      <c r="Q7">
        <v>38.92</v>
      </c>
      <c r="R7">
        <v>38.97</v>
      </c>
      <c r="S7">
        <v>37.380000000000003</v>
      </c>
      <c r="T7">
        <v>36.61</v>
      </c>
      <c r="U7">
        <v>43.72</v>
      </c>
      <c r="V7">
        <v>42.81</v>
      </c>
      <c r="W7">
        <v>44.65</v>
      </c>
      <c r="X7">
        <v>43.24</v>
      </c>
      <c r="Y7">
        <v>40.47</v>
      </c>
      <c r="Z7">
        <v>41.85</v>
      </c>
      <c r="AA7">
        <v>42.09</v>
      </c>
      <c r="AB7">
        <v>42.37</v>
      </c>
      <c r="AC7">
        <v>40.43</v>
      </c>
      <c r="AD7">
        <v>41.37</v>
      </c>
      <c r="AE7">
        <v>42.02</v>
      </c>
      <c r="AF7">
        <v>45.52</v>
      </c>
      <c r="AP7" t="s">
        <v>7</v>
      </c>
      <c r="AQ7" s="8">
        <f>D7*(Forecast_Main!H86/SUM(Forecast_Main!H86:K86))+'CI Trend'!E7*(Forecast_Main!I86/SUM(Forecast_Main!H86:K86))+'CI Trend'!F7*(Forecast_Main!J86/SUM(Forecast_Main!H86:K86))+G7*(Forecast_Main!K86/SUM(Forecast_Main!H86:K86))</f>
        <v>51.900486040330627</v>
      </c>
      <c r="AR7" s="8">
        <f>H7*(Forecast_Main!L86/SUM(Forecast_Main!L86:O86))+'CI Trend'!I7*(Forecast_Main!M86/SUM(Forecast_Main!L86:O86))+'CI Trend'!J7*(Forecast_Main!N86/SUM(Forecast_Main!L86:O86))+K7*(Forecast_Main!O86/SUM(Forecast_Main!L86:O86))</f>
        <v>47.178114702642979</v>
      </c>
      <c r="AS7" s="8">
        <f>L7*(Forecast_Main!P86/SUM(Forecast_Main!P86:S86))+'CI Trend'!M7*(Forecast_Main!Q86/SUM(Forecast_Main!P86:S86))+'CI Trend'!N7*(Forecast_Main!R86/SUM(Forecast_Main!P86:S86))+O7*(Forecast_Main!S86/SUM(Forecast_Main!P86:S86))</f>
        <v>45.237497693801501</v>
      </c>
      <c r="AT7" s="8">
        <f>P7*(Forecast_Main!T86/SUM(Forecast_Main!T86:W86))+'CI Trend'!Q7*(Forecast_Main!U86/SUM(Forecast_Main!T86:W86))+'CI Trend'!R7*(Forecast_Main!V86/SUM(Forecast_Main!T86:W86))+S7*(Forecast_Main!W86/SUM(Forecast_Main!T86:W86))</f>
        <v>38.653140121327112</v>
      </c>
      <c r="AU7" s="8">
        <f>T7*(Forecast_Main!X86/SUM(Forecast_Main!X86:AA86))+'CI Trend'!U7*(Forecast_Main!Y86/SUM(Forecast_Main!X86:AA86))+'CI Trend'!V7*(Forecast_Main!Z86/SUM(Forecast_Main!X86:AA86))+W7*(Forecast_Main!AA86/SUM(Forecast_Main!X86:AA86))</f>
        <v>42.136654583905496</v>
      </c>
      <c r="AV7" s="8">
        <f>X7*(Forecast_Main!AB86/SUM(Forecast_Main!AB86:AE86))+'CI Trend'!Y7*(Forecast_Main!AC86/SUM(Forecast_Main!AB86:AE86))+'CI Trend'!Z7*(Forecast_Main!AD86/SUM(Forecast_Main!AB86:AE86))+AA7*(Forecast_Main!AE86/SUM(Forecast_Main!AB86:AE86))</f>
        <v>41.821512929244939</v>
      </c>
      <c r="AW7" s="8">
        <f>AB7*(Forecast_Main!AF86/SUM(Forecast_Main!AF86:AI86))+'CI Trend'!AC7*(Forecast_Main!AG86/SUM(Forecast_Main!AF86:AI86))+'CI Trend'!AD7*(Forecast_Main!AH86/SUM(Forecast_Main!AF86:AI86))+AE7*(Forecast_Main!AI86/SUM(Forecast_Main!AF86:AI86))</f>
        <v>41.499166320052083</v>
      </c>
      <c r="AX7" s="8">
        <f>CIA_Bio_T1</f>
        <v>41</v>
      </c>
      <c r="AY7" s="8">
        <f>CIA_bio_T0</f>
        <v>40.5</v>
      </c>
    </row>
    <row r="8" spans="1:51" x14ac:dyDescent="0.25">
      <c r="B8" t="s">
        <v>225</v>
      </c>
      <c r="C8" t="s">
        <v>225</v>
      </c>
      <c r="K8">
        <v>33.64</v>
      </c>
      <c r="L8">
        <v>48.76</v>
      </c>
      <c r="M8">
        <v>36.380000000000003</v>
      </c>
      <c r="N8">
        <v>37.42</v>
      </c>
      <c r="O8">
        <v>34.96</v>
      </c>
      <c r="P8">
        <v>53.91</v>
      </c>
      <c r="Q8">
        <v>44.74</v>
      </c>
      <c r="R8">
        <v>29.88</v>
      </c>
      <c r="S8">
        <v>28.25</v>
      </c>
      <c r="T8">
        <v>27.32</v>
      </c>
      <c r="U8">
        <v>30.18</v>
      </c>
      <c r="V8">
        <v>64.02</v>
      </c>
      <c r="W8">
        <v>39.46</v>
      </c>
      <c r="X8">
        <v>63.84</v>
      </c>
      <c r="Y8">
        <v>298.41000000000003</v>
      </c>
      <c r="Z8">
        <v>48.95</v>
      </c>
      <c r="AA8">
        <v>-1561.21</v>
      </c>
      <c r="AB8">
        <v>44.83</v>
      </c>
      <c r="AC8">
        <v>39.86</v>
      </c>
      <c r="AD8">
        <v>19.690000000000001</v>
      </c>
      <c r="AE8">
        <v>43.54</v>
      </c>
      <c r="AF8">
        <v>46.64</v>
      </c>
      <c r="AP8" t="s">
        <v>225</v>
      </c>
      <c r="AQ8" s="8"/>
      <c r="AR8" s="8">
        <f>H8*(Forecast_Main!L88/SUM(Forecast_Main!L88:O88))+'CI Trend'!I8*(Forecast_Main!M88/SUM(Forecast_Main!L88:O88))+'CI Trend'!J8*(Forecast_Main!N88/SUM(Forecast_Main!L88:O88))+K8*(Forecast_Main!O88/SUM(Forecast_Main!L88:O88))</f>
        <v>33.64</v>
      </c>
      <c r="AS8" s="8">
        <f>L8*(Forecast_Main!P88/SUM(Forecast_Main!P88:S88))+'CI Trend'!M8*(Forecast_Main!Q88/SUM(Forecast_Main!P88:S88))+'CI Trend'!N8*(Forecast_Main!R88/SUM(Forecast_Main!P88:S88))+O8*(Forecast_Main!S88/SUM(Forecast_Main!P88:S88))</f>
        <v>39.09764666383375</v>
      </c>
      <c r="AT8" s="8">
        <f>P8*(Forecast_Main!T88/SUM(Forecast_Main!T88:W88))+'CI Trend'!Q8*(Forecast_Main!U88/SUM(Forecast_Main!T88:W88))+'CI Trend'!R8*(Forecast_Main!V88/SUM(Forecast_Main!T88:W88))+S8*(Forecast_Main!W88/SUM(Forecast_Main!T88:W88))</f>
        <v>30.108851344683323</v>
      </c>
      <c r="AU8" s="8">
        <f>T8*(Forecast_Main!X88/SUM(Forecast_Main!X88:AA88))+'CI Trend'!U8*(Forecast_Main!Y88/SUM(Forecast_Main!X88:AA88))+'CI Trend'!V8*(Forecast_Main!Z88/SUM(Forecast_Main!X88:AA88))+W8*(Forecast_Main!AA88/SUM(Forecast_Main!X88:AA88))</f>
        <v>31.481638380492861</v>
      </c>
      <c r="AV8" s="8">
        <f>X8*(Forecast_Main!AB88/SUM(Forecast_Main!AB88:AE88))+'CI Trend'!Y8*(Forecast_Main!AC88/SUM(Forecast_Main!AB88:AE88))+'CI Trend'!Z8*(Forecast_Main!AD88/SUM(Forecast_Main!AB88:AE88))+AA8*(Forecast_Main!AE88/SUM(Forecast_Main!AB88:AE88))</f>
        <v>36.964289320926227</v>
      </c>
      <c r="AW8" s="8">
        <f>AB8*(Forecast_Main!AF88/SUM(Forecast_Main!AF88:AI88))+'CI Trend'!AC8*(Forecast_Main!AG88/SUM(Forecast_Main!AF88:AI88))+'CI Trend'!AD8*(Forecast_Main!AH88/SUM(Forecast_Main!AF88:AI88))+AE8*(Forecast_Main!AI88/SUM(Forecast_Main!AF88:AI88))</f>
        <v>39.161223731186084</v>
      </c>
      <c r="AX8" s="8">
        <f>CIA_ren_T1</f>
        <v>40.5</v>
      </c>
      <c r="AY8" s="8">
        <f>CIA_ren_T0</f>
        <v>41.45</v>
      </c>
    </row>
    <row r="10" spans="1:51" x14ac:dyDescent="0.25">
      <c r="G10" s="7"/>
      <c r="H10" s="7"/>
      <c r="I10" s="7"/>
      <c r="J10" s="7"/>
      <c r="K10" s="7"/>
      <c r="L10" s="7"/>
      <c r="M10" s="7"/>
      <c r="N10" s="7"/>
      <c r="O10" s="7"/>
      <c r="P10" s="7"/>
      <c r="Q10" s="7"/>
      <c r="R10" s="7"/>
      <c r="S10" s="7"/>
      <c r="T10" s="7">
        <f>T12/P12-1</f>
        <v>-7.9827041410277744E-2</v>
      </c>
      <c r="U10" s="7">
        <f>U12/Q12-1</f>
        <v>-6.5348525469168917E-2</v>
      </c>
      <c r="V10" s="7">
        <f>V12/R12-1</f>
        <v>-3.4900035075412172E-2</v>
      </c>
      <c r="W10" s="7">
        <f>W12/S12-1</f>
        <v>-5.2320372693065775E-2</v>
      </c>
      <c r="AE10">
        <f>W12*((1+T10)^2)</f>
        <v>44.782929497038253</v>
      </c>
    </row>
    <row r="11" spans="1:51" x14ac:dyDescent="0.25">
      <c r="B11" t="s">
        <v>583</v>
      </c>
      <c r="D11" s="16">
        <f>D5</f>
        <v>42370</v>
      </c>
      <c r="E11" s="16">
        <f t="shared" ref="E11:AC12" si="1">E5</f>
        <v>42461</v>
      </c>
      <c r="F11" s="16">
        <f t="shared" si="1"/>
        <v>42552</v>
      </c>
      <c r="G11" s="16">
        <f t="shared" si="1"/>
        <v>42644</v>
      </c>
      <c r="H11" s="16">
        <f t="shared" si="1"/>
        <v>42736</v>
      </c>
      <c r="I11" s="16">
        <f t="shared" si="1"/>
        <v>42826</v>
      </c>
      <c r="J11" s="16">
        <f t="shared" si="1"/>
        <v>42917</v>
      </c>
      <c r="K11" s="16">
        <f t="shared" si="1"/>
        <v>43009</v>
      </c>
      <c r="L11" s="16">
        <f t="shared" si="1"/>
        <v>43101</v>
      </c>
      <c r="M11" s="16">
        <f t="shared" si="1"/>
        <v>43191</v>
      </c>
      <c r="N11" s="16">
        <f t="shared" si="1"/>
        <v>43282</v>
      </c>
      <c r="O11" s="16">
        <f t="shared" si="1"/>
        <v>43374</v>
      </c>
      <c r="P11" s="16">
        <f t="shared" si="1"/>
        <v>43466</v>
      </c>
      <c r="Q11" s="16">
        <f t="shared" si="1"/>
        <v>43556</v>
      </c>
      <c r="R11" s="16">
        <f t="shared" si="1"/>
        <v>43647</v>
      </c>
      <c r="S11" s="16">
        <f t="shared" si="1"/>
        <v>43739</v>
      </c>
      <c r="T11" s="16">
        <f t="shared" si="1"/>
        <v>43831</v>
      </c>
      <c r="U11" s="16">
        <f t="shared" si="1"/>
        <v>43922</v>
      </c>
      <c r="V11" s="16">
        <f t="shared" si="1"/>
        <v>44013</v>
      </c>
      <c r="W11" s="16">
        <f t="shared" si="1"/>
        <v>44105</v>
      </c>
      <c r="X11" s="16">
        <f t="shared" si="1"/>
        <v>44197</v>
      </c>
      <c r="Y11" s="16">
        <f t="shared" si="1"/>
        <v>44287</v>
      </c>
      <c r="Z11" s="16">
        <f t="shared" si="1"/>
        <v>44378</v>
      </c>
      <c r="AA11" s="16">
        <f t="shared" si="1"/>
        <v>44470</v>
      </c>
      <c r="AB11" s="16">
        <f t="shared" si="1"/>
        <v>44562</v>
      </c>
      <c r="AC11" s="16">
        <f t="shared" ref="AC11:AN12" si="2">AC5</f>
        <v>44652</v>
      </c>
      <c r="AD11" s="16">
        <f t="shared" si="2"/>
        <v>44743</v>
      </c>
      <c r="AE11" s="16">
        <f t="shared" si="2"/>
        <v>44835</v>
      </c>
      <c r="AF11" s="16">
        <f t="shared" si="2"/>
        <v>44927</v>
      </c>
      <c r="AG11" s="16">
        <f t="shared" si="2"/>
        <v>45017</v>
      </c>
      <c r="AH11" s="16">
        <f t="shared" si="2"/>
        <v>45108</v>
      </c>
      <c r="AI11" s="16">
        <f t="shared" si="2"/>
        <v>45200</v>
      </c>
      <c r="AJ11" s="16">
        <f t="shared" si="2"/>
        <v>45292</v>
      </c>
      <c r="AK11" s="16">
        <f t="shared" si="2"/>
        <v>45383</v>
      </c>
      <c r="AL11" s="16">
        <f t="shared" si="2"/>
        <v>45474</v>
      </c>
      <c r="AM11" s="16">
        <f t="shared" si="2"/>
        <v>45566</v>
      </c>
      <c r="AN11" s="16">
        <f t="shared" si="2"/>
        <v>0</v>
      </c>
      <c r="AO11" s="16"/>
    </row>
    <row r="12" spans="1:51" x14ac:dyDescent="0.25">
      <c r="B12" t="s">
        <v>5</v>
      </c>
      <c r="C12" t="s">
        <v>655</v>
      </c>
      <c r="D12" s="39">
        <f>D6</f>
        <v>64.5</v>
      </c>
      <c r="E12" s="39">
        <f t="shared" si="1"/>
        <v>62.85</v>
      </c>
      <c r="F12" s="39">
        <f t="shared" si="1"/>
        <v>63</v>
      </c>
      <c r="G12" s="39">
        <f t="shared" si="1"/>
        <v>62.48</v>
      </c>
      <c r="H12" s="39">
        <f t="shared" si="1"/>
        <v>62.68</v>
      </c>
      <c r="I12" s="39">
        <f t="shared" si="1"/>
        <v>63.04</v>
      </c>
      <c r="J12" s="39">
        <f t="shared" si="1"/>
        <v>63.49</v>
      </c>
      <c r="K12" s="39">
        <f t="shared" si="1"/>
        <v>61.33</v>
      </c>
      <c r="L12" s="39">
        <f t="shared" si="1"/>
        <v>61.85</v>
      </c>
      <c r="M12" s="39">
        <f t="shared" si="1"/>
        <v>61.12</v>
      </c>
      <c r="N12" s="39">
        <f t="shared" si="1"/>
        <v>60.81</v>
      </c>
      <c r="O12" s="110">
        <f t="shared" si="1"/>
        <v>59.73</v>
      </c>
      <c r="P12" s="110">
        <f t="shared" si="1"/>
        <v>60.13</v>
      </c>
      <c r="Q12" s="110">
        <f t="shared" si="1"/>
        <v>59.68</v>
      </c>
      <c r="R12" s="110">
        <f t="shared" si="1"/>
        <v>57.02</v>
      </c>
      <c r="S12" s="110">
        <f t="shared" si="1"/>
        <v>55.81</v>
      </c>
      <c r="T12" s="110">
        <f t="shared" si="1"/>
        <v>55.33</v>
      </c>
      <c r="U12" s="110">
        <f t="shared" si="1"/>
        <v>55.78</v>
      </c>
      <c r="V12" s="110">
        <f t="shared" si="1"/>
        <v>55.03</v>
      </c>
      <c r="W12" s="110">
        <f t="shared" si="1"/>
        <v>52.89</v>
      </c>
      <c r="X12" s="110">
        <f t="shared" si="1"/>
        <v>53.55</v>
      </c>
      <c r="Y12" s="110">
        <f t="shared" si="1"/>
        <v>53.66</v>
      </c>
      <c r="Z12" s="110">
        <f t="shared" si="1"/>
        <v>53.67</v>
      </c>
      <c r="AA12" s="110">
        <f t="shared" si="1"/>
        <v>53.98</v>
      </c>
      <c r="AB12" s="110">
        <f t="shared" si="1"/>
        <v>53.71</v>
      </c>
      <c r="AC12" s="110">
        <f t="shared" si="1"/>
        <v>53.34</v>
      </c>
      <c r="AD12" s="110">
        <f t="shared" si="2"/>
        <v>54.01</v>
      </c>
      <c r="AE12" s="110">
        <f t="shared" si="2"/>
        <v>52.46</v>
      </c>
      <c r="AF12" s="39"/>
      <c r="AG12" s="39"/>
      <c r="AH12" s="39"/>
      <c r="AI12" s="39"/>
      <c r="AJ12" s="39"/>
      <c r="AK12" s="39"/>
      <c r="AL12" s="39"/>
      <c r="AM12" s="39"/>
      <c r="AN12" s="39"/>
      <c r="AO12" s="39"/>
    </row>
    <row r="13" spans="1:51" x14ac:dyDescent="0.25">
      <c r="C13" t="s">
        <v>660</v>
      </c>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f>'CI Facility'!$H$39</f>
        <v>35.957892690485416</v>
      </c>
      <c r="AK13" s="39">
        <f>'CI Facility'!$H$39</f>
        <v>35.957892690485416</v>
      </c>
      <c r="AL13" s="39">
        <f>'CI Facility'!$H$39</f>
        <v>35.957892690485416</v>
      </c>
      <c r="AM13" s="39">
        <f>'CI Facility'!$H$39</f>
        <v>35.957892690485416</v>
      </c>
      <c r="AN13" s="39">
        <f>'CI Facility'!$H$39</f>
        <v>35.957892690485416</v>
      </c>
      <c r="AO13" s="39"/>
    </row>
    <row r="14" spans="1:51" x14ac:dyDescent="0.25">
      <c r="C14" t="s">
        <v>651</v>
      </c>
      <c r="D14" s="39"/>
      <c r="E14" s="39"/>
      <c r="F14" s="39"/>
      <c r="G14" s="39"/>
      <c r="H14" s="39"/>
      <c r="I14" s="39"/>
      <c r="J14" s="39"/>
      <c r="K14" s="39"/>
      <c r="L14" s="39"/>
      <c r="M14" s="39"/>
      <c r="N14" s="39"/>
      <c r="O14" s="39"/>
      <c r="P14" s="39"/>
      <c r="Q14" s="39"/>
      <c r="R14" s="39"/>
      <c r="S14" s="39"/>
      <c r="T14" s="39"/>
      <c r="U14" s="39"/>
      <c r="V14" s="39"/>
      <c r="W14" s="39"/>
      <c r="AB14" s="8"/>
      <c r="AC14" s="8"/>
      <c r="AD14" s="8"/>
      <c r="AE14" s="8"/>
      <c r="AF14" s="8">
        <f>CIA_eth_T1</f>
        <v>51</v>
      </c>
      <c r="AG14" s="8">
        <f>CIA_eth_T1</f>
        <v>51</v>
      </c>
      <c r="AH14" s="8">
        <f>CIA_eth_T1</f>
        <v>51</v>
      </c>
      <c r="AI14" s="8">
        <f>CIA_eth_T1</f>
        <v>51</v>
      </c>
      <c r="AJ14" s="8">
        <f>CIA_Eth_T0</f>
        <v>50</v>
      </c>
      <c r="AK14" s="8">
        <f>CIA_Eth_T0</f>
        <v>50</v>
      </c>
      <c r="AL14" s="8">
        <f>CIA_Eth_T0</f>
        <v>50</v>
      </c>
      <c r="AM14" s="8">
        <f>CIA_Eth_T0</f>
        <v>50</v>
      </c>
      <c r="AN14" s="8"/>
      <c r="AO14" s="8"/>
    </row>
    <row r="15" spans="1:51" x14ac:dyDescent="0.25">
      <c r="C15" t="s">
        <v>648</v>
      </c>
      <c r="D15" s="39">
        <v>72.87</v>
      </c>
      <c r="E15" s="39">
        <v>70.83</v>
      </c>
      <c r="F15" s="39">
        <v>69.98</v>
      </c>
      <c r="G15" s="39">
        <v>70.34</v>
      </c>
      <c r="H15" s="39">
        <v>71.489999999999995</v>
      </c>
      <c r="I15" s="39">
        <v>70.290000000000006</v>
      </c>
      <c r="J15" s="39">
        <v>69.510000000000005</v>
      </c>
      <c r="K15" s="39">
        <v>68.98</v>
      </c>
      <c r="L15" s="39">
        <v>70.099999999999994</v>
      </c>
      <c r="M15" s="39">
        <v>70.02</v>
      </c>
      <c r="N15" s="39">
        <v>68.41</v>
      </c>
      <c r="O15" s="39">
        <v>65.88</v>
      </c>
      <c r="P15" s="39">
        <v>66</v>
      </c>
      <c r="Q15" s="39">
        <v>63.69</v>
      </c>
      <c r="R15" s="39">
        <v>59.33</v>
      </c>
      <c r="S15" s="39">
        <v>59.46</v>
      </c>
      <c r="T15" s="39">
        <v>60.34</v>
      </c>
      <c r="U15" s="39">
        <v>62.13</v>
      </c>
      <c r="V15" s="39">
        <v>57.77</v>
      </c>
      <c r="W15" s="39">
        <v>57.69</v>
      </c>
      <c r="X15" s="39">
        <v>60.7</v>
      </c>
      <c r="Y15" s="39">
        <v>60.87</v>
      </c>
      <c r="Z15" s="39"/>
      <c r="AA15" s="39"/>
    </row>
    <row r="16" spans="1:51" x14ac:dyDescent="0.25">
      <c r="D16" s="39"/>
      <c r="E16" s="39"/>
      <c r="F16" s="39"/>
      <c r="G16" s="39"/>
      <c r="H16" s="39"/>
      <c r="I16" s="39"/>
      <c r="J16" s="39"/>
      <c r="K16" s="39"/>
      <c r="L16" s="39"/>
      <c r="M16" s="39"/>
      <c r="N16" s="39"/>
      <c r="O16" s="39"/>
      <c r="P16" s="39"/>
      <c r="Q16" s="39"/>
      <c r="R16" s="39"/>
      <c r="S16" s="39"/>
      <c r="T16" s="39"/>
      <c r="U16" s="39"/>
      <c r="V16" s="39"/>
      <c r="W16" s="39"/>
      <c r="X16" s="39"/>
      <c r="Y16" s="39"/>
      <c r="Z16" s="39"/>
      <c r="AA16" s="39"/>
    </row>
    <row r="17" spans="2:41" x14ac:dyDescent="0.25">
      <c r="D17" s="39"/>
      <c r="E17" s="39"/>
      <c r="F17" s="39"/>
      <c r="G17" s="39"/>
      <c r="H17" s="39"/>
      <c r="I17" s="39"/>
      <c r="J17" s="39"/>
      <c r="K17" s="39"/>
      <c r="L17" s="39"/>
      <c r="M17" s="39"/>
      <c r="N17" s="39"/>
      <c r="O17" s="39"/>
      <c r="P17" s="39"/>
      <c r="Q17" s="39"/>
      <c r="R17" s="39"/>
      <c r="S17" s="39"/>
      <c r="U17" s="39"/>
      <c r="V17" s="39"/>
      <c r="W17" s="39"/>
    </row>
    <row r="18" spans="2:41" x14ac:dyDescent="0.25">
      <c r="B18" t="s">
        <v>7</v>
      </c>
      <c r="C18" t="s">
        <v>655</v>
      </c>
      <c r="D18" s="39">
        <f t="shared" ref="D18:AE18" si="3">D7</f>
        <v>56.38</v>
      </c>
      <c r="E18" s="39">
        <f t="shared" si="3"/>
        <v>51.31</v>
      </c>
      <c r="F18" s="39">
        <f t="shared" si="3"/>
        <v>51.13</v>
      </c>
      <c r="G18" s="39">
        <f t="shared" si="3"/>
        <v>48.72</v>
      </c>
      <c r="H18" s="39">
        <f t="shared" si="3"/>
        <v>46.35</v>
      </c>
      <c r="I18" s="39">
        <f t="shared" si="3"/>
        <v>47.58</v>
      </c>
      <c r="J18" s="39">
        <f t="shared" si="3"/>
        <v>47.06</v>
      </c>
      <c r="K18" s="39">
        <f t="shared" si="3"/>
        <v>47.45</v>
      </c>
      <c r="L18" s="39">
        <f t="shared" si="3"/>
        <v>45.21</v>
      </c>
      <c r="M18" s="39">
        <f t="shared" si="3"/>
        <v>46.03</v>
      </c>
      <c r="N18" s="39">
        <f t="shared" si="3"/>
        <v>45.34</v>
      </c>
      <c r="O18" s="110">
        <f t="shared" si="3"/>
        <v>44.35</v>
      </c>
      <c r="P18" s="110">
        <f t="shared" si="3"/>
        <v>39.51</v>
      </c>
      <c r="Q18" s="110">
        <f t="shared" si="3"/>
        <v>38.92</v>
      </c>
      <c r="R18" s="110">
        <f t="shared" si="3"/>
        <v>38.97</v>
      </c>
      <c r="S18" s="110">
        <f t="shared" si="3"/>
        <v>37.380000000000003</v>
      </c>
      <c r="T18" s="110">
        <f t="shared" si="3"/>
        <v>36.61</v>
      </c>
      <c r="U18" s="110">
        <f t="shared" si="3"/>
        <v>43.72</v>
      </c>
      <c r="V18" s="110">
        <f t="shared" si="3"/>
        <v>42.81</v>
      </c>
      <c r="W18" s="110">
        <f t="shared" si="3"/>
        <v>44.65</v>
      </c>
      <c r="X18" s="110">
        <f t="shared" si="3"/>
        <v>43.24</v>
      </c>
      <c r="Y18" s="110">
        <f t="shared" si="3"/>
        <v>40.47</v>
      </c>
      <c r="Z18" s="110">
        <f t="shared" si="3"/>
        <v>41.85</v>
      </c>
      <c r="AA18" s="110">
        <f t="shared" si="3"/>
        <v>42.09</v>
      </c>
      <c r="AB18" s="110">
        <f t="shared" si="3"/>
        <v>42.37</v>
      </c>
      <c r="AC18" s="110">
        <f t="shared" si="3"/>
        <v>40.43</v>
      </c>
      <c r="AD18" s="110">
        <f t="shared" si="3"/>
        <v>41.37</v>
      </c>
      <c r="AE18" s="110">
        <f t="shared" si="3"/>
        <v>42.02</v>
      </c>
      <c r="AF18" s="39"/>
      <c r="AG18" s="39"/>
      <c r="AH18" s="39"/>
      <c r="AI18" s="39"/>
      <c r="AJ18" s="39"/>
      <c r="AK18" s="39"/>
      <c r="AL18" s="39"/>
      <c r="AM18" s="39"/>
      <c r="AN18" s="39"/>
      <c r="AO18" s="39"/>
    </row>
    <row r="19" spans="2:41" x14ac:dyDescent="0.25">
      <c r="C19" t="s">
        <v>660</v>
      </c>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f>'CI Facility'!$H$75</f>
        <v>21.564929332534593</v>
      </c>
      <c r="AK19" s="39">
        <f>'CI Facility'!$H$75</f>
        <v>21.564929332534593</v>
      </c>
      <c r="AL19" s="39">
        <f>'CI Facility'!$H$75</f>
        <v>21.564929332534593</v>
      </c>
      <c r="AM19" s="39">
        <f>'CI Facility'!$H$75</f>
        <v>21.564929332534593</v>
      </c>
      <c r="AN19" s="39"/>
      <c r="AO19" s="39"/>
    </row>
    <row r="20" spans="2:41" x14ac:dyDescent="0.25">
      <c r="C20" t="s">
        <v>651</v>
      </c>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f>CIA_Bio_T1</f>
        <v>41</v>
      </c>
      <c r="AG20" s="39">
        <f>CIA_Bio_T1</f>
        <v>41</v>
      </c>
      <c r="AH20" s="39">
        <f>CIA_Bio_T1</f>
        <v>41</v>
      </c>
      <c r="AI20" s="39">
        <f>CIA_Bio_T1</f>
        <v>41</v>
      </c>
      <c r="AJ20" s="39">
        <f>CIA_bio_T0</f>
        <v>40.5</v>
      </c>
      <c r="AK20" s="39">
        <f>CIA_bio_T0</f>
        <v>40.5</v>
      </c>
      <c r="AL20" s="39">
        <f>CIA_bio_T0</f>
        <v>40.5</v>
      </c>
      <c r="AM20" s="39">
        <f>CIA_bio_T0</f>
        <v>40.5</v>
      </c>
      <c r="AN20" s="39"/>
      <c r="AO20" s="39"/>
    </row>
    <row r="21" spans="2:41" x14ac:dyDescent="0.25">
      <c r="C21" t="s">
        <v>648</v>
      </c>
      <c r="D21">
        <v>17.25</v>
      </c>
      <c r="E21">
        <v>13.83</v>
      </c>
      <c r="F21">
        <v>17.53</v>
      </c>
      <c r="G21">
        <v>18.309999999999999</v>
      </c>
      <c r="H21">
        <v>34.76</v>
      </c>
      <c r="I21">
        <v>30.84</v>
      </c>
      <c r="J21">
        <v>36.82</v>
      </c>
      <c r="K21">
        <v>34.15</v>
      </c>
      <c r="L21">
        <v>33.97</v>
      </c>
      <c r="M21">
        <v>29.93</v>
      </c>
      <c r="N21">
        <v>29.61</v>
      </c>
      <c r="O21">
        <v>30.67</v>
      </c>
      <c r="P21">
        <v>28.46</v>
      </c>
      <c r="Q21">
        <v>26.98</v>
      </c>
      <c r="R21">
        <v>26.15</v>
      </c>
      <c r="S21">
        <v>26.34</v>
      </c>
      <c r="T21">
        <v>25.93</v>
      </c>
      <c r="U21" s="8">
        <v>27.25</v>
      </c>
      <c r="V21" s="8">
        <v>27.08</v>
      </c>
      <c r="W21" s="8">
        <v>29.92</v>
      </c>
      <c r="X21" s="8">
        <v>29.69</v>
      </c>
      <c r="Y21" s="8">
        <v>28.54</v>
      </c>
      <c r="Z21" s="8"/>
      <c r="AA21" s="8"/>
    </row>
    <row r="22" spans="2:41" x14ac:dyDescent="0.25">
      <c r="U22" s="8"/>
      <c r="V22" s="8"/>
      <c r="W22" s="8"/>
      <c r="X22" s="8"/>
      <c r="Y22" s="8"/>
      <c r="Z22" s="8"/>
      <c r="AA22" s="8"/>
    </row>
    <row r="23" spans="2:41" x14ac:dyDescent="0.25">
      <c r="D23" s="39"/>
      <c r="E23" s="39"/>
      <c r="F23" s="39"/>
      <c r="G23" s="39"/>
      <c r="H23" s="39"/>
      <c r="I23" s="39"/>
      <c r="J23" s="39"/>
      <c r="K23" s="39"/>
      <c r="L23" s="39"/>
      <c r="M23" s="39"/>
      <c r="N23" s="39"/>
      <c r="O23" s="39"/>
      <c r="P23" s="39"/>
      <c r="Q23" s="39"/>
      <c r="R23" s="39"/>
      <c r="S23" s="39"/>
      <c r="U23" s="39"/>
      <c r="V23" s="39"/>
      <c r="W23" s="39"/>
    </row>
    <row r="24" spans="2:41" x14ac:dyDescent="0.25">
      <c r="B24" t="s">
        <v>6</v>
      </c>
      <c r="C24" t="s">
        <v>655</v>
      </c>
      <c r="K24" s="39">
        <f t="shared" ref="K24:AE24" si="4">K8</f>
        <v>33.64</v>
      </c>
      <c r="L24" s="39">
        <f t="shared" si="4"/>
        <v>48.76</v>
      </c>
      <c r="M24" s="110">
        <f t="shared" si="4"/>
        <v>36.380000000000003</v>
      </c>
      <c r="N24" s="110">
        <f t="shared" si="4"/>
        <v>37.42</v>
      </c>
      <c r="O24" s="110">
        <f t="shared" si="4"/>
        <v>34.96</v>
      </c>
      <c r="P24" s="110">
        <f t="shared" si="4"/>
        <v>53.91</v>
      </c>
      <c r="Q24" s="110">
        <f t="shared" si="4"/>
        <v>44.74</v>
      </c>
      <c r="R24" s="110">
        <f t="shared" si="4"/>
        <v>29.88</v>
      </c>
      <c r="S24" s="110">
        <f t="shared" si="4"/>
        <v>28.25</v>
      </c>
      <c r="T24" s="110">
        <f t="shared" si="4"/>
        <v>27.32</v>
      </c>
      <c r="U24" s="110">
        <f t="shared" si="4"/>
        <v>30.18</v>
      </c>
      <c r="V24" s="110">
        <f t="shared" si="4"/>
        <v>64.02</v>
      </c>
      <c r="W24" s="110">
        <f t="shared" si="4"/>
        <v>39.46</v>
      </c>
      <c r="X24" s="110">
        <f t="shared" si="4"/>
        <v>63.84</v>
      </c>
      <c r="Y24" s="110">
        <f t="shared" si="4"/>
        <v>298.41000000000003</v>
      </c>
      <c r="Z24" s="110">
        <f t="shared" si="4"/>
        <v>48.95</v>
      </c>
      <c r="AA24" s="110">
        <f t="shared" si="4"/>
        <v>-1561.21</v>
      </c>
      <c r="AB24" s="110">
        <f t="shared" si="4"/>
        <v>44.83</v>
      </c>
      <c r="AC24" s="110">
        <f t="shared" si="4"/>
        <v>39.86</v>
      </c>
      <c r="AD24" s="110">
        <f t="shared" si="4"/>
        <v>19.690000000000001</v>
      </c>
      <c r="AE24" s="110">
        <f t="shared" si="4"/>
        <v>43.54</v>
      </c>
      <c r="AF24" s="39"/>
      <c r="AG24" s="39"/>
      <c r="AH24" s="39"/>
      <c r="AI24" s="39"/>
      <c r="AJ24" s="39"/>
      <c r="AK24" s="39"/>
      <c r="AL24" s="39"/>
      <c r="AM24" s="39"/>
      <c r="AN24" s="39"/>
      <c r="AO24" s="39"/>
    </row>
    <row r="25" spans="2:41" x14ac:dyDescent="0.25">
      <c r="C25" t="s">
        <v>660</v>
      </c>
      <c r="K25" s="39"/>
      <c r="L25" s="39"/>
      <c r="M25" s="39"/>
      <c r="N25" s="39"/>
      <c r="O25" s="39"/>
      <c r="P25" s="39"/>
      <c r="Q25" s="39"/>
      <c r="R25" s="39"/>
      <c r="S25" s="39"/>
      <c r="T25" s="39"/>
      <c r="U25" s="39"/>
      <c r="V25" s="39"/>
      <c r="W25" s="39"/>
      <c r="AB25" s="115"/>
      <c r="AC25" s="115"/>
      <c r="AD25" s="115"/>
      <c r="AE25" s="115"/>
      <c r="AF25" s="115"/>
      <c r="AG25" s="115"/>
      <c r="AH25" s="115"/>
      <c r="AI25" s="115"/>
      <c r="AJ25" s="115">
        <f>'CI Facility'!$H$94</f>
        <v>32.46339821409984</v>
      </c>
      <c r="AK25" s="115">
        <f>'CI Facility'!$H$94</f>
        <v>32.46339821409984</v>
      </c>
      <c r="AL25" s="115">
        <f>'CI Facility'!$H$94</f>
        <v>32.46339821409984</v>
      </c>
      <c r="AM25" s="115">
        <f>'CI Facility'!$H$94</f>
        <v>32.46339821409984</v>
      </c>
      <c r="AN25" s="115"/>
      <c r="AO25" s="115"/>
    </row>
    <row r="26" spans="2:41" x14ac:dyDescent="0.25">
      <c r="C26" t="s">
        <v>656</v>
      </c>
      <c r="K26" s="39"/>
      <c r="L26" s="39"/>
      <c r="M26" s="39"/>
      <c r="N26" s="39"/>
      <c r="O26" s="39"/>
      <c r="P26" s="39"/>
      <c r="Q26" s="39"/>
      <c r="R26" s="39"/>
      <c r="S26" s="39"/>
      <c r="T26" s="39"/>
      <c r="U26" s="39"/>
      <c r="V26" s="39"/>
      <c r="W26" s="39"/>
      <c r="X26" s="39"/>
      <c r="Y26" s="39"/>
      <c r="Z26" s="39"/>
      <c r="AA26" s="39"/>
      <c r="AB26" s="39"/>
      <c r="AC26" s="39"/>
      <c r="AD26" s="39"/>
      <c r="AE26" s="39"/>
      <c r="AF26" s="39">
        <f>CIA_ren_T1</f>
        <v>40.5</v>
      </c>
      <c r="AG26" s="39">
        <f>CIA_ren_T1</f>
        <v>40.5</v>
      </c>
      <c r="AH26" s="39">
        <f>CIA_ren_T1</f>
        <v>40.5</v>
      </c>
      <c r="AI26" s="39">
        <f>CIA_ren_T1</f>
        <v>40.5</v>
      </c>
      <c r="AJ26" s="39">
        <f>CIA_ren_T0</f>
        <v>41.45</v>
      </c>
      <c r="AK26" s="39">
        <f>CIA_ren_T0</f>
        <v>41.45</v>
      </c>
      <c r="AL26" s="39">
        <f>CIA_ren_T0</f>
        <v>41.45</v>
      </c>
      <c r="AM26" s="39">
        <f>CIA_ren_T0</f>
        <v>41.45</v>
      </c>
      <c r="AN26" s="39"/>
      <c r="AO26" s="39"/>
    </row>
    <row r="27" spans="2:41" x14ac:dyDescent="0.25">
      <c r="C27" t="s">
        <v>648</v>
      </c>
      <c r="D27">
        <v>52.89</v>
      </c>
      <c r="E27">
        <v>31.78</v>
      </c>
      <c r="F27">
        <v>30.2</v>
      </c>
      <c r="G27">
        <v>30.71</v>
      </c>
      <c r="H27">
        <v>30.11</v>
      </c>
      <c r="I27">
        <v>30.23</v>
      </c>
      <c r="J27">
        <v>30.39</v>
      </c>
      <c r="K27">
        <v>30.9</v>
      </c>
      <c r="L27">
        <v>30.9</v>
      </c>
      <c r="M27">
        <v>31.53</v>
      </c>
      <c r="N27">
        <v>32.200000000000003</v>
      </c>
      <c r="O27">
        <v>34.049999999999997</v>
      </c>
      <c r="P27">
        <v>36.39</v>
      </c>
      <c r="Q27">
        <v>34.25</v>
      </c>
      <c r="R27">
        <v>33.58</v>
      </c>
      <c r="S27">
        <v>34.119999999999997</v>
      </c>
      <c r="T27">
        <v>32.11</v>
      </c>
      <c r="U27" s="39">
        <v>35.049999999999997</v>
      </c>
      <c r="V27" s="39">
        <v>32.1</v>
      </c>
      <c r="W27" s="39">
        <v>32.880000000000003</v>
      </c>
      <c r="X27" s="39">
        <v>36.33</v>
      </c>
      <c r="Y27" s="39">
        <v>38.659999999999997</v>
      </c>
      <c r="Z27" s="39"/>
      <c r="AA27" s="39"/>
    </row>
    <row r="28" spans="2:41" x14ac:dyDescent="0.25">
      <c r="K28" s="39"/>
      <c r="L28" s="39"/>
      <c r="M28" s="39"/>
      <c r="N28" s="39"/>
      <c r="O28" s="39"/>
      <c r="P28" s="39"/>
      <c r="Q28" s="39"/>
      <c r="R28" s="39"/>
      <c r="S28" s="39"/>
      <c r="T28" s="39"/>
      <c r="U28" s="39"/>
      <c r="V28" s="39"/>
      <c r="W28" s="39"/>
    </row>
    <row r="33" spans="48:56" x14ac:dyDescent="0.25">
      <c r="AW33" t="s">
        <v>775</v>
      </c>
      <c r="AX33" t="s">
        <v>776</v>
      </c>
      <c r="AY33" t="s">
        <v>777</v>
      </c>
      <c r="AZ33" t="s">
        <v>778</v>
      </c>
      <c r="BB33" t="s">
        <v>922</v>
      </c>
      <c r="BD33" t="s">
        <v>923</v>
      </c>
    </row>
    <row r="34" spans="48:56" x14ac:dyDescent="0.25">
      <c r="AV34" t="s">
        <v>5</v>
      </c>
      <c r="AW34">
        <f>+AF6</f>
        <v>49.51</v>
      </c>
      <c r="AX34" s="8">
        <f>+$BD34</f>
        <v>51.479078007384594</v>
      </c>
      <c r="AY34" s="8">
        <f>+$BD34</f>
        <v>51.479078007384594</v>
      </c>
      <c r="AZ34" s="8">
        <f>+$BD34</f>
        <v>51.479078007384594</v>
      </c>
      <c r="BA34" s="8"/>
      <c r="BB34" s="8">
        <f>((AW34*Forecast_Main!AJ80)+('CI Trend'!AX34*Forecast_Main!AK80)+('CI Trend'!AY34*Forecast_Main!AL80)+('CI Trend'!AZ34*Forecast_Main!AM80))/SUM(Forecast_Main!AJ80:AM80)</f>
        <v>51.000000000000014</v>
      </c>
      <c r="BC34" s="8"/>
      <c r="BD34" s="8">
        <v>51.479078007384594</v>
      </c>
    </row>
    <row r="37" spans="48:56" x14ac:dyDescent="0.25">
      <c r="AW37" t="s">
        <v>775</v>
      </c>
      <c r="AX37" t="s">
        <v>776</v>
      </c>
      <c r="AY37" t="s">
        <v>777</v>
      </c>
      <c r="AZ37" t="s">
        <v>778</v>
      </c>
      <c r="BB37" t="s">
        <v>922</v>
      </c>
      <c r="BD37" t="s">
        <v>923</v>
      </c>
    </row>
    <row r="38" spans="48:56" x14ac:dyDescent="0.25">
      <c r="AV38" t="s">
        <v>7</v>
      </c>
      <c r="AW38">
        <f>+AF7</f>
        <v>45.52</v>
      </c>
      <c r="AX38" s="8">
        <f>+$BD38</f>
        <v>39.70368177426586</v>
      </c>
      <c r="AY38" s="8">
        <f>+$BD38</f>
        <v>39.70368177426586</v>
      </c>
      <c r="AZ38" s="8">
        <f>+$BD38</f>
        <v>39.70368177426586</v>
      </c>
      <c r="BA38" s="8"/>
      <c r="BB38" s="8">
        <f>((AW38*Forecast_Main!AJ86)+('CI Trend'!AX38*Forecast_Main!AK86)+('CI Trend'!AY38*Forecast_Main!AL86)+('CI Trend'!AZ38*Forecast_Main!AM86))/SUM(Forecast_Main!AJ86:AM86)</f>
        <v>41.000000000000014</v>
      </c>
      <c r="BC38" s="8"/>
      <c r="BD38" s="8">
        <v>39.70368177426586</v>
      </c>
    </row>
    <row r="41" spans="48:56" x14ac:dyDescent="0.25">
      <c r="AW41" t="s">
        <v>775</v>
      </c>
      <c r="AX41" t="s">
        <v>776</v>
      </c>
      <c r="AY41" t="s">
        <v>777</v>
      </c>
      <c r="AZ41" t="s">
        <v>778</v>
      </c>
      <c r="BB41" t="s">
        <v>922</v>
      </c>
      <c r="BD41" t="s">
        <v>923</v>
      </c>
    </row>
    <row r="42" spans="48:56" x14ac:dyDescent="0.25">
      <c r="AV42" t="s">
        <v>6</v>
      </c>
      <c r="AW42">
        <f>+AF8</f>
        <v>46.64</v>
      </c>
      <c r="AX42" s="8">
        <f>+$BD42</f>
        <v>37.70402872288814</v>
      </c>
      <c r="AY42" s="8">
        <f>+$BD42</f>
        <v>37.70402872288814</v>
      </c>
      <c r="AZ42" s="8">
        <f>+$BD42</f>
        <v>37.70402872288814</v>
      </c>
      <c r="BA42" s="8"/>
      <c r="BB42" s="8">
        <f>((AW42*Forecast_Main!AJ88)+('CI Trend'!AX42*Forecast_Main!AK88)+('CI Trend'!AY42*Forecast_Main!AL88)+('CI Trend'!AZ42*Forecast_Main!AM88))/SUM(Forecast_Main!AJ88:AM88)</f>
        <v>40.500000000000014</v>
      </c>
      <c r="BC42" s="8"/>
      <c r="BD42" s="8">
        <v>37.70402872288814</v>
      </c>
    </row>
  </sheetData>
  <mergeCells count="2">
    <mergeCell ref="A2:G2"/>
    <mergeCell ref="AQ3:AY3"/>
  </mergeCells>
  <phoneticPr fontId="32" type="noConversion"/>
  <pageMargins left="0.7" right="0.7" top="0.75" bottom="0.75" header="0.3" footer="0.3"/>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145"/>
  <sheetViews>
    <sheetView topLeftCell="A86" zoomScale="75" zoomScaleNormal="75" workbookViewId="0">
      <selection activeCell="E117" sqref="E117"/>
    </sheetView>
  </sheetViews>
  <sheetFormatPr defaultRowHeight="15" x14ac:dyDescent="0.25"/>
  <cols>
    <col min="1" max="1" width="19.28515625" customWidth="1"/>
    <col min="2" max="2" width="14.85546875" customWidth="1"/>
    <col min="3" max="3" width="9.7109375" bestFit="1" customWidth="1"/>
    <col min="4" max="4" width="18.85546875" customWidth="1"/>
    <col min="5" max="5" width="22.42578125" customWidth="1"/>
    <col min="6" max="6" width="22.140625" customWidth="1"/>
    <col min="8" max="8" width="24.140625" bestFit="1" customWidth="1"/>
    <col min="9" max="9" width="18.140625" customWidth="1"/>
    <col min="10" max="10" width="21.28515625" customWidth="1"/>
    <col min="12" max="16" width="16.42578125" customWidth="1"/>
    <col min="18" max="18" width="18.7109375" customWidth="1"/>
  </cols>
  <sheetData>
    <row r="1" spans="1:20" s="128" customFormat="1" ht="15.75" customHeight="1" x14ac:dyDescent="0.25">
      <c r="A1" s="15" t="s">
        <v>224</v>
      </c>
      <c r="B1" t="s">
        <v>5</v>
      </c>
      <c r="C1"/>
      <c r="D1"/>
      <c r="E1"/>
      <c r="L1" s="178" t="s">
        <v>650</v>
      </c>
      <c r="M1" s="178"/>
      <c r="N1" s="178"/>
      <c r="O1" s="178"/>
      <c r="P1" s="178"/>
      <c r="S1"/>
      <c r="T1"/>
    </row>
    <row r="2" spans="1:20" s="128" customFormat="1" ht="18.75" x14ac:dyDescent="0.3">
      <c r="A2" s="15" t="s">
        <v>219</v>
      </c>
      <c r="B2" s="92">
        <v>44927</v>
      </c>
      <c r="C2"/>
      <c r="D2"/>
      <c r="E2"/>
      <c r="H2" s="179" t="s">
        <v>5</v>
      </c>
      <c r="I2" s="179"/>
      <c r="J2" s="179"/>
      <c r="L2" s="178"/>
      <c r="M2" s="178"/>
      <c r="N2" s="178"/>
      <c r="O2" s="178"/>
      <c r="P2" s="178"/>
      <c r="S2"/>
      <c r="T2"/>
    </row>
    <row r="3" spans="1:20" x14ac:dyDescent="0.25">
      <c r="L3" s="178"/>
      <c r="M3" s="178"/>
      <c r="N3" s="178"/>
      <c r="O3" s="178"/>
      <c r="P3" s="178"/>
    </row>
    <row r="4" spans="1:20" x14ac:dyDescent="0.25">
      <c r="A4" s="15" t="s">
        <v>800</v>
      </c>
      <c r="H4" s="73" t="s">
        <v>619</v>
      </c>
      <c r="J4" s="59" t="s">
        <v>647</v>
      </c>
    </row>
    <row r="5" spans="1:20" x14ac:dyDescent="0.25">
      <c r="A5" s="15" t="s">
        <v>582</v>
      </c>
      <c r="B5" s="15" t="s">
        <v>796</v>
      </c>
      <c r="C5" s="15" t="s">
        <v>797</v>
      </c>
      <c r="D5" s="15" t="s">
        <v>798</v>
      </c>
      <c r="E5" t="s">
        <v>28</v>
      </c>
    </row>
    <row r="6" spans="1:20" x14ac:dyDescent="0.25">
      <c r="A6">
        <v>35.525000000000006</v>
      </c>
      <c r="B6" t="s">
        <v>17</v>
      </c>
      <c r="C6" t="s">
        <v>832</v>
      </c>
      <c r="D6" t="s">
        <v>547</v>
      </c>
      <c r="E6" s="9">
        <v>80000000</v>
      </c>
      <c r="H6" s="80">
        <f>IF(SUM(E6:E$6)&lt;E$39,E6,E$39-SUM(E5:E$5))</f>
        <v>80000000</v>
      </c>
      <c r="I6" s="80">
        <f>H6*A6</f>
        <v>2842000000.0000005</v>
      </c>
    </row>
    <row r="7" spans="1:20" x14ac:dyDescent="0.25">
      <c r="A7">
        <v>36.454999999999998</v>
      </c>
      <c r="B7" t="s">
        <v>14</v>
      </c>
      <c r="C7" t="s">
        <v>836</v>
      </c>
      <c r="D7" t="s">
        <v>887</v>
      </c>
      <c r="E7" s="9">
        <v>80000000</v>
      </c>
      <c r="H7" s="80">
        <f>IF(SUM(E$6:E7)&lt;E$39,E7,E$39-SUM(E$5:E6))</f>
        <v>69665874.100000024</v>
      </c>
      <c r="I7" s="80">
        <f>H7*A7</f>
        <v>2539669440.3155007</v>
      </c>
    </row>
    <row r="8" spans="1:20" x14ac:dyDescent="0.25">
      <c r="A8">
        <v>37.93</v>
      </c>
      <c r="B8" t="s">
        <v>14</v>
      </c>
      <c r="C8" t="s">
        <v>834</v>
      </c>
      <c r="D8" t="s">
        <v>541</v>
      </c>
      <c r="E8" s="9">
        <v>105000000</v>
      </c>
      <c r="H8" s="80">
        <f>IF(SUM(E$6:E8)&lt;E$39,E8,E$39-SUM(E$5:E7))</f>
        <v>-10334125.899999976</v>
      </c>
      <c r="I8" s="80">
        <f t="shared" ref="I8:I13" si="0">H8*A8</f>
        <v>-391973395.38699907</v>
      </c>
    </row>
    <row r="9" spans="1:20" x14ac:dyDescent="0.25">
      <c r="A9">
        <v>39.519999999999996</v>
      </c>
      <c r="B9" t="s">
        <v>14</v>
      </c>
      <c r="C9" t="s">
        <v>833</v>
      </c>
      <c r="D9" t="s">
        <v>542</v>
      </c>
      <c r="E9" s="9">
        <v>108983768</v>
      </c>
      <c r="H9" s="80">
        <f>IF(SUM(E$6:E9)&lt;E$39,E9,E$39-SUM(E$5:E8))</f>
        <v>-115334125.89999998</v>
      </c>
      <c r="I9" s="80">
        <f t="shared" si="0"/>
        <v>-4558004655.5679989</v>
      </c>
    </row>
    <row r="10" spans="1:20" x14ac:dyDescent="0.25">
      <c r="A10">
        <v>41.994999999999997</v>
      </c>
      <c r="B10" t="s">
        <v>12</v>
      </c>
      <c r="C10" t="s">
        <v>857</v>
      </c>
      <c r="D10" t="s">
        <v>615</v>
      </c>
      <c r="E10" s="9">
        <v>290756447</v>
      </c>
      <c r="H10" s="80">
        <f>IF(SUM(E$6:E10)&lt;E$39,E10,E$39-SUM(E$5:E9))</f>
        <v>-224317893.89999998</v>
      </c>
      <c r="I10" s="80">
        <f t="shared" si="0"/>
        <v>-9420229954.3304977</v>
      </c>
    </row>
    <row r="11" spans="1:20" x14ac:dyDescent="0.25">
      <c r="A11">
        <v>43.43</v>
      </c>
      <c r="B11" t="s">
        <v>14</v>
      </c>
      <c r="C11" t="s">
        <v>858</v>
      </c>
      <c r="D11" t="s">
        <v>543</v>
      </c>
      <c r="E11" s="9">
        <v>82125000</v>
      </c>
      <c r="H11" s="80">
        <f>IF(SUM(E$6:E11)&lt;E$39,E11,E$39-SUM(E$5:E10))</f>
        <v>-515074340.89999998</v>
      </c>
      <c r="I11" s="80">
        <f t="shared" si="0"/>
        <v>-22369678625.286999</v>
      </c>
    </row>
    <row r="12" spans="1:20" x14ac:dyDescent="0.25">
      <c r="A12">
        <v>43.733333333333327</v>
      </c>
      <c r="B12" t="s">
        <v>15</v>
      </c>
      <c r="C12" t="s">
        <v>835</v>
      </c>
      <c r="D12" t="s">
        <v>538</v>
      </c>
      <c r="E12" s="9">
        <v>82125000</v>
      </c>
      <c r="H12" s="80">
        <f>IF(SUM(E$6:E12)&lt;E$39,E12,E$39-SUM(E$5:E11))</f>
        <v>-597199340.89999998</v>
      </c>
      <c r="I12" s="80">
        <f t="shared" si="0"/>
        <v>-26117517842.026661</v>
      </c>
    </row>
    <row r="13" spans="1:20" x14ac:dyDescent="0.25">
      <c r="A13">
        <v>45.97999999999999</v>
      </c>
      <c r="B13" t="s">
        <v>14</v>
      </c>
      <c r="C13" t="s">
        <v>836</v>
      </c>
      <c r="D13" t="s">
        <v>616</v>
      </c>
      <c r="E13" s="9">
        <v>75000000</v>
      </c>
      <c r="H13" s="80">
        <f>IF(SUM(E$6:E13)&lt;E$39,E13,E$39-SUM(E$5:E12))</f>
        <v>-679324340.89999998</v>
      </c>
      <c r="I13" s="80">
        <f t="shared" si="0"/>
        <v>-31235333194.581993</v>
      </c>
    </row>
    <row r="14" spans="1:20" x14ac:dyDescent="0.25">
      <c r="A14">
        <v>46.640000000000008</v>
      </c>
      <c r="B14" t="s">
        <v>14</v>
      </c>
      <c r="C14" t="s">
        <v>848</v>
      </c>
      <c r="D14" t="s">
        <v>539</v>
      </c>
      <c r="E14" s="9">
        <v>81555600</v>
      </c>
    </row>
    <row r="15" spans="1:20" x14ac:dyDescent="0.25">
      <c r="A15">
        <v>47.066666666666656</v>
      </c>
      <c r="B15" t="s">
        <v>12</v>
      </c>
      <c r="C15" t="s">
        <v>837</v>
      </c>
      <c r="D15" t="s">
        <v>725</v>
      </c>
      <c r="E15" s="9">
        <v>90000000</v>
      </c>
    </row>
    <row r="16" spans="1:20" x14ac:dyDescent="0.25">
      <c r="A16">
        <v>47.083333333333329</v>
      </c>
      <c r="B16" t="s">
        <v>12</v>
      </c>
      <c r="C16" t="s">
        <v>838</v>
      </c>
      <c r="D16" t="s">
        <v>726</v>
      </c>
      <c r="E16" s="9">
        <v>80000000</v>
      </c>
    </row>
    <row r="17" spans="1:5" x14ac:dyDescent="0.25">
      <c r="A17">
        <v>48.140000000000015</v>
      </c>
      <c r="B17" t="s">
        <v>17</v>
      </c>
      <c r="C17" t="s">
        <v>842</v>
      </c>
      <c r="D17" t="s">
        <v>551</v>
      </c>
      <c r="E17" s="9">
        <v>30000000</v>
      </c>
    </row>
    <row r="18" spans="1:5" x14ac:dyDescent="0.25">
      <c r="A18">
        <v>48.166666666666671</v>
      </c>
      <c r="B18" t="s">
        <v>17</v>
      </c>
      <c r="C18" t="s">
        <v>839</v>
      </c>
      <c r="D18" t="s">
        <v>727</v>
      </c>
      <c r="E18" s="9">
        <v>81555600</v>
      </c>
    </row>
    <row r="19" spans="1:5" x14ac:dyDescent="0.25">
      <c r="A19">
        <v>48.45333333333334</v>
      </c>
      <c r="B19" t="s">
        <v>17</v>
      </c>
      <c r="C19" t="s">
        <v>840</v>
      </c>
      <c r="D19" t="s">
        <v>549</v>
      </c>
      <c r="E19" s="9">
        <v>30000000</v>
      </c>
    </row>
    <row r="20" spans="1:5" x14ac:dyDescent="0.25">
      <c r="A20">
        <v>49.23666666666665</v>
      </c>
      <c r="B20" t="s">
        <v>17</v>
      </c>
      <c r="C20" t="s">
        <v>841</v>
      </c>
      <c r="D20" t="s">
        <v>728</v>
      </c>
      <c r="E20" s="9">
        <v>65000000</v>
      </c>
    </row>
    <row r="21" spans="1:5" x14ac:dyDescent="0.25">
      <c r="A21">
        <v>49.543333333333337</v>
      </c>
      <c r="B21" t="s">
        <v>12</v>
      </c>
      <c r="C21" t="s">
        <v>844</v>
      </c>
      <c r="D21" t="s">
        <v>730</v>
      </c>
      <c r="E21" s="9">
        <v>60000000</v>
      </c>
    </row>
    <row r="22" spans="1:5" x14ac:dyDescent="0.25">
      <c r="A22">
        <v>49.896666666666668</v>
      </c>
      <c r="B22" t="s">
        <v>17</v>
      </c>
      <c r="C22" t="s">
        <v>843</v>
      </c>
      <c r="D22" t="s">
        <v>729</v>
      </c>
      <c r="E22" s="9">
        <v>90000000</v>
      </c>
    </row>
    <row r="23" spans="1:5" x14ac:dyDescent="0.25">
      <c r="A23">
        <v>51.08</v>
      </c>
      <c r="B23" t="s">
        <v>14</v>
      </c>
      <c r="C23" t="s">
        <v>845</v>
      </c>
      <c r="D23" t="s">
        <v>544</v>
      </c>
      <c r="E23" s="9">
        <v>82125000</v>
      </c>
    </row>
    <row r="24" spans="1:5" x14ac:dyDescent="0.25">
      <c r="A24">
        <v>51.75</v>
      </c>
      <c r="B24" t="s">
        <v>668</v>
      </c>
      <c r="C24" t="s">
        <v>847</v>
      </c>
      <c r="D24" t="s">
        <v>535</v>
      </c>
      <c r="E24" s="9">
        <v>65000000</v>
      </c>
    </row>
    <row r="25" spans="1:5" x14ac:dyDescent="0.25">
      <c r="A25">
        <v>54.12</v>
      </c>
      <c r="B25" t="s">
        <v>668</v>
      </c>
      <c r="C25" t="s">
        <v>846</v>
      </c>
      <c r="D25" t="s">
        <v>536</v>
      </c>
      <c r="E25" s="9">
        <v>5000000</v>
      </c>
    </row>
    <row r="26" spans="1:5" x14ac:dyDescent="0.25">
      <c r="A26">
        <v>54.2</v>
      </c>
      <c r="B26" t="s">
        <v>13</v>
      </c>
      <c r="C26" t="s">
        <v>851</v>
      </c>
      <c r="D26" t="s">
        <v>799</v>
      </c>
      <c r="E26" s="9">
        <v>65000000</v>
      </c>
    </row>
    <row r="27" spans="1:5" x14ac:dyDescent="0.25">
      <c r="A27">
        <v>54.25</v>
      </c>
      <c r="B27" t="s">
        <v>16</v>
      </c>
      <c r="C27" t="s">
        <v>850</v>
      </c>
      <c r="D27" t="s">
        <v>545</v>
      </c>
      <c r="E27" s="9">
        <v>40000000</v>
      </c>
    </row>
    <row r="28" spans="1:5" x14ac:dyDescent="0.25">
      <c r="A28">
        <v>54.64</v>
      </c>
      <c r="B28" t="s">
        <v>14</v>
      </c>
      <c r="C28" t="s">
        <v>849</v>
      </c>
      <c r="D28" t="s">
        <v>540</v>
      </c>
      <c r="E28" s="9">
        <v>30000000</v>
      </c>
    </row>
    <row r="29" spans="1:5" x14ac:dyDescent="0.25">
      <c r="A29">
        <v>56.18</v>
      </c>
      <c r="B29" t="s">
        <v>17</v>
      </c>
      <c r="C29" t="s">
        <v>853</v>
      </c>
      <c r="D29" t="s">
        <v>546</v>
      </c>
      <c r="E29" s="9">
        <v>70000000</v>
      </c>
    </row>
    <row r="30" spans="1:5" x14ac:dyDescent="0.25">
      <c r="A30">
        <v>58.41</v>
      </c>
      <c r="B30" t="s">
        <v>17</v>
      </c>
      <c r="C30" t="s">
        <v>854</v>
      </c>
      <c r="D30" t="s">
        <v>548</v>
      </c>
      <c r="E30" s="9">
        <v>81555600</v>
      </c>
    </row>
    <row r="31" spans="1:5" x14ac:dyDescent="0.25">
      <c r="A31">
        <v>58.994999999999997</v>
      </c>
      <c r="B31" t="s">
        <v>15</v>
      </c>
      <c r="C31" t="s">
        <v>852</v>
      </c>
      <c r="D31" t="s">
        <v>550</v>
      </c>
      <c r="E31" s="9">
        <v>75000000</v>
      </c>
    </row>
    <row r="32" spans="1:5" x14ac:dyDescent="0.25">
      <c r="A32">
        <v>59.155000000000001</v>
      </c>
      <c r="B32" t="s">
        <v>883</v>
      </c>
      <c r="C32" t="s">
        <v>884</v>
      </c>
      <c r="D32" t="s">
        <v>885</v>
      </c>
      <c r="E32" s="9">
        <v>54600000</v>
      </c>
    </row>
    <row r="33" spans="1:11" ht="15.75" thickBot="1" x14ac:dyDescent="0.3">
      <c r="A33">
        <v>59.464444444444425</v>
      </c>
      <c r="B33" t="s">
        <v>17</v>
      </c>
      <c r="C33" t="s">
        <v>856</v>
      </c>
      <c r="D33" t="s">
        <v>617</v>
      </c>
      <c r="E33" s="9">
        <v>60000000</v>
      </c>
    </row>
    <row r="34" spans="1:11" x14ac:dyDescent="0.25">
      <c r="A34">
        <v>59.95</v>
      </c>
      <c r="B34" t="s">
        <v>17</v>
      </c>
      <c r="C34" t="s">
        <v>854</v>
      </c>
      <c r="D34" t="s">
        <v>731</v>
      </c>
      <c r="E34" s="9">
        <v>148000000</v>
      </c>
      <c r="G34" s="158"/>
      <c r="H34" s="159"/>
      <c r="I34" s="159"/>
      <c r="J34" s="159"/>
      <c r="K34" s="160"/>
    </row>
    <row r="35" spans="1:11" ht="18.75" x14ac:dyDescent="0.3">
      <c r="A35">
        <v>59.954999999999998</v>
      </c>
      <c r="B35" t="s">
        <v>17</v>
      </c>
      <c r="C35" t="s">
        <v>854</v>
      </c>
      <c r="D35" t="s">
        <v>886</v>
      </c>
      <c r="E35" s="9">
        <v>40000000</v>
      </c>
      <c r="G35" s="161"/>
      <c r="H35" s="179" t="s">
        <v>5</v>
      </c>
      <c r="I35" s="179"/>
      <c r="J35" s="179"/>
      <c r="K35" s="162"/>
    </row>
    <row r="36" spans="1:11" x14ac:dyDescent="0.25">
      <c r="A36">
        <v>60.709999999999994</v>
      </c>
      <c r="B36" t="s">
        <v>13</v>
      </c>
      <c r="C36" t="s">
        <v>855</v>
      </c>
      <c r="D36" t="s">
        <v>537</v>
      </c>
      <c r="E36" s="9">
        <v>75000000</v>
      </c>
      <c r="G36" s="161"/>
      <c r="K36" s="162"/>
    </row>
    <row r="37" spans="1:11" x14ac:dyDescent="0.25">
      <c r="A37" t="s">
        <v>534</v>
      </c>
      <c r="E37" s="9">
        <v>2403382015</v>
      </c>
      <c r="G37" s="161"/>
      <c r="H37" s="73" t="s">
        <v>619</v>
      </c>
      <c r="J37" s="59" t="s">
        <v>647</v>
      </c>
      <c r="K37" s="162"/>
    </row>
    <row r="38" spans="1:11" ht="15.75" thickBot="1" x14ac:dyDescent="0.3">
      <c r="E38" s="9"/>
      <c r="G38" s="161"/>
      <c r="K38" s="162"/>
    </row>
    <row r="39" spans="1:11" ht="15.75" thickBot="1" x14ac:dyDescent="0.3">
      <c r="D39" s="30" t="s">
        <v>753</v>
      </c>
      <c r="E39" s="80">
        <f>'Table 1 - Volumes'!H6*1000000</f>
        <v>149665874.10000002</v>
      </c>
      <c r="G39" s="161"/>
      <c r="H39" s="95">
        <f>SUM(I6:I7)/SUM(H6:H7)</f>
        <v>35.957892690485416</v>
      </c>
      <c r="J39" s="105">
        <f>CIA_Eth_T0</f>
        <v>50</v>
      </c>
      <c r="K39" s="162"/>
    </row>
    <row r="40" spans="1:11" x14ac:dyDescent="0.25">
      <c r="D40" s="30"/>
      <c r="E40" s="80"/>
      <c r="G40" s="161"/>
      <c r="H40" s="115"/>
      <c r="J40" s="115"/>
      <c r="K40" s="162"/>
    </row>
    <row r="41" spans="1:11" ht="15.75" thickBot="1" x14ac:dyDescent="0.3">
      <c r="G41" s="163"/>
      <c r="H41" s="20"/>
      <c r="I41" s="20"/>
      <c r="J41" s="20"/>
      <c r="K41" s="164"/>
    </row>
    <row r="42" spans="1:11" x14ac:dyDescent="0.25">
      <c r="A42" s="15" t="s">
        <v>224</v>
      </c>
      <c r="B42" t="s">
        <v>7</v>
      </c>
      <c r="F42" s="9"/>
    </row>
    <row r="43" spans="1:11" ht="18.75" x14ac:dyDescent="0.3">
      <c r="A43" s="15" t="s">
        <v>219</v>
      </c>
      <c r="B43" s="92">
        <v>44927</v>
      </c>
      <c r="H43" s="179" t="s">
        <v>7</v>
      </c>
      <c r="I43" s="179"/>
      <c r="J43" s="179"/>
    </row>
    <row r="45" spans="1:11" x14ac:dyDescent="0.25">
      <c r="A45" s="15" t="s">
        <v>800</v>
      </c>
      <c r="H45" s="73" t="s">
        <v>619</v>
      </c>
      <c r="J45" s="59" t="s">
        <v>647</v>
      </c>
    </row>
    <row r="46" spans="1:11" x14ac:dyDescent="0.25">
      <c r="A46" s="15" t="s">
        <v>582</v>
      </c>
      <c r="B46" s="15" t="s">
        <v>796</v>
      </c>
      <c r="C46" s="15" t="s">
        <v>797</v>
      </c>
      <c r="D46" s="15" t="s">
        <v>798</v>
      </c>
      <c r="E46" t="s">
        <v>28</v>
      </c>
    </row>
    <row r="47" spans="1:11" x14ac:dyDescent="0.25">
      <c r="A47">
        <v>16.13</v>
      </c>
      <c r="B47" t="s">
        <v>732</v>
      </c>
      <c r="C47" t="s">
        <v>859</v>
      </c>
      <c r="D47" t="s">
        <v>733</v>
      </c>
      <c r="E47" s="9">
        <v>750000</v>
      </c>
      <c r="H47" s="80">
        <f>IF(SUM(E47:E$47)&lt;E$75,E47,E$94-SUM(E46:E$46))</f>
        <v>750000</v>
      </c>
      <c r="I47" s="80">
        <f>H47*A47</f>
        <v>12097500</v>
      </c>
    </row>
    <row r="48" spans="1:11" x14ac:dyDescent="0.25">
      <c r="A48">
        <v>20.99</v>
      </c>
      <c r="B48" t="s">
        <v>828</v>
      </c>
      <c r="C48" t="s">
        <v>860</v>
      </c>
      <c r="D48" t="s">
        <v>801</v>
      </c>
      <c r="E48" s="9">
        <v>51038199</v>
      </c>
      <c r="H48" s="80">
        <f>IF(SUM(E$47:E48)&lt;E$75,E48,E$94-SUM(E$46:E47))</f>
        <v>51038199</v>
      </c>
      <c r="I48" s="80">
        <f t="shared" ref="I48:I56" si="1">H48*A48</f>
        <v>1071291797.0099999</v>
      </c>
    </row>
    <row r="49" spans="1:9" x14ac:dyDescent="0.25">
      <c r="A49">
        <v>23.084000000000003</v>
      </c>
      <c r="B49" t="s">
        <v>673</v>
      </c>
      <c r="C49" t="s">
        <v>889</v>
      </c>
      <c r="D49" t="s">
        <v>890</v>
      </c>
      <c r="E49" s="9">
        <v>22000000</v>
      </c>
      <c r="H49" s="80">
        <f>IF(SUM(E$47:E49)&lt;E$75,E49,E$94-SUM(E$46:E48))</f>
        <v>22000000</v>
      </c>
      <c r="I49" s="80">
        <f t="shared" si="1"/>
        <v>507848000.00000006</v>
      </c>
    </row>
    <row r="50" spans="1:9" x14ac:dyDescent="0.25">
      <c r="A50">
        <v>24.173333333333336</v>
      </c>
      <c r="B50" t="s">
        <v>673</v>
      </c>
      <c r="C50" t="s">
        <v>897</v>
      </c>
      <c r="D50" t="s">
        <v>898</v>
      </c>
      <c r="E50" s="9">
        <v>12000000</v>
      </c>
      <c r="H50" s="80">
        <f>IF(SUM(E$47:E50)&lt;E$75,E50,E$94-SUM(E$46:E49))</f>
        <v>-27179240.248646528</v>
      </c>
      <c r="I50" s="80">
        <f t="shared" si="1"/>
        <v>-657012834.27728212</v>
      </c>
    </row>
    <row r="51" spans="1:9" x14ac:dyDescent="0.25">
      <c r="A51">
        <v>24.936666666666657</v>
      </c>
      <c r="B51" t="s">
        <v>16</v>
      </c>
      <c r="C51" t="s">
        <v>861</v>
      </c>
      <c r="D51" t="s">
        <v>604</v>
      </c>
      <c r="E51" s="9">
        <v>17000000</v>
      </c>
      <c r="H51" s="80">
        <f>IF(SUM(E$47:E51)&lt;E$75,E51,E$94-SUM(E$46:E50))</f>
        <v>-39179240.248646528</v>
      </c>
      <c r="I51" s="80">
        <f t="shared" si="1"/>
        <v>-976999654.33374858</v>
      </c>
    </row>
    <row r="52" spans="1:9" x14ac:dyDescent="0.25">
      <c r="A52">
        <v>27.48</v>
      </c>
      <c r="B52" t="s">
        <v>862</v>
      </c>
      <c r="C52" t="s">
        <v>863</v>
      </c>
      <c r="D52" t="s">
        <v>734</v>
      </c>
      <c r="E52" s="9">
        <v>5000000</v>
      </c>
      <c r="H52" s="80">
        <f>IF(SUM(E$47:E52)&lt;E$75,E52,E$94-SUM(E$46:E51))</f>
        <v>-56179240.248646528</v>
      </c>
      <c r="I52" s="80">
        <f t="shared" si="1"/>
        <v>-1543805522.0328066</v>
      </c>
    </row>
    <row r="53" spans="1:9" x14ac:dyDescent="0.25">
      <c r="A53">
        <v>27.51799999999999</v>
      </c>
      <c r="B53" t="s">
        <v>13</v>
      </c>
      <c r="C53" t="s">
        <v>866</v>
      </c>
      <c r="D53" t="s">
        <v>606</v>
      </c>
      <c r="E53" s="9">
        <v>130000000</v>
      </c>
      <c r="H53" s="80">
        <f>IF(SUM(E$47:E53)&lt;E$75,E53,E$94-SUM(E$46:E52))</f>
        <v>-61179240.248646528</v>
      </c>
      <c r="I53" s="80">
        <f t="shared" si="1"/>
        <v>-1683530333.1622546</v>
      </c>
    </row>
    <row r="54" spans="1:9" x14ac:dyDescent="0.25">
      <c r="A54">
        <v>29.509999999999998</v>
      </c>
      <c r="B54" t="s">
        <v>891</v>
      </c>
      <c r="C54" t="s">
        <v>892</v>
      </c>
      <c r="D54" t="s">
        <v>893</v>
      </c>
      <c r="E54" s="9">
        <v>34675000</v>
      </c>
      <c r="H54" s="80">
        <f>IF(SUM(E$47:E54)&lt;E$75,E54,E$94-SUM(E$46:E53))</f>
        <v>-191179240.24864653</v>
      </c>
      <c r="I54" s="80">
        <f t="shared" si="1"/>
        <v>-5641699379.7375584</v>
      </c>
    </row>
    <row r="55" spans="1:9" x14ac:dyDescent="0.25">
      <c r="A55">
        <v>29.58</v>
      </c>
      <c r="B55" t="s">
        <v>742</v>
      </c>
      <c r="C55" t="s">
        <v>895</v>
      </c>
      <c r="D55" t="s">
        <v>896</v>
      </c>
      <c r="E55" s="9">
        <v>30000000</v>
      </c>
      <c r="H55" s="80">
        <f>IF(SUM(E$47:E55)&lt;E$75,E55,E$94-SUM(E$46:E54))</f>
        <v>-225854240.24864653</v>
      </c>
      <c r="I55" s="80">
        <f t="shared" si="1"/>
        <v>-6680768426.5549641</v>
      </c>
    </row>
    <row r="56" spans="1:9" x14ac:dyDescent="0.25">
      <c r="A56">
        <v>29.704999999999998</v>
      </c>
      <c r="B56" t="s">
        <v>608</v>
      </c>
      <c r="C56" t="s">
        <v>865</v>
      </c>
      <c r="D56" t="s">
        <v>609</v>
      </c>
      <c r="E56" s="9">
        <v>110000000</v>
      </c>
      <c r="H56" s="80">
        <f>IF(SUM(E$47:E56)&lt;E$75,E56,E$94-SUM(E$46:E55))</f>
        <v>-255854240.24864653</v>
      </c>
      <c r="I56" s="80">
        <f t="shared" si="1"/>
        <v>-7600150206.5860443</v>
      </c>
    </row>
    <row r="57" spans="1:9" x14ac:dyDescent="0.25">
      <c r="A57">
        <v>30</v>
      </c>
      <c r="B57" t="s">
        <v>608</v>
      </c>
      <c r="C57" t="s">
        <v>864</v>
      </c>
      <c r="D57" t="s">
        <v>735</v>
      </c>
      <c r="E57" s="9">
        <v>14000000</v>
      </c>
    </row>
    <row r="58" spans="1:9" x14ac:dyDescent="0.25">
      <c r="A58">
        <v>30.77</v>
      </c>
      <c r="B58" t="s">
        <v>737</v>
      </c>
      <c r="C58" t="s">
        <v>864</v>
      </c>
      <c r="D58" t="s">
        <v>738</v>
      </c>
      <c r="E58" s="9">
        <v>12000000</v>
      </c>
    </row>
    <row r="59" spans="1:9" x14ac:dyDescent="0.25">
      <c r="A59">
        <v>31.67</v>
      </c>
      <c r="B59" t="s">
        <v>862</v>
      </c>
      <c r="C59" t="s">
        <v>863</v>
      </c>
      <c r="D59" t="s">
        <v>894</v>
      </c>
      <c r="E59" s="9">
        <v>16706637</v>
      </c>
    </row>
    <row r="60" spans="1:9" x14ac:dyDescent="0.25">
      <c r="A60">
        <v>32</v>
      </c>
      <c r="B60" t="s">
        <v>605</v>
      </c>
      <c r="C60" t="s">
        <v>864</v>
      </c>
      <c r="D60" t="s">
        <v>736</v>
      </c>
      <c r="E60" s="9">
        <v>13000000</v>
      </c>
    </row>
    <row r="61" spans="1:9" x14ac:dyDescent="0.25">
      <c r="A61">
        <v>32.859999999999992</v>
      </c>
      <c r="B61" t="s">
        <v>670</v>
      </c>
      <c r="C61" t="s">
        <v>870</v>
      </c>
      <c r="D61" t="s">
        <v>739</v>
      </c>
      <c r="E61" s="9">
        <v>60000000</v>
      </c>
    </row>
    <row r="62" spans="1:9" x14ac:dyDescent="0.25">
      <c r="A62">
        <v>33.285714285714285</v>
      </c>
      <c r="B62" t="s">
        <v>670</v>
      </c>
      <c r="C62" t="s">
        <v>867</v>
      </c>
      <c r="D62" t="s">
        <v>671</v>
      </c>
      <c r="E62" s="9">
        <v>60000000</v>
      </c>
    </row>
    <row r="63" spans="1:9" x14ac:dyDescent="0.25">
      <c r="A63">
        <v>34.433333333333337</v>
      </c>
      <c r="B63" t="s">
        <v>12</v>
      </c>
      <c r="C63" t="s">
        <v>868</v>
      </c>
      <c r="D63" t="s">
        <v>610</v>
      </c>
      <c r="E63" s="9">
        <v>60000000</v>
      </c>
    </row>
    <row r="64" spans="1:9" x14ac:dyDescent="0.25">
      <c r="A64">
        <v>35.166666666666664</v>
      </c>
      <c r="B64" t="s">
        <v>12</v>
      </c>
      <c r="C64" t="s">
        <v>869</v>
      </c>
      <c r="D64" t="s">
        <v>618</v>
      </c>
      <c r="E64" s="9">
        <v>55300000</v>
      </c>
    </row>
    <row r="65" spans="1:11" x14ac:dyDescent="0.25">
      <c r="A65">
        <v>43.558571428571426</v>
      </c>
      <c r="B65" t="s">
        <v>828</v>
      </c>
      <c r="C65" t="s">
        <v>876</v>
      </c>
      <c r="D65" t="s">
        <v>744</v>
      </c>
      <c r="E65" s="9">
        <v>20000000</v>
      </c>
    </row>
    <row r="66" spans="1:11" x14ac:dyDescent="0.25">
      <c r="A66">
        <v>46.41</v>
      </c>
      <c r="B66" t="s">
        <v>16</v>
      </c>
      <c r="C66" t="s">
        <v>872</v>
      </c>
      <c r="D66" t="s">
        <v>740</v>
      </c>
      <c r="E66" s="9">
        <v>94500000</v>
      </c>
    </row>
    <row r="67" spans="1:11" x14ac:dyDescent="0.25">
      <c r="A67">
        <v>46.51</v>
      </c>
      <c r="B67" t="s">
        <v>828</v>
      </c>
      <c r="C67" t="s">
        <v>873</v>
      </c>
      <c r="D67" t="s">
        <v>612</v>
      </c>
      <c r="E67" s="9">
        <v>30000000</v>
      </c>
    </row>
    <row r="68" spans="1:11" ht="15.75" thickBot="1" x14ac:dyDescent="0.3">
      <c r="A68">
        <v>51</v>
      </c>
      <c r="B68" t="s">
        <v>607</v>
      </c>
      <c r="C68" t="s">
        <v>871</v>
      </c>
      <c r="D68" t="s">
        <v>611</v>
      </c>
      <c r="E68" s="9">
        <v>84000000</v>
      </c>
    </row>
    <row r="69" spans="1:11" x14ac:dyDescent="0.25">
      <c r="A69">
        <v>52.81</v>
      </c>
      <c r="B69" t="s">
        <v>12</v>
      </c>
      <c r="C69" t="s">
        <v>874</v>
      </c>
      <c r="D69" t="s">
        <v>741</v>
      </c>
      <c r="E69" s="9">
        <v>75508819</v>
      </c>
      <c r="G69" s="158"/>
      <c r="H69" s="159"/>
      <c r="I69" s="159"/>
      <c r="J69" s="159"/>
      <c r="K69" s="160"/>
    </row>
    <row r="70" spans="1:11" x14ac:dyDescent="0.25">
      <c r="A70">
        <v>53.545000000000002</v>
      </c>
      <c r="B70" t="s">
        <v>12</v>
      </c>
      <c r="C70" t="s">
        <v>875</v>
      </c>
      <c r="D70" t="s">
        <v>657</v>
      </c>
      <c r="E70" s="9">
        <v>69350000</v>
      </c>
      <c r="G70" s="161"/>
      <c r="K70" s="162"/>
    </row>
    <row r="71" spans="1:11" ht="18.75" x14ac:dyDescent="0.3">
      <c r="A71">
        <v>53.57</v>
      </c>
      <c r="B71" t="s">
        <v>742</v>
      </c>
      <c r="C71" t="s">
        <v>874</v>
      </c>
      <c r="D71" t="s">
        <v>743</v>
      </c>
      <c r="E71" s="9">
        <v>41601085</v>
      </c>
      <c r="G71" s="161"/>
      <c r="H71" s="179" t="s">
        <v>7</v>
      </c>
      <c r="I71" s="179"/>
      <c r="J71" s="179"/>
      <c r="K71" s="162"/>
    </row>
    <row r="72" spans="1:11" x14ac:dyDescent="0.25">
      <c r="A72">
        <v>54.94</v>
      </c>
      <c r="B72" t="s">
        <v>742</v>
      </c>
      <c r="C72" t="s">
        <v>875</v>
      </c>
      <c r="D72" t="s">
        <v>888</v>
      </c>
      <c r="E72" s="9">
        <v>69350000</v>
      </c>
      <c r="G72" s="161"/>
      <c r="K72" s="162"/>
    </row>
    <row r="73" spans="1:11" x14ac:dyDescent="0.25">
      <c r="A73" t="s">
        <v>534</v>
      </c>
      <c r="E73" s="9">
        <v>1187779740</v>
      </c>
      <c r="G73" s="161"/>
      <c r="H73" s="73" t="s">
        <v>619</v>
      </c>
      <c r="J73" s="59" t="s">
        <v>647</v>
      </c>
      <c r="K73" s="162"/>
    </row>
    <row r="74" spans="1:11" ht="15.75" thickBot="1" x14ac:dyDescent="0.3">
      <c r="E74" s="9"/>
      <c r="G74" s="161"/>
      <c r="K74" s="162"/>
    </row>
    <row r="75" spans="1:11" ht="15.75" thickBot="1" x14ac:dyDescent="0.3">
      <c r="D75" s="30" t="s">
        <v>753</v>
      </c>
      <c r="E75" s="80">
        <f>'Table 1 - Volumes'!H11*1000000</f>
        <v>81638879.498646528</v>
      </c>
      <c r="G75" s="161"/>
      <c r="H75" s="95">
        <f>SUM(I47:I49)/SUM(H47:H49)</f>
        <v>21.564929332534593</v>
      </c>
      <c r="J75" s="105">
        <f>CIA_bio_T0</f>
        <v>40.5</v>
      </c>
      <c r="K75" s="162"/>
    </row>
    <row r="76" spans="1:11" x14ac:dyDescent="0.25">
      <c r="G76" s="161"/>
      <c r="K76" s="162"/>
    </row>
    <row r="77" spans="1:11" ht="15.75" thickBot="1" x14ac:dyDescent="0.3">
      <c r="F77" s="9"/>
      <c r="G77" s="163"/>
      <c r="H77" s="20"/>
      <c r="I77" s="20"/>
      <c r="J77" s="20"/>
      <c r="K77" s="164"/>
    </row>
    <row r="78" spans="1:11" x14ac:dyDescent="0.25">
      <c r="A78" s="15" t="s">
        <v>224</v>
      </c>
      <c r="B78" t="s">
        <v>6</v>
      </c>
      <c r="F78" s="9"/>
    </row>
    <row r="79" spans="1:11" ht="18.75" x14ac:dyDescent="0.3">
      <c r="A79" s="15" t="s">
        <v>219</v>
      </c>
      <c r="B79" s="92">
        <v>44927</v>
      </c>
      <c r="H79" s="179" t="s">
        <v>6</v>
      </c>
      <c r="I79" s="179"/>
      <c r="J79" s="179"/>
    </row>
    <row r="81" spans="1:11" x14ac:dyDescent="0.25">
      <c r="A81" s="15" t="s">
        <v>800</v>
      </c>
      <c r="H81" s="73" t="s">
        <v>619</v>
      </c>
      <c r="J81" s="59" t="s">
        <v>647</v>
      </c>
    </row>
    <row r="82" spans="1:11" x14ac:dyDescent="0.25">
      <c r="A82" s="15" t="s">
        <v>582</v>
      </c>
      <c r="B82" s="15" t="s">
        <v>796</v>
      </c>
      <c r="C82" s="15" t="s">
        <v>797</v>
      </c>
      <c r="D82" s="15" t="s">
        <v>798</v>
      </c>
      <c r="E82" t="s">
        <v>28</v>
      </c>
    </row>
    <row r="83" spans="1:11" x14ac:dyDescent="0.25">
      <c r="A83">
        <v>31.714285714285715</v>
      </c>
      <c r="B83" t="s">
        <v>613</v>
      </c>
      <c r="C83" t="s">
        <v>877</v>
      </c>
      <c r="D83" t="s">
        <v>614</v>
      </c>
      <c r="E83" s="9">
        <v>34675000</v>
      </c>
      <c r="H83" s="80">
        <f>IF(SUM(E$83:E83)&lt;E$94,E83,E$94-SUM(E$82:E82))</f>
        <v>34675000</v>
      </c>
      <c r="I83" s="80">
        <f>H83*A83</f>
        <v>1099692857.1428571</v>
      </c>
    </row>
    <row r="84" spans="1:11" x14ac:dyDescent="0.25">
      <c r="A84">
        <v>34.64</v>
      </c>
      <c r="B84" t="s">
        <v>613</v>
      </c>
      <c r="C84" t="s">
        <v>902</v>
      </c>
      <c r="D84" t="s">
        <v>905</v>
      </c>
      <c r="E84" s="9">
        <v>730000000</v>
      </c>
      <c r="H84" s="80">
        <f>IF(SUM(E$83:E84)&lt;E$94,E84,E$94-SUM(E$82:E83))</f>
        <v>11933958.751353472</v>
      </c>
      <c r="I84" s="80">
        <f t="shared" ref="I84:I87" si="2">H84*A84</f>
        <v>413392331.14688432</v>
      </c>
    </row>
    <row r="85" spans="1:11" x14ac:dyDescent="0.25">
      <c r="A85">
        <v>34.76</v>
      </c>
      <c r="B85" t="s">
        <v>672</v>
      </c>
      <c r="C85" t="s">
        <v>878</v>
      </c>
      <c r="D85" t="s">
        <v>672</v>
      </c>
      <c r="E85" s="9">
        <v>116000000</v>
      </c>
      <c r="H85" s="80">
        <f>IF(SUM(E$83:E85)&lt;E$94,E85,E$94-SUM(E$82:E84))</f>
        <v>-718066041.2486465</v>
      </c>
      <c r="I85" s="80">
        <f t="shared" si="2"/>
        <v>-24959975593.802952</v>
      </c>
    </row>
    <row r="86" spans="1:11" x14ac:dyDescent="0.25">
      <c r="A86">
        <v>40.927999999999997</v>
      </c>
      <c r="B86" t="s">
        <v>15</v>
      </c>
      <c r="C86" t="s">
        <v>879</v>
      </c>
      <c r="D86" t="s">
        <v>675</v>
      </c>
      <c r="E86" s="9">
        <v>184000000</v>
      </c>
      <c r="H86" s="80">
        <f>IF(SUM(E$83:E86)&lt;E$94,E86,E$94-SUM(E$82:E85))</f>
        <v>-834066041.2486465</v>
      </c>
      <c r="I86" s="80">
        <f t="shared" si="2"/>
        <v>-34136654936.224602</v>
      </c>
    </row>
    <row r="87" spans="1:11" x14ac:dyDescent="0.25">
      <c r="A87">
        <v>43.425000000000004</v>
      </c>
      <c r="E87" s="9">
        <v>153300000</v>
      </c>
      <c r="H87" s="80">
        <f>IF(SUM(E$83:E87)&lt;E$94,E87,E$94-SUM(E$82:E86))</f>
        <v>-1018066041.2486465</v>
      </c>
      <c r="I87" s="80">
        <f t="shared" si="2"/>
        <v>-44209517841.222481</v>
      </c>
    </row>
    <row r="88" spans="1:11" ht="15.75" thickBot="1" x14ac:dyDescent="0.3">
      <c r="A88">
        <v>47.699999999999996</v>
      </c>
      <c r="B88" t="s">
        <v>673</v>
      </c>
      <c r="C88" t="s">
        <v>881</v>
      </c>
      <c r="D88" t="s">
        <v>904</v>
      </c>
      <c r="E88" s="9">
        <v>180000000</v>
      </c>
    </row>
    <row r="89" spans="1:11" x14ac:dyDescent="0.25">
      <c r="A89">
        <v>51.5</v>
      </c>
      <c r="B89" t="s">
        <v>607</v>
      </c>
      <c r="C89" t="s">
        <v>880</v>
      </c>
      <c r="D89" t="s">
        <v>674</v>
      </c>
      <c r="E89" s="9">
        <v>34675000</v>
      </c>
      <c r="G89" s="158"/>
      <c r="H89" s="159"/>
      <c r="I89" s="159"/>
      <c r="J89" s="159"/>
      <c r="K89" s="160"/>
    </row>
    <row r="90" spans="1:11" ht="18.75" x14ac:dyDescent="0.3">
      <c r="A90">
        <v>55</v>
      </c>
      <c r="B90" t="s">
        <v>899</v>
      </c>
      <c r="C90" t="s">
        <v>900</v>
      </c>
      <c r="D90" t="s">
        <v>901</v>
      </c>
      <c r="E90" s="9">
        <v>137970000</v>
      </c>
      <c r="G90" s="161"/>
      <c r="H90" s="179" t="s">
        <v>6</v>
      </c>
      <c r="I90" s="179"/>
      <c r="J90" s="179"/>
      <c r="K90" s="162"/>
    </row>
    <row r="91" spans="1:11" x14ac:dyDescent="0.25">
      <c r="A91">
        <v>70.55</v>
      </c>
      <c r="B91" t="s">
        <v>605</v>
      </c>
      <c r="C91" t="s">
        <v>902</v>
      </c>
      <c r="D91" t="s">
        <v>903</v>
      </c>
      <c r="E91" s="9">
        <v>470000000</v>
      </c>
      <c r="G91" s="161"/>
      <c r="K91" s="162"/>
    </row>
    <row r="92" spans="1:11" x14ac:dyDescent="0.25">
      <c r="A92" t="s">
        <v>534</v>
      </c>
      <c r="E92" s="9">
        <v>2040620000</v>
      </c>
      <c r="G92" s="161"/>
      <c r="H92" s="73" t="s">
        <v>619</v>
      </c>
      <c r="J92" s="59" t="s">
        <v>647</v>
      </c>
      <c r="K92" s="162"/>
    </row>
    <row r="93" spans="1:11" ht="15.75" thickBot="1" x14ac:dyDescent="0.3">
      <c r="E93" s="9"/>
      <c r="G93" s="161"/>
      <c r="K93" s="162"/>
    </row>
    <row r="94" spans="1:11" ht="15.75" thickBot="1" x14ac:dyDescent="0.3">
      <c r="D94" s="30" t="s">
        <v>753</v>
      </c>
      <c r="E94" s="80">
        <f>'Table 1 - Volumes'!H13*1000000</f>
        <v>46608958.751353472</v>
      </c>
      <c r="G94" s="161"/>
      <c r="H94" s="95">
        <f>SUM(I83:I84)/SUM(H83:H84)</f>
        <v>32.46339821409984</v>
      </c>
      <c r="J94" s="116">
        <f>CIA_ren_T0</f>
        <v>41.45</v>
      </c>
      <c r="K94" s="162"/>
    </row>
    <row r="95" spans="1:11" ht="15.75" thickBot="1" x14ac:dyDescent="0.3">
      <c r="E95" s="9"/>
      <c r="G95" s="163"/>
      <c r="H95" s="20"/>
      <c r="I95" s="20"/>
      <c r="J95" s="20"/>
      <c r="K95" s="164"/>
    </row>
    <row r="97" spans="1:11" ht="18.75" x14ac:dyDescent="0.3">
      <c r="A97" s="15" t="s">
        <v>224</v>
      </c>
      <c r="B97" t="s">
        <v>882</v>
      </c>
      <c r="F97" s="9"/>
      <c r="H97" s="179" t="s">
        <v>10</v>
      </c>
      <c r="I97" s="179"/>
      <c r="J97" s="179"/>
    </row>
    <row r="98" spans="1:11" x14ac:dyDescent="0.25">
      <c r="A98" s="15" t="s">
        <v>219</v>
      </c>
      <c r="B98" s="92">
        <v>44927</v>
      </c>
    </row>
    <row r="100" spans="1:11" x14ac:dyDescent="0.25">
      <c r="A100" s="15" t="s">
        <v>800</v>
      </c>
      <c r="H100" s="73" t="s">
        <v>619</v>
      </c>
      <c r="J100" s="59" t="s">
        <v>647</v>
      </c>
    </row>
    <row r="101" spans="1:11" x14ac:dyDescent="0.25">
      <c r="A101" s="15" t="s">
        <v>582</v>
      </c>
      <c r="B101" s="15" t="s">
        <v>796</v>
      </c>
      <c r="C101" s="15" t="s">
        <v>797</v>
      </c>
      <c r="D101" s="15" t="s">
        <v>798</v>
      </c>
      <c r="E101" t="s">
        <v>28</v>
      </c>
      <c r="F101" s="125" t="s">
        <v>752</v>
      </c>
    </row>
    <row r="102" spans="1:11" x14ac:dyDescent="0.25">
      <c r="A102">
        <v>-344.39</v>
      </c>
      <c r="B102" t="s">
        <v>745</v>
      </c>
      <c r="C102" t="s">
        <v>827</v>
      </c>
      <c r="D102" t="s">
        <v>910</v>
      </c>
      <c r="E102" s="9">
        <v>747207</v>
      </c>
      <c r="F102" s="9">
        <f t="shared" ref="F102:F112" si="3">E102/F$117</f>
        <v>6046.8317552804083</v>
      </c>
      <c r="H102" s="80">
        <f>IF(SUM(F$102:F102)&lt;E$117,F102,E$117-SUM(F$101:F101))</f>
        <v>6046.8317552804083</v>
      </c>
      <c r="I102" s="80">
        <f>H102*A102</f>
        <v>-2082468.3882010197</v>
      </c>
    </row>
    <row r="103" spans="1:11" x14ac:dyDescent="0.25">
      <c r="A103">
        <v>-271.64</v>
      </c>
      <c r="B103" t="s">
        <v>745</v>
      </c>
      <c r="C103" t="s">
        <v>827</v>
      </c>
      <c r="D103" t="s">
        <v>911</v>
      </c>
      <c r="E103" s="9">
        <v>833745</v>
      </c>
      <c r="F103" s="9">
        <f t="shared" si="3"/>
        <v>6747.1473658655013</v>
      </c>
      <c r="H103" s="80">
        <f>IF(SUM(F$102:F103)&lt;E$117,F103,E$117-SUM(F$101:F102))</f>
        <v>6747.1473658655013</v>
      </c>
      <c r="I103" s="80">
        <f>H103*A103</f>
        <v>-1832795.1104637047</v>
      </c>
    </row>
    <row r="104" spans="1:11" x14ac:dyDescent="0.25">
      <c r="A104">
        <v>-219.36</v>
      </c>
      <c r="B104" t="s">
        <v>607</v>
      </c>
      <c r="C104" t="s">
        <v>827</v>
      </c>
      <c r="D104" t="s">
        <v>906</v>
      </c>
      <c r="E104" s="9">
        <v>1515785</v>
      </c>
      <c r="F104" s="9">
        <f t="shared" si="3"/>
        <v>12266.610018612933</v>
      </c>
      <c r="H104" s="80">
        <f>IF(SUM(F$102:F104)&lt;E$117,F104,E$117-SUM(F$101:F103))</f>
        <v>12266.610018612933</v>
      </c>
      <c r="I104" s="80">
        <f t="shared" ref="I104:I109" si="4">H104*A104</f>
        <v>-2690803.5736829331</v>
      </c>
    </row>
    <row r="105" spans="1:11" x14ac:dyDescent="0.25">
      <c r="A105">
        <v>-204.07</v>
      </c>
      <c r="B105" t="s">
        <v>745</v>
      </c>
      <c r="C105" t="s">
        <v>827</v>
      </c>
      <c r="D105" t="s">
        <v>909</v>
      </c>
      <c r="E105" s="9">
        <v>816730</v>
      </c>
      <c r="F105" s="9">
        <f t="shared" si="3"/>
        <v>6609.4521323945946</v>
      </c>
      <c r="H105" s="80">
        <f>IF(SUM(F$102:F105)&lt;E$117,F105,E$117-SUM(F$101:F104))</f>
        <v>6609.4521323945946</v>
      </c>
      <c r="I105" s="80">
        <f t="shared" si="4"/>
        <v>-1348790.8966577649</v>
      </c>
    </row>
    <row r="106" spans="1:11" x14ac:dyDescent="0.25">
      <c r="A106">
        <v>-194.77</v>
      </c>
      <c r="B106" t="s">
        <v>745</v>
      </c>
      <c r="C106" t="s">
        <v>827</v>
      </c>
      <c r="D106" t="s">
        <v>907</v>
      </c>
      <c r="E106" s="9">
        <v>200020</v>
      </c>
      <c r="F106" s="9">
        <f t="shared" si="3"/>
        <v>1618.6776725742495</v>
      </c>
      <c r="H106" s="80">
        <f>IF(SUM(F$102:F106)&lt;E$117,F106,E$117-SUM(F$101:F105))</f>
        <v>1618.6776725742495</v>
      </c>
      <c r="I106" s="80">
        <f t="shared" si="4"/>
        <v>-315269.85028728662</v>
      </c>
    </row>
    <row r="107" spans="1:11" x14ac:dyDescent="0.25">
      <c r="A107">
        <v>31.48</v>
      </c>
      <c r="B107" t="s">
        <v>828</v>
      </c>
      <c r="C107" t="s">
        <v>829</v>
      </c>
      <c r="D107" t="s">
        <v>658</v>
      </c>
      <c r="E107" s="9">
        <v>1730000000</v>
      </c>
      <c r="F107" s="9">
        <f t="shared" si="3"/>
        <v>14000161.851582101</v>
      </c>
      <c r="H107" s="80">
        <f>IF(SUM(F$102:F107)&lt;E$117,F107,E$117-SUM(F$101:F106))</f>
        <v>4299541.2810552726</v>
      </c>
      <c r="I107" s="80">
        <f t="shared" si="4"/>
        <v>135349559.52761999</v>
      </c>
    </row>
    <row r="108" spans="1:11" x14ac:dyDescent="0.25">
      <c r="A108">
        <v>43.64</v>
      </c>
      <c r="B108" t="s">
        <v>613</v>
      </c>
      <c r="C108" t="s">
        <v>912</v>
      </c>
      <c r="D108" t="s">
        <v>659</v>
      </c>
      <c r="E108" s="9">
        <v>2147483647</v>
      </c>
      <c r="F108" s="9">
        <f t="shared" si="3"/>
        <v>17378681.28995711</v>
      </c>
      <c r="H108" s="80">
        <f>IF(SUM(F$102:F108)&lt;E$117,F108,E$117-SUM(F$101:F107))</f>
        <v>-9700620.570526829</v>
      </c>
      <c r="I108" s="80">
        <f t="shared" si="4"/>
        <v>-423335081.6977908</v>
      </c>
    </row>
    <row r="109" spans="1:11" ht="15.75" thickBot="1" x14ac:dyDescent="0.3">
      <c r="A109">
        <v>46.725000000000001</v>
      </c>
      <c r="B109" t="s">
        <v>605</v>
      </c>
      <c r="C109" t="s">
        <v>827</v>
      </c>
      <c r="D109" t="s">
        <v>908</v>
      </c>
      <c r="E109" s="9">
        <v>1229728258</v>
      </c>
      <c r="F109" s="9">
        <f t="shared" si="3"/>
        <v>9951673.2054705843</v>
      </c>
      <c r="H109" s="80">
        <f>IF(SUM(F$102:F109)&lt;E$117,F109,E$117-SUM(F$101:F108))</f>
        <v>-27079301.860483937</v>
      </c>
      <c r="I109" s="80">
        <f t="shared" si="4"/>
        <v>-1265280379.4311121</v>
      </c>
    </row>
    <row r="110" spans="1:11" x14ac:dyDescent="0.25">
      <c r="A110">
        <v>54.93</v>
      </c>
      <c r="B110" t="s">
        <v>746</v>
      </c>
      <c r="C110" t="s">
        <v>830</v>
      </c>
      <c r="D110" t="s">
        <v>747</v>
      </c>
      <c r="E110" s="9">
        <v>2102000000</v>
      </c>
      <c r="F110" s="9">
        <f t="shared" si="3"/>
        <v>17010601.2786275</v>
      </c>
      <c r="G110" s="158"/>
      <c r="H110" s="159"/>
      <c r="I110" s="159"/>
      <c r="J110" s="159"/>
      <c r="K110" s="160"/>
    </row>
    <row r="111" spans="1:11" ht="18.75" x14ac:dyDescent="0.3">
      <c r="A111">
        <v>56.78</v>
      </c>
      <c r="B111" t="s">
        <v>748</v>
      </c>
      <c r="C111" t="s">
        <v>831</v>
      </c>
      <c r="D111" t="s">
        <v>749</v>
      </c>
      <c r="E111" s="9">
        <v>1178801445</v>
      </c>
      <c r="F111" s="9">
        <f t="shared" si="3"/>
        <v>9539543.9427045397</v>
      </c>
      <c r="G111" s="161"/>
      <c r="H111" s="179" t="s">
        <v>10</v>
      </c>
      <c r="I111" s="179"/>
      <c r="J111" s="179"/>
      <c r="K111" s="162"/>
    </row>
    <row r="112" spans="1:11" x14ac:dyDescent="0.25">
      <c r="A112">
        <v>68.930000000000007</v>
      </c>
      <c r="B112" t="s">
        <v>746</v>
      </c>
      <c r="C112" t="s">
        <v>830</v>
      </c>
      <c r="D112" t="s">
        <v>750</v>
      </c>
      <c r="E112" s="9">
        <v>2147483647</v>
      </c>
      <c r="F112" s="9">
        <f t="shared" si="3"/>
        <v>17378681.28995711</v>
      </c>
      <c r="G112" s="161"/>
      <c r="K112" s="162"/>
    </row>
    <row r="113" spans="1:11" x14ac:dyDescent="0.25">
      <c r="A113" t="s">
        <v>534</v>
      </c>
      <c r="E113" s="9">
        <v>10539610484</v>
      </c>
      <c r="G113" s="161"/>
      <c r="H113" s="73" t="s">
        <v>619</v>
      </c>
      <c r="J113" s="59" t="s">
        <v>647</v>
      </c>
      <c r="K113" s="162"/>
    </row>
    <row r="114" spans="1:11" ht="15.75" thickBot="1" x14ac:dyDescent="0.3">
      <c r="E114" s="9"/>
      <c r="G114" s="161"/>
      <c r="K114" s="162"/>
    </row>
    <row r="115" spans="1:11" ht="15.75" thickBot="1" x14ac:dyDescent="0.3">
      <c r="E115" s="9"/>
      <c r="F115" t="s">
        <v>751</v>
      </c>
      <c r="G115" s="161"/>
      <c r="H115" s="95">
        <f>SUM(I102:I107)/SUM(H102:H107)</f>
        <v>29.329429427955233</v>
      </c>
      <c r="J115" s="105">
        <f>CIA_bgs_T0</f>
        <v>2.5</v>
      </c>
      <c r="K115" s="162"/>
    </row>
    <row r="116" spans="1:11" ht="15.75" thickBot="1" x14ac:dyDescent="0.3">
      <c r="E116" s="9"/>
      <c r="G116" s="163"/>
      <c r="H116" s="20"/>
      <c r="I116" s="20"/>
      <c r="J116" s="20"/>
      <c r="K116" s="164"/>
    </row>
    <row r="117" spans="1:11" ht="15.75" thickBot="1" x14ac:dyDescent="0.3">
      <c r="D117" s="30" t="s">
        <v>753</v>
      </c>
      <c r="E117" s="80">
        <f>'Table 1 - Volumes'!I23*1000000</f>
        <v>4332830</v>
      </c>
      <c r="F117" s="126">
        <v>123.57</v>
      </c>
    </row>
    <row r="118" spans="1:11" x14ac:dyDescent="0.25">
      <c r="E118" s="9"/>
    </row>
    <row r="119" spans="1:11" x14ac:dyDescent="0.25">
      <c r="E119" s="9"/>
    </row>
    <row r="120" spans="1:11" x14ac:dyDescent="0.25">
      <c r="E120" s="9"/>
    </row>
    <row r="122" spans="1:11" x14ac:dyDescent="0.25">
      <c r="E122" s="9"/>
    </row>
    <row r="123" spans="1:11" x14ac:dyDescent="0.25">
      <c r="E123" s="9"/>
    </row>
    <row r="124" spans="1:11" x14ac:dyDescent="0.25">
      <c r="E124" s="9"/>
    </row>
    <row r="125" spans="1:11" x14ac:dyDescent="0.25">
      <c r="E125" s="9"/>
    </row>
    <row r="126" spans="1:11" x14ac:dyDescent="0.25">
      <c r="E126" s="9"/>
    </row>
    <row r="127" spans="1:11" x14ac:dyDescent="0.25">
      <c r="E127" s="9"/>
    </row>
    <row r="128" spans="1:11" x14ac:dyDescent="0.25">
      <c r="E128" s="9"/>
    </row>
    <row r="129" spans="5:5" x14ac:dyDescent="0.25">
      <c r="E129" s="9"/>
    </row>
    <row r="130" spans="5:5" x14ac:dyDescent="0.25">
      <c r="E130" s="9"/>
    </row>
    <row r="131" spans="5:5" x14ac:dyDescent="0.25">
      <c r="E131" s="9"/>
    </row>
    <row r="132" spans="5:5" x14ac:dyDescent="0.25">
      <c r="E132" s="9"/>
    </row>
    <row r="133" spans="5:5" x14ac:dyDescent="0.25">
      <c r="E133" s="9"/>
    </row>
    <row r="134" spans="5:5" x14ac:dyDescent="0.25">
      <c r="E134" s="9"/>
    </row>
    <row r="135" spans="5:5" x14ac:dyDescent="0.25">
      <c r="E135" s="9"/>
    </row>
    <row r="136" spans="5:5" x14ac:dyDescent="0.25">
      <c r="E136" s="9"/>
    </row>
    <row r="137" spans="5:5" x14ac:dyDescent="0.25">
      <c r="E137" s="9"/>
    </row>
    <row r="138" spans="5:5" x14ac:dyDescent="0.25">
      <c r="E138" s="9"/>
    </row>
    <row r="139" spans="5:5" x14ac:dyDescent="0.25">
      <c r="E139" s="9"/>
    </row>
    <row r="140" spans="5:5" x14ac:dyDescent="0.25">
      <c r="E140" s="9"/>
    </row>
    <row r="141" spans="5:5" x14ac:dyDescent="0.25">
      <c r="E141" s="9"/>
    </row>
    <row r="142" spans="5:5" x14ac:dyDescent="0.25">
      <c r="E142" s="9"/>
    </row>
    <row r="143" spans="5:5" x14ac:dyDescent="0.25">
      <c r="E143" s="9"/>
    </row>
    <row r="144" spans="5:5" x14ac:dyDescent="0.25">
      <c r="E144" s="9"/>
    </row>
    <row r="145" spans="5:5" x14ac:dyDescent="0.25">
      <c r="E145" s="9"/>
    </row>
  </sheetData>
  <mergeCells count="9">
    <mergeCell ref="L1:P3"/>
    <mergeCell ref="H35:J35"/>
    <mergeCell ref="H71:J71"/>
    <mergeCell ref="H90:J90"/>
    <mergeCell ref="H111:J111"/>
    <mergeCell ref="H97:J97"/>
    <mergeCell ref="H79:J79"/>
    <mergeCell ref="H43:J43"/>
    <mergeCell ref="H2:J2"/>
  </mergeCell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108"/>
  <sheetViews>
    <sheetView zoomScale="75" zoomScaleNormal="75" workbookViewId="0">
      <pane xSplit="5" ySplit="3" topLeftCell="F19" activePane="bottomRight" state="frozen"/>
      <selection pane="topRight" activeCell="E1" sqref="E1"/>
      <selection pane="bottomLeft" activeCell="A4" sqref="A4"/>
      <selection pane="bottomRight" activeCell="B48" sqref="B48:B51"/>
    </sheetView>
  </sheetViews>
  <sheetFormatPr defaultColWidth="8.85546875" defaultRowHeight="15" x14ac:dyDescent="0.25"/>
  <cols>
    <col min="1" max="1" width="26.42578125" style="1" bestFit="1" customWidth="1"/>
    <col min="2" max="2" width="18.5703125" style="1" customWidth="1"/>
    <col min="3" max="15" width="14.7109375" style="1" customWidth="1"/>
    <col min="16" max="17" width="15.140625" style="1" customWidth="1"/>
    <col min="18" max="18" width="23.28515625" style="1" customWidth="1"/>
    <col min="19" max="16384" width="8.85546875" style="1"/>
  </cols>
  <sheetData>
    <row r="1" spans="1:18" x14ac:dyDescent="0.25">
      <c r="A1" s="57" t="s">
        <v>217</v>
      </c>
      <c r="B1" s="58">
        <v>0.04</v>
      </c>
      <c r="C1" s="58"/>
      <c r="D1" s="58"/>
      <c r="E1" s="58">
        <v>0.06</v>
      </c>
      <c r="F1" s="58"/>
      <c r="G1" s="58"/>
      <c r="H1" s="58">
        <v>0.05</v>
      </c>
      <c r="K1"/>
      <c r="L1"/>
      <c r="M1"/>
      <c r="N1"/>
      <c r="O1"/>
    </row>
    <row r="2" spans="1:18" x14ac:dyDescent="0.25">
      <c r="E2" s="1">
        <v>10</v>
      </c>
      <c r="K2"/>
      <c r="L2" s="180" t="s">
        <v>569</v>
      </c>
      <c r="M2" s="180"/>
      <c r="N2" s="180"/>
      <c r="O2"/>
      <c r="P2" s="181" t="s">
        <v>802</v>
      </c>
      <c r="Q2" s="181"/>
    </row>
    <row r="3" spans="1:18" ht="30" x14ac:dyDescent="0.25">
      <c r="A3" s="12" t="s">
        <v>215</v>
      </c>
      <c r="B3" s="13" t="s">
        <v>246</v>
      </c>
      <c r="C3" s="13" t="s">
        <v>247</v>
      </c>
      <c r="D3" s="13" t="s">
        <v>248</v>
      </c>
      <c r="E3" s="13" t="s">
        <v>249</v>
      </c>
      <c r="F3" s="13" t="s">
        <v>250</v>
      </c>
      <c r="G3" s="13" t="s">
        <v>251</v>
      </c>
      <c r="H3" s="13" t="s">
        <v>821</v>
      </c>
      <c r="I3" s="13" t="s">
        <v>252</v>
      </c>
      <c r="J3" s="13" t="s">
        <v>253</v>
      </c>
      <c r="K3"/>
      <c r="L3" s="61" t="s">
        <v>27</v>
      </c>
      <c r="M3" s="61" t="s">
        <v>26</v>
      </c>
      <c r="N3" s="61" t="s">
        <v>28</v>
      </c>
      <c r="O3"/>
      <c r="P3" s="13" t="s">
        <v>804</v>
      </c>
      <c r="Q3" s="13" t="s">
        <v>803</v>
      </c>
      <c r="R3" s="1" t="s">
        <v>802</v>
      </c>
    </row>
    <row r="4" spans="1:18" x14ac:dyDescent="0.25">
      <c r="A4" s="152">
        <v>41275</v>
      </c>
      <c r="B4" s="154">
        <v>851</v>
      </c>
      <c r="C4" s="10"/>
      <c r="D4" s="10"/>
      <c r="E4" s="154">
        <v>1735</v>
      </c>
      <c r="F4" s="10"/>
      <c r="G4" s="10"/>
      <c r="H4" s="10">
        <f>SUM(B4,E4)</f>
        <v>2586</v>
      </c>
      <c r="I4" s="10"/>
      <c r="J4" s="10"/>
      <c r="K4"/>
      <c r="L4"/>
      <c r="M4"/>
      <c r="N4"/>
      <c r="O4"/>
      <c r="P4" s="10">
        <v>851</v>
      </c>
      <c r="Q4" s="10">
        <v>1735</v>
      </c>
      <c r="R4" s="151">
        <f>+SUM(P4:Q4)</f>
        <v>2586</v>
      </c>
    </row>
    <row r="5" spans="1:18" x14ac:dyDescent="0.25">
      <c r="A5" s="152">
        <v>41365</v>
      </c>
      <c r="B5" s="154">
        <v>987</v>
      </c>
      <c r="C5" s="10"/>
      <c r="D5" s="10"/>
      <c r="E5" s="154">
        <v>2088</v>
      </c>
      <c r="F5" s="10"/>
      <c r="G5" s="10"/>
      <c r="H5" s="10">
        <f t="shared" ref="H5:H39" si="0">SUM(B5,E5)</f>
        <v>3075</v>
      </c>
      <c r="I5" s="10"/>
      <c r="J5" s="10"/>
      <c r="K5"/>
      <c r="L5"/>
      <c r="M5"/>
      <c r="N5"/>
      <c r="O5"/>
      <c r="P5" s="10">
        <v>987</v>
      </c>
      <c r="Q5" s="10">
        <v>2088</v>
      </c>
      <c r="R5" s="151">
        <f t="shared" ref="R5:R63" si="1">+SUM(P5:Q5)</f>
        <v>3075</v>
      </c>
    </row>
    <row r="6" spans="1:18" x14ac:dyDescent="0.25">
      <c r="A6" s="152">
        <v>41456</v>
      </c>
      <c r="B6" s="154">
        <v>1197</v>
      </c>
      <c r="C6" s="10"/>
      <c r="D6" s="10"/>
      <c r="E6" s="154">
        <v>2480</v>
      </c>
      <c r="F6" s="10"/>
      <c r="G6" s="10"/>
      <c r="H6" s="10">
        <f t="shared" si="0"/>
        <v>3677</v>
      </c>
      <c r="I6" s="10"/>
      <c r="J6" s="10"/>
      <c r="K6"/>
      <c r="L6"/>
      <c r="M6"/>
      <c r="N6"/>
      <c r="O6"/>
      <c r="P6" s="10">
        <v>1197</v>
      </c>
      <c r="Q6" s="10">
        <v>2480</v>
      </c>
      <c r="R6" s="151">
        <f t="shared" si="1"/>
        <v>3677</v>
      </c>
    </row>
    <row r="7" spans="1:18" x14ac:dyDescent="0.25">
      <c r="A7" s="152">
        <v>41548</v>
      </c>
      <c r="B7" s="154">
        <v>1581</v>
      </c>
      <c r="C7" s="10"/>
      <c r="D7" s="10"/>
      <c r="E7" s="154">
        <v>2793</v>
      </c>
      <c r="F7" s="10"/>
      <c r="G7" s="10"/>
      <c r="H7" s="10">
        <f t="shared" si="0"/>
        <v>4374</v>
      </c>
      <c r="I7" s="10"/>
      <c r="J7" s="10"/>
      <c r="K7"/>
      <c r="L7"/>
      <c r="M7"/>
      <c r="N7"/>
      <c r="O7"/>
      <c r="P7" s="10">
        <v>1581</v>
      </c>
      <c r="Q7" s="10">
        <v>2793</v>
      </c>
      <c r="R7" s="151">
        <f t="shared" si="1"/>
        <v>4374</v>
      </c>
    </row>
    <row r="8" spans="1:18" x14ac:dyDescent="0.25">
      <c r="A8" s="152">
        <v>41640</v>
      </c>
      <c r="B8" s="154">
        <v>1734</v>
      </c>
      <c r="C8" s="10"/>
      <c r="D8" s="10"/>
      <c r="E8" s="154">
        <v>3028</v>
      </c>
      <c r="F8" s="10"/>
      <c r="G8" s="10"/>
      <c r="H8" s="10">
        <f t="shared" si="0"/>
        <v>4762</v>
      </c>
      <c r="I8" s="10"/>
      <c r="J8" s="10"/>
      <c r="K8"/>
      <c r="L8" s="62">
        <f>B8/B4-1</f>
        <v>1.0376028202115157</v>
      </c>
      <c r="M8" s="62">
        <f>E8/E4-1</f>
        <v>0.74524495677233427</v>
      </c>
      <c r="N8" s="62">
        <f>H8/H4-1</f>
        <v>0.84145398298530538</v>
      </c>
      <c r="O8"/>
      <c r="P8" s="10">
        <v>1734</v>
      </c>
      <c r="Q8" s="10">
        <v>3028</v>
      </c>
      <c r="R8" s="151">
        <f t="shared" si="1"/>
        <v>4762</v>
      </c>
    </row>
    <row r="9" spans="1:18" x14ac:dyDescent="0.25">
      <c r="A9" s="152">
        <v>41730</v>
      </c>
      <c r="B9" s="154">
        <v>1915</v>
      </c>
      <c r="C9" s="10"/>
      <c r="D9" s="10"/>
      <c r="E9" s="154">
        <v>3317</v>
      </c>
      <c r="F9" s="10"/>
      <c r="G9" s="10"/>
      <c r="H9" s="10">
        <f t="shared" si="0"/>
        <v>5232</v>
      </c>
      <c r="I9" s="10"/>
      <c r="J9" s="10"/>
      <c r="K9"/>
      <c r="L9" s="62">
        <f t="shared" ref="L9:L30" si="2">B9/B5-1</f>
        <v>0.94022289766970624</v>
      </c>
      <c r="M9" s="62">
        <f t="shared" ref="M9:M30" si="3">E9/E5-1</f>
        <v>0.58860153256704972</v>
      </c>
      <c r="N9" s="62">
        <f t="shared" ref="N9:N30" si="4">H9/H5-1</f>
        <v>0.7014634146341463</v>
      </c>
      <c r="O9"/>
      <c r="P9" s="10">
        <v>1915</v>
      </c>
      <c r="Q9" s="10">
        <v>3317</v>
      </c>
      <c r="R9" s="151">
        <f t="shared" si="1"/>
        <v>5232</v>
      </c>
    </row>
    <row r="10" spans="1:18" x14ac:dyDescent="0.25">
      <c r="A10" s="152">
        <v>41821</v>
      </c>
      <c r="B10" s="154">
        <v>2214</v>
      </c>
      <c r="C10" s="10"/>
      <c r="D10" s="10"/>
      <c r="E10" s="154">
        <v>3705</v>
      </c>
      <c r="F10" s="10"/>
      <c r="G10" s="10"/>
      <c r="H10" s="10">
        <f t="shared" si="0"/>
        <v>5919</v>
      </c>
      <c r="I10" s="10"/>
      <c r="J10" s="10"/>
      <c r="K10"/>
      <c r="L10" s="62">
        <f t="shared" si="2"/>
        <v>0.84962406015037595</v>
      </c>
      <c r="M10" s="62">
        <f t="shared" si="3"/>
        <v>0.49395161290322576</v>
      </c>
      <c r="N10" s="62">
        <f t="shared" si="4"/>
        <v>0.60973619798748979</v>
      </c>
      <c r="O10"/>
      <c r="P10" s="10">
        <v>2214</v>
      </c>
      <c r="Q10" s="10">
        <v>3705</v>
      </c>
      <c r="R10" s="151">
        <f t="shared" si="1"/>
        <v>5919</v>
      </c>
    </row>
    <row r="11" spans="1:18" x14ac:dyDescent="0.25">
      <c r="A11" s="152">
        <v>41913</v>
      </c>
      <c r="B11" s="154">
        <v>2462</v>
      </c>
      <c r="C11" s="10"/>
      <c r="D11" s="10"/>
      <c r="E11" s="154">
        <v>4180</v>
      </c>
      <c r="F11" s="10"/>
      <c r="G11" s="10"/>
      <c r="H11" s="10">
        <f t="shared" si="0"/>
        <v>6642</v>
      </c>
      <c r="I11" s="10"/>
      <c r="J11" s="10"/>
      <c r="K11"/>
      <c r="L11" s="62">
        <f t="shared" si="2"/>
        <v>0.55724225173940534</v>
      </c>
      <c r="M11" s="62">
        <f t="shared" si="3"/>
        <v>0.49659863945578242</v>
      </c>
      <c r="N11" s="62">
        <f t="shared" si="4"/>
        <v>0.5185185185185186</v>
      </c>
      <c r="O11"/>
      <c r="P11" s="10">
        <v>2462</v>
      </c>
      <c r="Q11" s="10">
        <v>4180</v>
      </c>
      <c r="R11" s="151">
        <f t="shared" si="1"/>
        <v>6642</v>
      </c>
    </row>
    <row r="12" spans="1:18" x14ac:dyDescent="0.25">
      <c r="A12" s="152">
        <v>42005</v>
      </c>
      <c r="B12" s="154">
        <v>2654</v>
      </c>
      <c r="C12" s="10"/>
      <c r="D12" s="10"/>
      <c r="E12" s="154">
        <v>4538</v>
      </c>
      <c r="F12" s="10"/>
      <c r="G12" s="10"/>
      <c r="H12" s="10">
        <f t="shared" si="0"/>
        <v>7192</v>
      </c>
      <c r="I12" s="10"/>
      <c r="J12" s="10"/>
      <c r="K12"/>
      <c r="L12" s="62">
        <f t="shared" si="2"/>
        <v>0.530565167243368</v>
      </c>
      <c r="M12" s="62">
        <f t="shared" si="3"/>
        <v>0.49867899603698818</v>
      </c>
      <c r="N12" s="62">
        <f t="shared" si="4"/>
        <v>0.51028979420411602</v>
      </c>
      <c r="O12"/>
      <c r="P12" s="10">
        <v>2654</v>
      </c>
      <c r="Q12" s="10">
        <v>4538</v>
      </c>
      <c r="R12" s="151">
        <f t="shared" si="1"/>
        <v>7192</v>
      </c>
    </row>
    <row r="13" spans="1:18" x14ac:dyDescent="0.25">
      <c r="A13" s="152">
        <v>42095</v>
      </c>
      <c r="B13" s="154">
        <v>2890</v>
      </c>
      <c r="C13" s="10"/>
      <c r="D13" s="10"/>
      <c r="E13" s="154">
        <v>4995</v>
      </c>
      <c r="F13" s="10"/>
      <c r="G13" s="10"/>
      <c r="H13" s="10">
        <f t="shared" si="0"/>
        <v>7885</v>
      </c>
      <c r="I13" s="10"/>
      <c r="J13" s="10"/>
      <c r="K13"/>
      <c r="L13" s="62">
        <f t="shared" si="2"/>
        <v>0.50913838120104438</v>
      </c>
      <c r="M13" s="62">
        <f t="shared" si="3"/>
        <v>0.50587880615013558</v>
      </c>
      <c r="N13" s="62">
        <f t="shared" si="4"/>
        <v>0.50707186544342497</v>
      </c>
      <c r="O13"/>
      <c r="P13" s="10">
        <v>2890</v>
      </c>
      <c r="Q13" s="10">
        <v>4995</v>
      </c>
      <c r="R13" s="151">
        <f t="shared" si="1"/>
        <v>7885</v>
      </c>
    </row>
    <row r="14" spans="1:18" x14ac:dyDescent="0.25">
      <c r="A14" s="152">
        <v>42186</v>
      </c>
      <c r="B14" s="154">
        <v>3088</v>
      </c>
      <c r="C14" s="10"/>
      <c r="D14" s="10"/>
      <c r="E14" s="154">
        <v>5532</v>
      </c>
      <c r="F14" s="10"/>
      <c r="G14" s="10"/>
      <c r="H14" s="10">
        <f t="shared" si="0"/>
        <v>8620</v>
      </c>
      <c r="I14" s="10"/>
      <c r="J14" s="10"/>
      <c r="K14"/>
      <c r="L14" s="62">
        <f t="shared" si="2"/>
        <v>0.39476061427280928</v>
      </c>
      <c r="M14" s="62">
        <f t="shared" si="3"/>
        <v>0.4931174089068826</v>
      </c>
      <c r="N14" s="62">
        <f t="shared" si="4"/>
        <v>0.4563270822774117</v>
      </c>
      <c r="O14"/>
      <c r="P14" s="10">
        <v>3088</v>
      </c>
      <c r="Q14" s="10">
        <v>5532</v>
      </c>
      <c r="R14" s="151">
        <f t="shared" si="1"/>
        <v>8620</v>
      </c>
    </row>
    <row r="15" spans="1:18" x14ac:dyDescent="0.25">
      <c r="A15" s="152">
        <v>42278</v>
      </c>
      <c r="B15" s="154">
        <v>3371</v>
      </c>
      <c r="C15" s="10"/>
      <c r="D15" s="10"/>
      <c r="E15" s="154">
        <v>5942</v>
      </c>
      <c r="F15" s="10"/>
      <c r="G15" s="10"/>
      <c r="H15" s="10">
        <f t="shared" si="0"/>
        <v>9313</v>
      </c>
      <c r="I15" s="10"/>
      <c r="J15" s="10"/>
      <c r="K15"/>
      <c r="L15" s="62">
        <f t="shared" si="2"/>
        <v>0.36921202274573517</v>
      </c>
      <c r="M15" s="62">
        <f t="shared" si="3"/>
        <v>0.42153110047846898</v>
      </c>
      <c r="N15" s="62">
        <f t="shared" si="4"/>
        <v>0.40213791026799162</v>
      </c>
      <c r="O15"/>
      <c r="P15" s="10">
        <v>3371</v>
      </c>
      <c r="Q15" s="10">
        <v>5942</v>
      </c>
      <c r="R15" s="151">
        <f t="shared" si="1"/>
        <v>9313</v>
      </c>
    </row>
    <row r="16" spans="1:18" x14ac:dyDescent="0.25">
      <c r="A16" s="152">
        <v>42370</v>
      </c>
      <c r="B16" s="154">
        <v>3725</v>
      </c>
      <c r="C16" s="10"/>
      <c r="D16" s="10"/>
      <c r="E16" s="154">
        <v>6447</v>
      </c>
      <c r="F16" s="10"/>
      <c r="G16" s="10"/>
      <c r="H16" s="10">
        <f t="shared" si="0"/>
        <v>10172</v>
      </c>
      <c r="I16" s="10"/>
      <c r="J16" s="10"/>
      <c r="K16"/>
      <c r="L16" s="62">
        <f t="shared" si="2"/>
        <v>0.40354182366239644</v>
      </c>
      <c r="M16" s="62">
        <f t="shared" si="3"/>
        <v>0.42066989863375936</v>
      </c>
      <c r="N16" s="62">
        <f t="shared" si="4"/>
        <v>0.41434927697441593</v>
      </c>
      <c r="O16"/>
      <c r="P16" s="10">
        <v>3725</v>
      </c>
      <c r="Q16" s="10">
        <v>6447</v>
      </c>
      <c r="R16" s="151">
        <f t="shared" si="1"/>
        <v>10172</v>
      </c>
    </row>
    <row r="17" spans="1:18" x14ac:dyDescent="0.25">
      <c r="A17" s="152">
        <v>42461</v>
      </c>
      <c r="B17" s="154">
        <v>4133</v>
      </c>
      <c r="C17" s="10"/>
      <c r="D17" s="10"/>
      <c r="E17" s="154">
        <v>6989</v>
      </c>
      <c r="F17" s="10"/>
      <c r="G17" s="10"/>
      <c r="H17" s="10">
        <f t="shared" si="0"/>
        <v>11122</v>
      </c>
      <c r="I17" s="10"/>
      <c r="J17" s="10"/>
      <c r="K17"/>
      <c r="L17" s="62">
        <f t="shared" si="2"/>
        <v>0.43010380622837374</v>
      </c>
      <c r="M17" s="62">
        <f t="shared" si="3"/>
        <v>0.39919919919919922</v>
      </c>
      <c r="N17" s="62">
        <f t="shared" si="4"/>
        <v>0.41052631578947363</v>
      </c>
      <c r="O17"/>
      <c r="P17" s="10">
        <v>4133</v>
      </c>
      <c r="Q17" s="10">
        <v>6989</v>
      </c>
      <c r="R17" s="151">
        <f t="shared" si="1"/>
        <v>11122</v>
      </c>
    </row>
    <row r="18" spans="1:18" x14ac:dyDescent="0.25">
      <c r="A18" s="152">
        <v>42552</v>
      </c>
      <c r="B18" s="154">
        <v>4520</v>
      </c>
      <c r="C18" s="10"/>
      <c r="D18" s="10"/>
      <c r="E18" s="154">
        <v>7537</v>
      </c>
      <c r="F18" s="10"/>
      <c r="G18" s="10"/>
      <c r="H18" s="10">
        <f t="shared" si="0"/>
        <v>12057</v>
      </c>
      <c r="I18" s="10"/>
      <c r="J18" s="10"/>
      <c r="K18"/>
      <c r="L18" s="62">
        <f t="shared" si="2"/>
        <v>0.46373056994818662</v>
      </c>
      <c r="M18" s="62">
        <f t="shared" si="3"/>
        <v>0.3624367317425885</v>
      </c>
      <c r="N18" s="62">
        <f t="shared" si="4"/>
        <v>0.39872389791183305</v>
      </c>
      <c r="O18"/>
      <c r="P18" s="10">
        <v>4520</v>
      </c>
      <c r="Q18" s="10">
        <v>7537</v>
      </c>
      <c r="R18" s="151">
        <f t="shared" si="1"/>
        <v>12057</v>
      </c>
    </row>
    <row r="19" spans="1:18" x14ac:dyDescent="0.25">
      <c r="A19" s="152">
        <v>42644</v>
      </c>
      <c r="B19" s="154">
        <v>4972</v>
      </c>
      <c r="C19" s="10"/>
      <c r="D19" s="10"/>
      <c r="E19" s="154">
        <v>8197</v>
      </c>
      <c r="F19" s="10"/>
      <c r="G19" s="10"/>
      <c r="H19" s="10">
        <f t="shared" si="0"/>
        <v>13169</v>
      </c>
      <c r="I19" s="10"/>
      <c r="J19" s="10"/>
      <c r="K19"/>
      <c r="L19" s="62">
        <f t="shared" si="2"/>
        <v>0.4749332542272322</v>
      </c>
      <c r="M19" s="62">
        <f t="shared" si="3"/>
        <v>0.37950185122854263</v>
      </c>
      <c r="N19" s="62">
        <f t="shared" si="4"/>
        <v>0.41404488349618807</v>
      </c>
      <c r="O19"/>
      <c r="P19" s="10">
        <v>4972</v>
      </c>
      <c r="Q19" s="10">
        <v>8197</v>
      </c>
      <c r="R19" s="151">
        <f t="shared" si="1"/>
        <v>13169</v>
      </c>
    </row>
    <row r="20" spans="1:18" x14ac:dyDescent="0.25">
      <c r="A20" s="152">
        <v>42736</v>
      </c>
      <c r="B20" s="154">
        <v>5442</v>
      </c>
      <c r="C20" s="10"/>
      <c r="D20" s="10"/>
      <c r="E20" s="154">
        <v>8877</v>
      </c>
      <c r="F20" s="10"/>
      <c r="G20" s="10"/>
      <c r="H20" s="10">
        <f t="shared" si="0"/>
        <v>14319</v>
      </c>
      <c r="I20" s="10"/>
      <c r="J20" s="10"/>
      <c r="K20"/>
      <c r="L20" s="62">
        <f t="shared" si="2"/>
        <v>0.46093959731543621</v>
      </c>
      <c r="M20" s="62">
        <f t="shared" si="3"/>
        <v>0.37691949744066999</v>
      </c>
      <c r="N20" s="62">
        <f t="shared" si="4"/>
        <v>0.40768777034998038</v>
      </c>
      <c r="O20"/>
      <c r="P20" s="10">
        <v>5442</v>
      </c>
      <c r="Q20" s="10">
        <v>8877</v>
      </c>
      <c r="R20" s="151">
        <f t="shared" si="1"/>
        <v>14319</v>
      </c>
    </row>
    <row r="21" spans="1:18" x14ac:dyDescent="0.25">
      <c r="A21" s="152">
        <v>42826</v>
      </c>
      <c r="B21" s="154">
        <v>5930</v>
      </c>
      <c r="C21" s="10"/>
      <c r="D21" s="10"/>
      <c r="E21" s="154">
        <v>9488</v>
      </c>
      <c r="F21" s="10"/>
      <c r="G21" s="10"/>
      <c r="H21" s="10">
        <f t="shared" si="0"/>
        <v>15418</v>
      </c>
      <c r="I21" s="10"/>
      <c r="J21" s="10"/>
      <c r="K21"/>
      <c r="L21" s="62">
        <f t="shared" si="2"/>
        <v>0.43479312847810303</v>
      </c>
      <c r="M21" s="62">
        <f t="shared" si="3"/>
        <v>0.35756188295893554</v>
      </c>
      <c r="N21" s="62">
        <f t="shared" si="4"/>
        <v>0.38626146376550974</v>
      </c>
      <c r="O21"/>
      <c r="P21" s="10">
        <v>5930</v>
      </c>
      <c r="Q21" s="10">
        <v>9488</v>
      </c>
      <c r="R21" s="151">
        <f t="shared" si="1"/>
        <v>15418</v>
      </c>
    </row>
    <row r="22" spans="1:18" x14ac:dyDescent="0.25">
      <c r="A22" s="152">
        <v>42917</v>
      </c>
      <c r="B22" s="154">
        <v>6383</v>
      </c>
      <c r="C22" s="10"/>
      <c r="D22" s="10"/>
      <c r="E22" s="154">
        <v>9942</v>
      </c>
      <c r="F22" s="10"/>
      <c r="G22" s="10"/>
      <c r="H22" s="10">
        <f t="shared" si="0"/>
        <v>16325</v>
      </c>
      <c r="I22" s="10"/>
      <c r="J22" s="10"/>
      <c r="K22"/>
      <c r="L22" s="62">
        <f t="shared" si="2"/>
        <v>0.41216814159292037</v>
      </c>
      <c r="M22" s="62">
        <f t="shared" si="3"/>
        <v>0.31909247711290956</v>
      </c>
      <c r="N22" s="62">
        <f t="shared" si="4"/>
        <v>0.35398523679190519</v>
      </c>
      <c r="O22"/>
      <c r="P22" s="10">
        <v>6383</v>
      </c>
      <c r="Q22" s="10">
        <v>9942</v>
      </c>
      <c r="R22" s="151">
        <f t="shared" si="1"/>
        <v>16325</v>
      </c>
    </row>
    <row r="23" spans="1:18" x14ac:dyDescent="0.25">
      <c r="A23" s="152">
        <v>43009</v>
      </c>
      <c r="B23" s="154">
        <v>6775</v>
      </c>
      <c r="C23" s="10"/>
      <c r="D23" s="10"/>
      <c r="E23" s="154">
        <v>10538</v>
      </c>
      <c r="F23" s="10"/>
      <c r="G23" s="10"/>
      <c r="H23" s="10">
        <f t="shared" si="0"/>
        <v>17313</v>
      </c>
      <c r="I23" s="10"/>
      <c r="J23" s="10"/>
      <c r="K23"/>
      <c r="L23" s="62">
        <f t="shared" si="2"/>
        <v>0.3626307320997586</v>
      </c>
      <c r="M23" s="62">
        <f t="shared" si="3"/>
        <v>0.28559228986214458</v>
      </c>
      <c r="N23" s="62">
        <f t="shared" si="4"/>
        <v>0.31467841142076081</v>
      </c>
      <c r="O23"/>
      <c r="P23" s="10">
        <v>6775</v>
      </c>
      <c r="Q23" s="10">
        <v>10538</v>
      </c>
      <c r="R23" s="151">
        <f t="shared" si="1"/>
        <v>17313</v>
      </c>
    </row>
    <row r="24" spans="1:18" x14ac:dyDescent="0.25">
      <c r="A24" s="152">
        <v>43101</v>
      </c>
      <c r="B24" s="154">
        <v>7376</v>
      </c>
      <c r="C24" s="10"/>
      <c r="D24" s="10"/>
      <c r="E24" s="154">
        <v>11085</v>
      </c>
      <c r="F24" s="10"/>
      <c r="G24" s="10"/>
      <c r="H24" s="10">
        <f t="shared" si="0"/>
        <v>18461</v>
      </c>
      <c r="I24" s="10"/>
      <c r="J24" s="10"/>
      <c r="K24"/>
      <c r="L24" s="62">
        <f t="shared" si="2"/>
        <v>0.35538404998162432</v>
      </c>
      <c r="M24" s="62">
        <f t="shared" si="3"/>
        <v>0.24873267995944581</v>
      </c>
      <c r="N24" s="62">
        <f t="shared" si="4"/>
        <v>0.28926601019624276</v>
      </c>
      <c r="O24"/>
      <c r="P24" s="10">
        <v>7376</v>
      </c>
      <c r="Q24" s="10">
        <v>11085</v>
      </c>
      <c r="R24" s="151">
        <f t="shared" si="1"/>
        <v>18461</v>
      </c>
    </row>
    <row r="25" spans="1:18" x14ac:dyDescent="0.25">
      <c r="A25" s="152">
        <v>43191</v>
      </c>
      <c r="B25" s="154">
        <v>7958</v>
      </c>
      <c r="C25" s="10"/>
      <c r="D25" s="10"/>
      <c r="E25" s="154">
        <v>11680</v>
      </c>
      <c r="F25" s="10"/>
      <c r="G25" s="10"/>
      <c r="H25" s="10">
        <f t="shared" si="0"/>
        <v>19638</v>
      </c>
      <c r="I25" s="10"/>
      <c r="J25" s="10"/>
      <c r="K25"/>
      <c r="L25" s="62">
        <f t="shared" si="2"/>
        <v>0.3419898819561551</v>
      </c>
      <c r="M25" s="62">
        <f t="shared" si="3"/>
        <v>0.2310286677908937</v>
      </c>
      <c r="N25" s="62">
        <f t="shared" si="4"/>
        <v>0.2737060578544559</v>
      </c>
      <c r="O25"/>
      <c r="P25" s="10">
        <v>7958</v>
      </c>
      <c r="Q25" s="10">
        <v>11680</v>
      </c>
      <c r="R25" s="151">
        <f t="shared" si="1"/>
        <v>19638</v>
      </c>
    </row>
    <row r="26" spans="1:18" x14ac:dyDescent="0.25">
      <c r="A26" s="152">
        <v>43282</v>
      </c>
      <c r="B26" s="154">
        <v>8591</v>
      </c>
      <c r="C26" s="10"/>
      <c r="D26" s="10"/>
      <c r="E26" s="154">
        <v>12276</v>
      </c>
      <c r="F26" s="10"/>
      <c r="G26" s="10"/>
      <c r="H26" s="10">
        <f t="shared" si="0"/>
        <v>20867</v>
      </c>
      <c r="I26" s="10"/>
      <c r="J26" s="10"/>
      <c r="K26"/>
      <c r="L26" s="62">
        <f t="shared" si="2"/>
        <v>0.34591884693717678</v>
      </c>
      <c r="M26" s="62">
        <f t="shared" si="3"/>
        <v>0.2347616173808087</v>
      </c>
      <c r="N26" s="62">
        <f t="shared" si="4"/>
        <v>0.27822358346094944</v>
      </c>
      <c r="O26"/>
      <c r="P26" s="10">
        <v>8591</v>
      </c>
      <c r="Q26" s="10">
        <v>12276</v>
      </c>
      <c r="R26" s="151">
        <f t="shared" si="1"/>
        <v>20867</v>
      </c>
    </row>
    <row r="27" spans="1:18" x14ac:dyDescent="0.25">
      <c r="A27" s="152">
        <v>43374</v>
      </c>
      <c r="B27" s="154">
        <v>9246</v>
      </c>
      <c r="C27" s="10"/>
      <c r="D27" s="10"/>
      <c r="E27" s="154">
        <v>13601</v>
      </c>
      <c r="F27" s="10"/>
      <c r="G27" s="10"/>
      <c r="H27" s="10">
        <f t="shared" si="0"/>
        <v>22847</v>
      </c>
      <c r="I27" s="10"/>
      <c r="J27" s="10"/>
      <c r="K27"/>
      <c r="L27" s="62">
        <f t="shared" si="2"/>
        <v>0.3647232472324724</v>
      </c>
      <c r="M27" s="62">
        <f t="shared" si="3"/>
        <v>0.29066236477509966</v>
      </c>
      <c r="N27" s="62">
        <f t="shared" si="4"/>
        <v>0.31964419800150168</v>
      </c>
      <c r="O27"/>
      <c r="P27" s="10">
        <v>9246</v>
      </c>
      <c r="Q27" s="10">
        <v>13601</v>
      </c>
      <c r="R27" s="151">
        <f t="shared" si="1"/>
        <v>22847</v>
      </c>
    </row>
    <row r="28" spans="1:18" x14ac:dyDescent="0.25">
      <c r="A28" s="152">
        <v>43466</v>
      </c>
      <c r="B28" s="154">
        <v>9728</v>
      </c>
      <c r="C28" s="10"/>
      <c r="D28" s="10"/>
      <c r="E28" s="154">
        <v>15019</v>
      </c>
      <c r="F28" s="10"/>
      <c r="G28" s="10"/>
      <c r="H28" s="10">
        <f t="shared" si="0"/>
        <v>24747</v>
      </c>
      <c r="I28" s="10"/>
      <c r="J28" s="10"/>
      <c r="K28"/>
      <c r="L28" s="62">
        <f t="shared" si="2"/>
        <v>0.31887201735357928</v>
      </c>
      <c r="M28" s="62">
        <f t="shared" si="3"/>
        <v>0.35489400090211998</v>
      </c>
      <c r="N28" s="62">
        <f t="shared" si="4"/>
        <v>0.34050159796327395</v>
      </c>
      <c r="O28"/>
      <c r="P28" s="10">
        <v>9728</v>
      </c>
      <c r="Q28" s="10">
        <v>15019</v>
      </c>
      <c r="R28" s="151">
        <f t="shared" si="1"/>
        <v>24747</v>
      </c>
    </row>
    <row r="29" spans="1:18" x14ac:dyDescent="0.25">
      <c r="A29" s="152">
        <v>43556</v>
      </c>
      <c r="B29" s="154">
        <v>10320</v>
      </c>
      <c r="C29" s="10"/>
      <c r="D29" s="10"/>
      <c r="E29" s="154">
        <v>15995</v>
      </c>
      <c r="F29" s="10"/>
      <c r="G29" s="10"/>
      <c r="H29" s="10">
        <f t="shared" si="0"/>
        <v>26315</v>
      </c>
      <c r="I29" s="10"/>
      <c r="J29" s="10"/>
      <c r="K29"/>
      <c r="L29" s="62">
        <f t="shared" si="2"/>
        <v>0.29680824327720523</v>
      </c>
      <c r="M29" s="62">
        <f t="shared" si="3"/>
        <v>0.36943493150684925</v>
      </c>
      <c r="N29" s="62">
        <f t="shared" si="4"/>
        <v>0.34000407373459618</v>
      </c>
      <c r="O29"/>
      <c r="P29" s="10">
        <v>10320</v>
      </c>
      <c r="Q29" s="10">
        <v>15995</v>
      </c>
      <c r="R29" s="151">
        <f t="shared" si="1"/>
        <v>26315</v>
      </c>
    </row>
    <row r="30" spans="1:18" x14ac:dyDescent="0.25">
      <c r="A30" s="152">
        <v>43647</v>
      </c>
      <c r="B30" s="154">
        <v>10955</v>
      </c>
      <c r="C30" s="10"/>
      <c r="D30" s="10"/>
      <c r="E30" s="154">
        <v>17470</v>
      </c>
      <c r="F30" s="10"/>
      <c r="G30" s="10"/>
      <c r="H30" s="10">
        <f>SUM(B30,E30)</f>
        <v>28425</v>
      </c>
      <c r="I30" s="10"/>
      <c r="J30" s="10"/>
      <c r="L30" s="62">
        <f t="shared" si="2"/>
        <v>0.27517169130485386</v>
      </c>
      <c r="M30" s="62">
        <f t="shared" si="3"/>
        <v>0.42310198761811657</v>
      </c>
      <c r="N30" s="62">
        <f t="shared" si="4"/>
        <v>0.36219868692193424</v>
      </c>
      <c r="P30" s="10">
        <v>10955</v>
      </c>
      <c r="Q30" s="10">
        <v>17470</v>
      </c>
      <c r="R30" s="151">
        <f t="shared" si="1"/>
        <v>28425</v>
      </c>
    </row>
    <row r="31" spans="1:18" x14ac:dyDescent="0.25">
      <c r="A31" s="152">
        <v>43739</v>
      </c>
      <c r="B31" s="154">
        <v>11493</v>
      </c>
      <c r="C31" s="10"/>
      <c r="D31" s="10"/>
      <c r="E31" s="154">
        <v>18749</v>
      </c>
      <c r="F31" s="10"/>
      <c r="G31" s="10"/>
      <c r="H31" s="10">
        <f t="shared" si="0"/>
        <v>30242</v>
      </c>
      <c r="I31" s="10"/>
      <c r="J31" s="10"/>
      <c r="L31" s="62">
        <f>B31/B27-1</f>
        <v>0.24302401038286825</v>
      </c>
      <c r="M31" s="62">
        <f>E31/E27-1</f>
        <v>0.37850158076612006</v>
      </c>
      <c r="N31" s="62">
        <f>H31/H27-1</f>
        <v>0.32367488072832318</v>
      </c>
      <c r="P31" s="10">
        <v>11493</v>
      </c>
      <c r="Q31" s="10">
        <v>18749</v>
      </c>
      <c r="R31" s="151">
        <f t="shared" si="1"/>
        <v>30242</v>
      </c>
    </row>
    <row r="32" spans="1:18" x14ac:dyDescent="0.25">
      <c r="A32" s="152">
        <v>43831</v>
      </c>
      <c r="B32" s="154">
        <v>11951</v>
      </c>
      <c r="C32" s="10"/>
      <c r="D32" s="10"/>
      <c r="E32" s="154">
        <v>20279</v>
      </c>
      <c r="F32" s="10"/>
      <c r="G32" s="10"/>
      <c r="H32" s="10">
        <f t="shared" si="0"/>
        <v>32230</v>
      </c>
      <c r="I32" s="10"/>
      <c r="J32" s="10"/>
      <c r="L32" s="62">
        <f>B32/B28-1</f>
        <v>0.228515625</v>
      </c>
      <c r="M32" s="62">
        <f>E32/E28-1</f>
        <v>0.35022305080231697</v>
      </c>
      <c r="N32" s="62">
        <f>H32/H28-1</f>
        <v>0.30238008647512826</v>
      </c>
      <c r="P32" s="10">
        <v>11823</v>
      </c>
      <c r="Q32" s="10">
        <v>20150</v>
      </c>
      <c r="R32" s="151">
        <f t="shared" si="1"/>
        <v>31973</v>
      </c>
    </row>
    <row r="33" spans="1:18" x14ac:dyDescent="0.25">
      <c r="A33" s="152">
        <v>43922</v>
      </c>
      <c r="B33" s="154">
        <v>12018</v>
      </c>
      <c r="C33" s="10"/>
      <c r="D33" s="10"/>
      <c r="E33" s="154">
        <v>20561</v>
      </c>
      <c r="F33" s="10"/>
      <c r="G33" s="10"/>
      <c r="H33" s="10">
        <f t="shared" si="0"/>
        <v>32579</v>
      </c>
      <c r="I33" s="10"/>
      <c r="J33" s="10"/>
      <c r="L33" s="62">
        <f>B33/B29-1</f>
        <v>0.16453488372093017</v>
      </c>
      <c r="M33" s="62">
        <f>E33/E29-1</f>
        <v>0.28546420756486413</v>
      </c>
      <c r="N33" s="62">
        <f>H33/H29-1</f>
        <v>0.2380391411742353</v>
      </c>
      <c r="P33" s="10">
        <v>11785</v>
      </c>
      <c r="Q33" s="10">
        <v>20379</v>
      </c>
      <c r="R33" s="151">
        <f t="shared" si="1"/>
        <v>32164</v>
      </c>
    </row>
    <row r="34" spans="1:18" x14ac:dyDescent="0.25">
      <c r="A34" s="152">
        <v>44013</v>
      </c>
      <c r="B34" s="154">
        <v>12280</v>
      </c>
      <c r="C34" s="10"/>
      <c r="D34" s="10"/>
      <c r="E34" s="154">
        <v>21472</v>
      </c>
      <c r="F34" s="10"/>
      <c r="G34" s="10"/>
      <c r="H34" s="10">
        <f t="shared" si="0"/>
        <v>33752</v>
      </c>
      <c r="I34" s="10"/>
      <c r="J34" s="10"/>
      <c r="L34" s="62">
        <f t="shared" ref="L34:L43" si="5">B34/B30-1</f>
        <v>0.12094933820173437</v>
      </c>
      <c r="M34" s="62">
        <f t="shared" ref="M34:M43" si="6">E34/E30-1</f>
        <v>0.22907842014882651</v>
      </c>
      <c r="N34" s="62">
        <f t="shared" ref="N34:N43" si="7">H34/H30-1</f>
        <v>0.18740545294635003</v>
      </c>
      <c r="P34" s="10">
        <v>12024</v>
      </c>
      <c r="Q34" s="10">
        <v>21214</v>
      </c>
      <c r="R34" s="151">
        <f t="shared" si="1"/>
        <v>33238</v>
      </c>
    </row>
    <row r="35" spans="1:18" x14ac:dyDescent="0.25">
      <c r="A35" s="152">
        <v>44105</v>
      </c>
      <c r="B35" s="154">
        <v>12720</v>
      </c>
      <c r="C35" s="10"/>
      <c r="D35" s="10"/>
      <c r="E35" s="154">
        <v>23015</v>
      </c>
      <c r="F35" s="10"/>
      <c r="G35" s="10"/>
      <c r="H35" s="10">
        <f t="shared" si="0"/>
        <v>35735</v>
      </c>
      <c r="I35" s="10"/>
      <c r="J35" s="10"/>
      <c r="L35" s="62">
        <f t="shared" si="5"/>
        <v>0.10676063690942317</v>
      </c>
      <c r="M35" s="62">
        <f t="shared" si="6"/>
        <v>0.2275321350472026</v>
      </c>
      <c r="N35" s="62">
        <f t="shared" si="7"/>
        <v>0.18163481251239988</v>
      </c>
      <c r="P35" s="10">
        <v>12426</v>
      </c>
      <c r="Q35" s="10">
        <v>22714</v>
      </c>
      <c r="R35" s="151">
        <f t="shared" si="1"/>
        <v>35140</v>
      </c>
    </row>
    <row r="36" spans="1:18" x14ac:dyDescent="0.25">
      <c r="A36" s="152">
        <v>44197</v>
      </c>
      <c r="B36" s="154">
        <v>13272</v>
      </c>
      <c r="C36" s="10"/>
      <c r="D36" s="10"/>
      <c r="E36" s="154">
        <v>24636</v>
      </c>
      <c r="F36" s="10"/>
      <c r="G36" s="10"/>
      <c r="H36" s="10">
        <f t="shared" si="0"/>
        <v>37908</v>
      </c>
      <c r="I36" s="10"/>
      <c r="J36" s="10"/>
      <c r="L36" s="62">
        <f t="shared" si="5"/>
        <v>0.1105346832901013</v>
      </c>
      <c r="M36" s="62">
        <f t="shared" si="6"/>
        <v>0.21485280339267221</v>
      </c>
      <c r="N36" s="62">
        <f t="shared" si="7"/>
        <v>0.17617126900403357</v>
      </c>
      <c r="P36" s="10">
        <v>12964</v>
      </c>
      <c r="Q36" s="10">
        <v>24292</v>
      </c>
      <c r="R36" s="151">
        <f t="shared" si="1"/>
        <v>37256</v>
      </c>
    </row>
    <row r="37" spans="1:18" x14ac:dyDescent="0.25">
      <c r="A37" s="152">
        <v>44287</v>
      </c>
      <c r="B37" s="154">
        <v>14162</v>
      </c>
      <c r="C37" s="10"/>
      <c r="D37" s="10"/>
      <c r="E37" s="154">
        <v>26141</v>
      </c>
      <c r="F37" s="10"/>
      <c r="G37" s="10"/>
      <c r="H37" s="10">
        <f t="shared" si="0"/>
        <v>40303</v>
      </c>
      <c r="I37" s="10"/>
      <c r="J37" s="10"/>
      <c r="L37" s="62">
        <f t="shared" si="5"/>
        <v>0.17839906806456973</v>
      </c>
      <c r="M37" s="62">
        <f t="shared" si="6"/>
        <v>0.2713875784251738</v>
      </c>
      <c r="N37" s="62">
        <f t="shared" si="7"/>
        <v>0.2370852389576108</v>
      </c>
      <c r="P37" s="10">
        <v>13857</v>
      </c>
      <c r="Q37" s="10">
        <v>25754</v>
      </c>
      <c r="R37" s="151">
        <f t="shared" si="1"/>
        <v>39611</v>
      </c>
    </row>
    <row r="38" spans="1:18" x14ac:dyDescent="0.25">
      <c r="A38" s="152">
        <v>44378</v>
      </c>
      <c r="B38" s="154">
        <v>15358</v>
      </c>
      <c r="C38" s="10"/>
      <c r="D38" s="10"/>
      <c r="E38" s="154">
        <v>28289</v>
      </c>
      <c r="F38" s="10"/>
      <c r="G38" s="10"/>
      <c r="H38" s="10">
        <f t="shared" si="0"/>
        <v>43647</v>
      </c>
      <c r="I38" s="10"/>
      <c r="J38" s="10"/>
      <c r="L38" s="62">
        <f t="shared" si="5"/>
        <v>0.25065146579804565</v>
      </c>
      <c r="M38" s="62">
        <f t="shared" si="6"/>
        <v>0.31748323397913558</v>
      </c>
      <c r="N38" s="62">
        <f t="shared" si="7"/>
        <v>0.29316781227779098</v>
      </c>
      <c r="P38" s="10">
        <v>15056</v>
      </c>
      <c r="Q38" s="10">
        <v>27904</v>
      </c>
      <c r="R38" s="151">
        <f t="shared" si="1"/>
        <v>42960</v>
      </c>
    </row>
    <row r="39" spans="1:18" x14ac:dyDescent="0.25">
      <c r="A39" s="152">
        <v>44470</v>
      </c>
      <c r="B39" s="154">
        <v>16687</v>
      </c>
      <c r="C39" s="10"/>
      <c r="D39" s="10"/>
      <c r="E39" s="154">
        <v>30470</v>
      </c>
      <c r="F39" s="10"/>
      <c r="G39" s="10"/>
      <c r="H39" s="10">
        <f t="shared" si="0"/>
        <v>47157</v>
      </c>
      <c r="I39" s="10"/>
      <c r="J39" s="10"/>
      <c r="L39" s="62">
        <f t="shared" si="5"/>
        <v>0.31187106918238983</v>
      </c>
      <c r="M39" s="62">
        <f t="shared" si="6"/>
        <v>0.32391918314142942</v>
      </c>
      <c r="N39" s="62">
        <f t="shared" si="7"/>
        <v>0.31963061424373862</v>
      </c>
      <c r="P39" s="10">
        <v>16454</v>
      </c>
      <c r="Q39" s="10">
        <v>30210</v>
      </c>
      <c r="R39" s="151">
        <f t="shared" si="1"/>
        <v>46664</v>
      </c>
    </row>
    <row r="40" spans="1:18" x14ac:dyDescent="0.25">
      <c r="A40" s="152">
        <v>44562</v>
      </c>
      <c r="B40" s="154">
        <v>17527</v>
      </c>
      <c r="C40" s="10"/>
      <c r="D40" s="10"/>
      <c r="E40" s="154">
        <v>32517</v>
      </c>
      <c r="F40" s="10"/>
      <c r="G40" s="10"/>
      <c r="H40" s="113">
        <f t="shared" ref="H40:J43" si="8">SUM(B40,E40)</f>
        <v>50044</v>
      </c>
      <c r="I40" s="10"/>
      <c r="J40" s="10"/>
      <c r="L40" s="62">
        <f t="shared" si="5"/>
        <v>0.3205997588908982</v>
      </c>
      <c r="M40" s="62">
        <f t="shared" si="6"/>
        <v>0.3198977106673162</v>
      </c>
      <c r="N40" s="62">
        <f t="shared" si="7"/>
        <v>0.32014350532869051</v>
      </c>
      <c r="P40" s="118">
        <v>17346</v>
      </c>
      <c r="Q40" s="118">
        <v>32290</v>
      </c>
      <c r="R40" s="151">
        <f t="shared" si="1"/>
        <v>49636</v>
      </c>
    </row>
    <row r="41" spans="1:18" x14ac:dyDescent="0.25">
      <c r="A41" s="152">
        <v>44652</v>
      </c>
      <c r="B41" s="154">
        <v>18590</v>
      </c>
      <c r="C41" s="10">
        <f>B41</f>
        <v>18590</v>
      </c>
      <c r="D41" s="10">
        <f>B41</f>
        <v>18590</v>
      </c>
      <c r="E41" s="154">
        <v>34579</v>
      </c>
      <c r="F41" s="10">
        <f>E41</f>
        <v>34579</v>
      </c>
      <c r="G41" s="10">
        <f>E41</f>
        <v>34579</v>
      </c>
      <c r="H41" s="113">
        <f t="shared" si="8"/>
        <v>53169</v>
      </c>
      <c r="I41" s="113">
        <f t="shared" si="8"/>
        <v>53169</v>
      </c>
      <c r="J41" s="113">
        <f t="shared" si="8"/>
        <v>53169</v>
      </c>
      <c r="L41" s="62">
        <f t="shared" si="5"/>
        <v>0.31266770230193486</v>
      </c>
      <c r="M41" s="62">
        <f t="shared" si="6"/>
        <v>0.32278795761447543</v>
      </c>
      <c r="N41" s="62">
        <f t="shared" si="7"/>
        <v>0.31923181897129238</v>
      </c>
      <c r="P41" s="118">
        <v>19072.205900718076</v>
      </c>
      <c r="Q41" s="118">
        <v>35088.053540643399</v>
      </c>
      <c r="R41" s="151">
        <f t="shared" si="1"/>
        <v>54160.259441361472</v>
      </c>
    </row>
    <row r="42" spans="1:18" x14ac:dyDescent="0.25">
      <c r="A42" s="152">
        <v>44743</v>
      </c>
      <c r="B42" s="154">
        <v>19621</v>
      </c>
      <c r="C42" s="113">
        <f t="shared" ref="C42:C51" si="9">C41*((B42/B41)+(B$1/4))</f>
        <v>19806.900000000001</v>
      </c>
      <c r="D42" s="113">
        <f t="shared" ref="D42:D51" si="10">D41*((B42/B41)-(B$1/4))</f>
        <v>19435.099999999999</v>
      </c>
      <c r="E42" s="154">
        <v>38123</v>
      </c>
      <c r="F42" s="113">
        <f t="shared" ref="F42:F51" si="11">F41*((E42/E41)+(E$1/4))</f>
        <v>38641.684999999998</v>
      </c>
      <c r="G42" s="113">
        <f t="shared" ref="G42:G51" si="12">G41*((E42/E41)-(E$1/4))</f>
        <v>37604.31500000001</v>
      </c>
      <c r="H42" s="113">
        <f t="shared" si="8"/>
        <v>57744</v>
      </c>
      <c r="I42" s="113">
        <f t="shared" si="8"/>
        <v>58448.584999999999</v>
      </c>
      <c r="J42" s="113">
        <f t="shared" si="8"/>
        <v>57039.415000000008</v>
      </c>
      <c r="L42" s="62">
        <f t="shared" si="5"/>
        <v>0.27757520510483147</v>
      </c>
      <c r="M42" s="62">
        <f t="shared" si="6"/>
        <v>0.34762628583548372</v>
      </c>
      <c r="N42" s="62">
        <f t="shared" si="7"/>
        <v>0.32297752422846937</v>
      </c>
      <c r="P42" s="118">
        <v>20770.318646581327</v>
      </c>
      <c r="Q42" s="118">
        <v>37768.821303494566</v>
      </c>
      <c r="R42" s="151">
        <f t="shared" si="1"/>
        <v>58539.139950075893</v>
      </c>
    </row>
    <row r="43" spans="1:18" x14ac:dyDescent="0.25">
      <c r="A43" s="152">
        <v>44835</v>
      </c>
      <c r="B43" s="154">
        <v>20696</v>
      </c>
      <c r="C43" s="113">
        <f t="shared" si="9"/>
        <v>21090.154133275573</v>
      </c>
      <c r="D43" s="113">
        <f t="shared" si="10"/>
        <v>20305.563866724427</v>
      </c>
      <c r="E43" s="154">
        <v>41836</v>
      </c>
      <c r="F43" s="113">
        <f t="shared" si="11"/>
        <v>42984.827742276968</v>
      </c>
      <c r="G43" s="113">
        <f t="shared" si="12"/>
        <v>40702.732807723041</v>
      </c>
      <c r="H43" s="113">
        <f t="shared" si="8"/>
        <v>62532</v>
      </c>
      <c r="I43" s="113">
        <f t="shared" si="8"/>
        <v>64074.981875552541</v>
      </c>
      <c r="J43" s="113">
        <f t="shared" si="8"/>
        <v>61008.296674447469</v>
      </c>
      <c r="L43" s="62">
        <f t="shared" si="5"/>
        <v>0.24024689878348404</v>
      </c>
      <c r="M43" s="62">
        <f t="shared" si="6"/>
        <v>0.37302264522481132</v>
      </c>
      <c r="N43" s="62">
        <f t="shared" si="7"/>
        <v>0.3260385520707425</v>
      </c>
      <c r="P43" s="118">
        <v>22330.673392132372</v>
      </c>
      <c r="Q43" s="118">
        <v>40021.058343904842</v>
      </c>
      <c r="R43" s="151">
        <f t="shared" si="1"/>
        <v>62351.731736037211</v>
      </c>
    </row>
    <row r="44" spans="1:18" x14ac:dyDescent="0.25">
      <c r="A44" s="152">
        <v>44927</v>
      </c>
      <c r="B44" s="154">
        <v>21808</v>
      </c>
      <c r="C44" s="10">
        <f t="shared" si="9"/>
        <v>22434.233650845399</v>
      </c>
      <c r="D44" s="10">
        <f t="shared" si="10"/>
        <v>21193.53002066433</v>
      </c>
      <c r="E44" s="154">
        <v>45961</v>
      </c>
      <c r="F44" s="10">
        <f>F43*((E44/E43)+(E$1/4))</f>
        <v>47867.873760975715</v>
      </c>
      <c r="G44" s="10">
        <f t="shared" si="12"/>
        <v>44105.452472263132</v>
      </c>
      <c r="H44" s="10">
        <f t="shared" ref="H44:H51" si="13">SUM(B44,E44)</f>
        <v>67769</v>
      </c>
      <c r="I44" s="10">
        <f t="shared" ref="I44:I51" si="14">SUM(C44,F44)</f>
        <v>70302.107411821111</v>
      </c>
      <c r="J44" s="10">
        <f t="shared" ref="J44:J51" si="15">SUM(D44,G44)</f>
        <v>65298.982492927462</v>
      </c>
      <c r="L44" s="62">
        <f t="shared" ref="L44:L63" si="16">B44/B40-1</f>
        <v>0.24425172590859812</v>
      </c>
      <c r="M44" s="62">
        <f t="shared" ref="M44:M63" si="17">E44/E40-1</f>
        <v>0.41344527477934623</v>
      </c>
      <c r="N44" s="62">
        <f t="shared" ref="N44:N63" si="18">H44/H40-1</f>
        <v>0.35418831428343056</v>
      </c>
      <c r="P44" s="10">
        <v>23918.105877302525</v>
      </c>
      <c r="Q44" s="10">
        <v>42462.353055980224</v>
      </c>
      <c r="R44" s="151">
        <f t="shared" si="1"/>
        <v>66380.458933282745</v>
      </c>
    </row>
    <row r="45" spans="1:18" x14ac:dyDescent="0.25">
      <c r="A45" s="152">
        <v>45017</v>
      </c>
      <c r="B45" s="10">
        <v>23066</v>
      </c>
      <c r="C45" s="10">
        <f t="shared" si="9"/>
        <v>23952.700434013954</v>
      </c>
      <c r="D45" s="10">
        <f t="shared" si="10"/>
        <v>22204.148864166222</v>
      </c>
      <c r="E45" s="10">
        <v>50303</v>
      </c>
      <c r="F45" s="10">
        <f t="shared" si="11"/>
        <v>53108.036900574058</v>
      </c>
      <c r="G45" s="10">
        <f t="shared" si="12"/>
        <v>47610.574513089079</v>
      </c>
      <c r="H45" s="10">
        <f t="shared" si="13"/>
        <v>73369</v>
      </c>
      <c r="I45" s="10">
        <f t="shared" si="14"/>
        <v>77060.737334588019</v>
      </c>
      <c r="J45" s="10">
        <f t="shared" si="15"/>
        <v>69814.723377255301</v>
      </c>
      <c r="L45" s="62">
        <f t="shared" si="16"/>
        <v>0.24077461000537914</v>
      </c>
      <c r="M45" s="62">
        <f t="shared" si="17"/>
        <v>0.45472685734116092</v>
      </c>
      <c r="N45" s="62">
        <f t="shared" si="18"/>
        <v>0.37992063044255109</v>
      </c>
      <c r="P45" s="10">
        <v>25691.020878863561</v>
      </c>
      <c r="Q45" s="10">
        <v>45579.703997657998</v>
      </c>
      <c r="R45" s="151">
        <f t="shared" si="1"/>
        <v>71270.724876521563</v>
      </c>
    </row>
    <row r="46" spans="1:18" x14ac:dyDescent="0.25">
      <c r="A46" s="152">
        <v>45108</v>
      </c>
      <c r="B46" s="10">
        <v>24345</v>
      </c>
      <c r="C46" s="10">
        <f t="shared" si="9"/>
        <v>25520.394604533918</v>
      </c>
      <c r="D46" s="10">
        <f t="shared" si="10"/>
        <v>23213.31809247889</v>
      </c>
      <c r="E46" s="10">
        <v>54677</v>
      </c>
      <c r="F46" s="10">
        <f t="shared" si="11"/>
        <v>58522.564008425565</v>
      </c>
      <c r="G46" s="10">
        <f t="shared" si="12"/>
        <v>51036.301248557596</v>
      </c>
      <c r="H46" s="117">
        <f t="shared" si="13"/>
        <v>79022</v>
      </c>
      <c r="I46" s="10">
        <f t="shared" si="14"/>
        <v>84042.958612959483</v>
      </c>
      <c r="J46" s="10">
        <f t="shared" si="15"/>
        <v>74249.619341036479</v>
      </c>
      <c r="L46" s="62">
        <f t="shared" si="16"/>
        <v>0.24076244839712557</v>
      </c>
      <c r="M46" s="62">
        <f t="shared" si="17"/>
        <v>0.43422605776040712</v>
      </c>
      <c r="N46" s="62">
        <f t="shared" si="18"/>
        <v>0.36848850096979779</v>
      </c>
      <c r="P46" s="10">
        <v>27394.210700905394</v>
      </c>
      <c r="Q46" s="10">
        <v>48402.265014257988</v>
      </c>
      <c r="R46" s="151">
        <f t="shared" si="1"/>
        <v>75796.475715163382</v>
      </c>
    </row>
    <row r="47" spans="1:18" x14ac:dyDescent="0.25">
      <c r="A47" s="152">
        <v>45200</v>
      </c>
      <c r="B47" s="10">
        <v>25566</v>
      </c>
      <c r="C47" s="10">
        <f t="shared" si="9"/>
        <v>27055.549333579296</v>
      </c>
      <c r="D47" s="10">
        <f t="shared" si="10"/>
        <v>24145.426496722175</v>
      </c>
      <c r="E47" s="10">
        <v>58995</v>
      </c>
      <c r="F47" s="10">
        <f t="shared" si="11"/>
        <v>64022.097722285354</v>
      </c>
      <c r="G47" s="10">
        <f t="shared" si="12"/>
        <v>54301.240274853139</v>
      </c>
      <c r="H47" s="10">
        <f t="shared" si="13"/>
        <v>84561</v>
      </c>
      <c r="I47" s="10">
        <f t="shared" si="14"/>
        <v>91077.647055864654</v>
      </c>
      <c r="J47" s="10">
        <f t="shared" si="15"/>
        <v>78446.666771575314</v>
      </c>
      <c r="L47" s="62">
        <f t="shared" si="16"/>
        <v>0.23531117124081957</v>
      </c>
      <c r="M47" s="62">
        <f t="shared" si="17"/>
        <v>0.41014915383879913</v>
      </c>
      <c r="N47" s="62">
        <f t="shared" si="18"/>
        <v>0.35228363078104019</v>
      </c>
      <c r="P47" s="10">
        <v>29075.061387761471</v>
      </c>
      <c r="Q47" s="10">
        <v>51190.165457719369</v>
      </c>
      <c r="R47" s="151">
        <f t="shared" si="1"/>
        <v>80265.226845480836</v>
      </c>
    </row>
    <row r="48" spans="1:18" x14ac:dyDescent="0.25">
      <c r="A48" s="152">
        <v>45292</v>
      </c>
      <c r="B48" s="10">
        <v>27442</v>
      </c>
      <c r="C48" s="10">
        <f t="shared" si="9"/>
        <v>29311.406029676367</v>
      </c>
      <c r="D48" s="10">
        <f t="shared" si="10"/>
        <v>25675.732386172964</v>
      </c>
      <c r="E48" s="10">
        <v>65086</v>
      </c>
      <c r="F48" s="10">
        <f t="shared" si="11"/>
        <v>71592.457109578056</v>
      </c>
      <c r="G48" s="10">
        <f t="shared" si="12"/>
        <v>59093.109576724586</v>
      </c>
      <c r="H48" s="10">
        <f t="shared" si="13"/>
        <v>92528</v>
      </c>
      <c r="I48" s="10">
        <f t="shared" si="14"/>
        <v>100903.86313925442</v>
      </c>
      <c r="J48" s="10">
        <f t="shared" si="15"/>
        <v>84768.841962897553</v>
      </c>
      <c r="L48" s="62">
        <f t="shared" si="16"/>
        <v>0.25834556126192232</v>
      </c>
      <c r="M48" s="62">
        <f t="shared" si="17"/>
        <v>0.41611366158264618</v>
      </c>
      <c r="N48" s="62">
        <f t="shared" si="18"/>
        <v>0.36534403635880719</v>
      </c>
      <c r="P48" s="10">
        <v>30758.281376834213</v>
      </c>
      <c r="Q48" s="10">
        <v>54060.691105834383</v>
      </c>
      <c r="R48" s="151">
        <f t="shared" si="1"/>
        <v>84818.9724826686</v>
      </c>
    </row>
    <row r="49" spans="1:18" x14ac:dyDescent="0.25">
      <c r="A49" s="152">
        <v>45383</v>
      </c>
      <c r="B49" s="10">
        <v>29162</v>
      </c>
      <c r="C49" s="10">
        <f t="shared" si="9"/>
        <v>31441.690061951973</v>
      </c>
      <c r="D49" s="10">
        <f t="shared" si="10"/>
        <v>27028.269563594578</v>
      </c>
      <c r="E49" s="10">
        <v>70846</v>
      </c>
      <c r="F49" s="10">
        <f t="shared" si="11"/>
        <v>79002.154324073927</v>
      </c>
      <c r="G49" s="10">
        <f t="shared" si="12"/>
        <v>63436.352351104222</v>
      </c>
      <c r="H49" s="10">
        <f t="shared" si="13"/>
        <v>100008</v>
      </c>
      <c r="I49" s="10">
        <f t="shared" si="14"/>
        <v>110443.8443860259</v>
      </c>
      <c r="J49" s="10">
        <f t="shared" si="15"/>
        <v>90464.621914698801</v>
      </c>
      <c r="L49" s="62">
        <f t="shared" si="16"/>
        <v>0.26428509494494068</v>
      </c>
      <c r="M49" s="62">
        <f t="shared" si="17"/>
        <v>0.40838518577420824</v>
      </c>
      <c r="N49" s="62">
        <f t="shared" si="18"/>
        <v>0.36308250078370974</v>
      </c>
      <c r="P49" s="10">
        <v>32632.060958476424</v>
      </c>
      <c r="Q49" s="10">
        <v>57402.460505914627</v>
      </c>
      <c r="R49" s="151">
        <f t="shared" si="1"/>
        <v>90034.521464391059</v>
      </c>
    </row>
    <row r="50" spans="1:18" x14ac:dyDescent="0.25">
      <c r="A50" s="152">
        <v>45474</v>
      </c>
      <c r="B50" s="10">
        <v>30916</v>
      </c>
      <c r="C50" s="10">
        <f t="shared" si="9"/>
        <v>33647.222948054783</v>
      </c>
      <c r="D50" s="10">
        <f t="shared" si="10"/>
        <v>28383.649881968129</v>
      </c>
      <c r="E50" s="10">
        <v>76547</v>
      </c>
      <c r="F50" s="10">
        <f t="shared" si="11"/>
        <v>86544.514953893464</v>
      </c>
      <c r="G50" s="10">
        <f t="shared" si="12"/>
        <v>67589.550378849628</v>
      </c>
      <c r="H50" s="10">
        <f t="shared" si="13"/>
        <v>107463</v>
      </c>
      <c r="I50" s="10">
        <f t="shared" si="14"/>
        <v>120191.73790194825</v>
      </c>
      <c r="J50" s="10">
        <f t="shared" si="15"/>
        <v>95973.200260817757</v>
      </c>
      <c r="L50" s="62">
        <f t="shared" si="16"/>
        <v>0.26991168617785988</v>
      </c>
      <c r="M50" s="62">
        <f t="shared" si="17"/>
        <v>0.39998536861934642</v>
      </c>
      <c r="N50" s="62">
        <f t="shared" si="18"/>
        <v>0.35991242945002666</v>
      </c>
      <c r="P50" s="10">
        <v>34492.978613799562</v>
      </c>
      <c r="Q50" s="10">
        <v>60724.974032028964</v>
      </c>
      <c r="R50" s="151">
        <f t="shared" si="1"/>
        <v>95217.952645828525</v>
      </c>
    </row>
    <row r="51" spans="1:18" x14ac:dyDescent="0.25">
      <c r="A51" s="152">
        <v>45566</v>
      </c>
      <c r="B51" s="10">
        <v>32606</v>
      </c>
      <c r="C51" s="10">
        <f t="shared" si="9"/>
        <v>35822.995435725672</v>
      </c>
      <c r="D51" s="10">
        <f t="shared" si="10"/>
        <v>29651.384359359025</v>
      </c>
      <c r="E51" s="10">
        <v>81964</v>
      </c>
      <c r="F51" s="10">
        <f t="shared" si="11"/>
        <v>93967.176616634984</v>
      </c>
      <c r="G51" s="10">
        <f t="shared" si="12"/>
        <v>71358.815467089284</v>
      </c>
      <c r="H51" s="10">
        <f t="shared" si="13"/>
        <v>114570</v>
      </c>
      <c r="I51" s="10">
        <f t="shared" si="14"/>
        <v>129790.17205236066</v>
      </c>
      <c r="J51" s="10">
        <f t="shared" si="15"/>
        <v>101010.19982644831</v>
      </c>
      <c r="L51" s="62">
        <f t="shared" si="16"/>
        <v>0.27536572009700389</v>
      </c>
      <c r="M51" s="62">
        <f t="shared" si="17"/>
        <v>0.3893380794982626</v>
      </c>
      <c r="N51" s="62">
        <f t="shared" si="18"/>
        <v>0.35487990917798995</v>
      </c>
      <c r="P51" s="10">
        <v>36239.492819231964</v>
      </c>
      <c r="Q51" s="10">
        <v>63609.503952119179</v>
      </c>
      <c r="R51" s="151">
        <f t="shared" si="1"/>
        <v>99848.996771351143</v>
      </c>
    </row>
    <row r="52" spans="1:18" x14ac:dyDescent="0.25">
      <c r="A52" s="152">
        <v>45658</v>
      </c>
      <c r="B52" s="10">
        <v>34864</v>
      </c>
      <c r="C52" s="10">
        <f>C51*((B52/B51)+(B$1/4))</f>
        <v>38662.005727869488</v>
      </c>
      <c r="D52" s="10">
        <f>D51*((B52/B51)-(B$1/4))</f>
        <v>31408.260256409263</v>
      </c>
      <c r="E52" s="10">
        <v>89725</v>
      </c>
      <c r="F52" s="10">
        <f>F51*((E52/E51)+(E$1/4))</f>
        <v>104274.23999427384</v>
      </c>
      <c r="G52" s="10">
        <f>G51*((E52/E51)-(E$1/4))</f>
        <v>77045.250457767048</v>
      </c>
      <c r="H52" s="10">
        <f t="shared" ref="H52:J55" si="19">SUM(B52,E52)</f>
        <v>124589</v>
      </c>
      <c r="I52" s="10">
        <f t="shared" si="19"/>
        <v>142936.24572214333</v>
      </c>
      <c r="J52" s="10">
        <f t="shared" si="19"/>
        <v>108453.51071417631</v>
      </c>
      <c r="L52" s="62">
        <f t="shared" si="16"/>
        <v>0.27046133663727123</v>
      </c>
      <c r="M52" s="62">
        <f t="shared" si="17"/>
        <v>0.37856067357035306</v>
      </c>
      <c r="N52" s="62">
        <f t="shared" si="18"/>
        <v>0.34650051876188837</v>
      </c>
      <c r="P52" s="10">
        <v>37864.157196378394</v>
      </c>
      <c r="Q52" s="10">
        <v>66577.359290461784</v>
      </c>
      <c r="R52" s="151">
        <f t="shared" si="1"/>
        <v>104441.51648684018</v>
      </c>
    </row>
    <row r="53" spans="1:18" x14ac:dyDescent="0.25">
      <c r="A53" s="152">
        <v>45748</v>
      </c>
      <c r="B53" s="10">
        <v>36817</v>
      </c>
      <c r="C53" s="10">
        <f>C52*((B53/B52)+(B$1/4))</f>
        <v>41214.381211563079</v>
      </c>
      <c r="D53" s="10">
        <f>D52*((B53/B52)-(B$1/4))</f>
        <v>32853.595169929591</v>
      </c>
      <c r="E53" s="10">
        <v>96816</v>
      </c>
      <c r="F53" s="10">
        <f>F52*((E53/E52)+(E$1/4))</f>
        <v>114079.18542254565</v>
      </c>
      <c r="G53" s="10">
        <f>G52*((E53/E52)-(E$1/4))</f>
        <v>81978.48639575734</v>
      </c>
      <c r="H53" s="10">
        <f t="shared" si="19"/>
        <v>133633</v>
      </c>
      <c r="I53" s="10">
        <f t="shared" si="19"/>
        <v>155293.56663410872</v>
      </c>
      <c r="J53" s="10">
        <f t="shared" si="19"/>
        <v>114832.08156568694</v>
      </c>
      <c r="L53" s="62">
        <f t="shared" si="16"/>
        <v>0.2624991427199781</v>
      </c>
      <c r="M53" s="62">
        <f t="shared" si="17"/>
        <v>0.36656974282245991</v>
      </c>
      <c r="N53" s="62">
        <f t="shared" si="18"/>
        <v>0.33622310215182782</v>
      </c>
      <c r="P53" s="10">
        <v>39575.808812051197</v>
      </c>
      <c r="Q53" s="10">
        <v>70222.321178804923</v>
      </c>
      <c r="R53" s="151">
        <f t="shared" si="1"/>
        <v>109798.12999085612</v>
      </c>
    </row>
    <row r="54" spans="1:18" x14ac:dyDescent="0.25">
      <c r="A54" s="152">
        <v>45839</v>
      </c>
      <c r="B54" s="10">
        <v>38848</v>
      </c>
      <c r="C54" s="10">
        <f>C53*((B54/B53)+(B$1/4))</f>
        <v>43900.105387116382</v>
      </c>
      <c r="D54" s="10">
        <f>D53*((B54/B53)-(B$1/4))</f>
        <v>34337.419046302304</v>
      </c>
      <c r="E54" s="10">
        <v>104097</v>
      </c>
      <c r="F54" s="10">
        <f>F53*((E54/E53)+(E$1/4))</f>
        <v>124369.64263312645</v>
      </c>
      <c r="G54" s="10">
        <f>G53*((E54/E53)-(E$1/4))</f>
        <v>86913.961135099336</v>
      </c>
      <c r="H54" s="10">
        <f t="shared" si="19"/>
        <v>142945</v>
      </c>
      <c r="I54" s="10">
        <f t="shared" si="19"/>
        <v>168269.74802024284</v>
      </c>
      <c r="J54" s="10">
        <f t="shared" si="19"/>
        <v>121251.38018140165</v>
      </c>
      <c r="L54" s="62">
        <f t="shared" si="16"/>
        <v>0.25656617932462145</v>
      </c>
      <c r="M54" s="62">
        <f t="shared" si="17"/>
        <v>0.35990959802474287</v>
      </c>
      <c r="N54" s="62">
        <f t="shared" si="18"/>
        <v>0.33017875920084117</v>
      </c>
      <c r="P54" s="10">
        <v>41284.414182016852</v>
      </c>
      <c r="Q54" s="10">
        <v>73506.322956987497</v>
      </c>
      <c r="R54" s="151">
        <f t="shared" si="1"/>
        <v>114790.73713900434</v>
      </c>
    </row>
    <row r="55" spans="1:18" x14ac:dyDescent="0.25">
      <c r="A55" s="152">
        <v>45931</v>
      </c>
      <c r="B55" s="10">
        <v>40843</v>
      </c>
      <c r="C55" s="10">
        <f>C54*((B55/B54)+(B$1/4))</f>
        <v>46593.552236068303</v>
      </c>
      <c r="D55" s="10">
        <f>D54*((B55/B54)-(B$1/4))</f>
        <v>35757.408503835912</v>
      </c>
      <c r="E55" s="10">
        <v>111308</v>
      </c>
      <c r="F55" s="10">
        <f>F54*((E55/E54)+(E$1/4))</f>
        <v>134850.51233508886</v>
      </c>
      <c r="G55" s="10">
        <f>G54*((E55/E54)-(E$1/4))</f>
        <v>91630.949468682389</v>
      </c>
      <c r="H55" s="10">
        <f t="shared" si="19"/>
        <v>152151</v>
      </c>
      <c r="I55" s="10">
        <f t="shared" si="19"/>
        <v>181444.06457115716</v>
      </c>
      <c r="J55" s="10">
        <f t="shared" si="19"/>
        <v>127388.35797251831</v>
      </c>
      <c r="L55" s="62">
        <f t="shared" si="16"/>
        <v>0.25262221676991969</v>
      </c>
      <c r="M55" s="62">
        <f t="shared" si="17"/>
        <v>0.35801083402469369</v>
      </c>
      <c r="N55" s="62">
        <f t="shared" si="18"/>
        <v>0.32801780570830052</v>
      </c>
      <c r="P55" s="10">
        <v>42931.756166094281</v>
      </c>
      <c r="Q55" s="10">
        <v>76775.970356395497</v>
      </c>
      <c r="R55" s="151">
        <f t="shared" si="1"/>
        <v>119707.72652248977</v>
      </c>
    </row>
    <row r="56" spans="1:18" x14ac:dyDescent="0.25">
      <c r="A56" s="152">
        <v>46023</v>
      </c>
      <c r="B56" s="10">
        <v>43466</v>
      </c>
      <c r="C56" s="10">
        <f t="shared" ref="C56:C63" si="20">C55*((B56/B55)+(B$1/4))</f>
        <v>50051.797028443609</v>
      </c>
      <c r="D56" s="10">
        <f t="shared" ref="D56:D63" si="21">D55*((B56/B55)-(B$1/4))</f>
        <v>37696.229945706982</v>
      </c>
      <c r="E56" s="10">
        <v>121176</v>
      </c>
      <c r="F56" s="10">
        <f t="shared" ref="F56:F63" si="22">F55*((E56/E55)+(E$1/4))</f>
        <v>148828.42917958851</v>
      </c>
      <c r="G56" s="10">
        <f t="shared" ref="G56:G63" si="23">G55*((E56/E55)-(E$1/4))</f>
        <v>98380.018210417547</v>
      </c>
      <c r="H56" s="10">
        <f t="shared" ref="H56:H63" si="24">SUM(B56,E56)</f>
        <v>164642</v>
      </c>
      <c r="I56" s="10">
        <f t="shared" ref="I56:I63" si="25">SUM(C56,F56)</f>
        <v>198880.22620803211</v>
      </c>
      <c r="J56" s="10">
        <f t="shared" ref="J56:J63" si="26">SUM(D56,G56)</f>
        <v>136076.24815612452</v>
      </c>
      <c r="L56" s="62">
        <f t="shared" si="16"/>
        <v>0.24673015144561727</v>
      </c>
      <c r="M56" s="62">
        <f t="shared" si="17"/>
        <v>0.35052660908331013</v>
      </c>
      <c r="N56" s="62">
        <f t="shared" si="18"/>
        <v>0.32148102962540825</v>
      </c>
      <c r="P56" s="10">
        <v>44467.064002497653</v>
      </c>
      <c r="Q56" s="10">
        <v>79958.091055958532</v>
      </c>
      <c r="R56" s="151">
        <f t="shared" si="1"/>
        <v>124425.15505845618</v>
      </c>
    </row>
    <row r="57" spans="1:18" x14ac:dyDescent="0.25">
      <c r="A57" s="152">
        <v>46113</v>
      </c>
      <c r="B57" s="10">
        <v>45826</v>
      </c>
      <c r="C57" s="10">
        <f t="shared" si="20"/>
        <v>53269.892898399674</v>
      </c>
      <c r="D57" s="10">
        <f t="shared" si="21"/>
        <v>39365.996185150863</v>
      </c>
      <c r="E57" s="10">
        <v>130291</v>
      </c>
      <c r="F57" s="10">
        <f t="shared" si="22"/>
        <v>162255.9035803439</v>
      </c>
      <c r="G57" s="10">
        <f t="shared" si="23"/>
        <v>104304.57760904412</v>
      </c>
      <c r="H57" s="10">
        <f t="shared" si="24"/>
        <v>176117</v>
      </c>
      <c r="I57" s="10">
        <f t="shared" si="25"/>
        <v>215525.79647874358</v>
      </c>
      <c r="J57" s="10">
        <f t="shared" si="26"/>
        <v>143670.57379419499</v>
      </c>
      <c r="L57" s="62">
        <f t="shared" si="16"/>
        <v>0.24469674335225577</v>
      </c>
      <c r="M57" s="62">
        <f t="shared" si="17"/>
        <v>0.34575896546025442</v>
      </c>
      <c r="N57" s="62">
        <f t="shared" si="18"/>
        <v>0.31791548494758026</v>
      </c>
      <c r="P57" s="10">
        <v>46136.745121760847</v>
      </c>
      <c r="Q57" s="10">
        <v>83468.962040139217</v>
      </c>
      <c r="R57" s="151">
        <f t="shared" si="1"/>
        <v>129605.70716190006</v>
      </c>
    </row>
    <row r="58" spans="1:18" x14ac:dyDescent="0.25">
      <c r="A58" s="152">
        <v>46204</v>
      </c>
      <c r="B58" s="10">
        <v>48304</v>
      </c>
      <c r="C58" s="10">
        <f t="shared" si="20"/>
        <v>56683.113684020398</v>
      </c>
      <c r="D58" s="10">
        <f t="shared" si="21"/>
        <v>41101.017289654788</v>
      </c>
      <c r="E58" s="10">
        <v>139494</v>
      </c>
      <c r="F58" s="10">
        <f t="shared" si="22"/>
        <v>176150.55739104998</v>
      </c>
      <c r="G58" s="10">
        <f t="shared" si="23"/>
        <v>110107.47889859702</v>
      </c>
      <c r="H58" s="10">
        <f t="shared" si="24"/>
        <v>187798</v>
      </c>
      <c r="I58" s="10">
        <f t="shared" si="25"/>
        <v>232833.67107507039</v>
      </c>
      <c r="J58" s="10">
        <f t="shared" si="26"/>
        <v>151208.49618825183</v>
      </c>
      <c r="L58" s="62">
        <f t="shared" si="16"/>
        <v>0.24341021416803943</v>
      </c>
      <c r="M58" s="62">
        <f t="shared" si="17"/>
        <v>0.34003861782760314</v>
      </c>
      <c r="N58" s="62">
        <f t="shared" si="18"/>
        <v>0.31377802651369402</v>
      </c>
      <c r="P58" s="10">
        <v>47843.996604745538</v>
      </c>
      <c r="Q58" s="10">
        <v>86956.725975560839</v>
      </c>
      <c r="R58" s="151">
        <f t="shared" si="1"/>
        <v>134800.72258030638</v>
      </c>
    </row>
    <row r="59" spans="1:18" x14ac:dyDescent="0.25">
      <c r="A59" s="152">
        <v>46296</v>
      </c>
      <c r="B59" s="10">
        <v>50689</v>
      </c>
      <c r="C59" s="10">
        <f t="shared" si="20"/>
        <v>60048.661824346622</v>
      </c>
      <c r="D59" s="10">
        <f t="shared" si="21"/>
        <v>42719.361336612223</v>
      </c>
      <c r="E59" s="10">
        <v>148368</v>
      </c>
      <c r="F59" s="10">
        <f t="shared" si="22"/>
        <v>189998.74608790278</v>
      </c>
      <c r="G59" s="10">
        <f t="shared" si="23"/>
        <v>115460.42438602973</v>
      </c>
      <c r="H59" s="10">
        <f t="shared" si="24"/>
        <v>199057</v>
      </c>
      <c r="I59" s="10">
        <f t="shared" si="25"/>
        <v>250047.40791224939</v>
      </c>
      <c r="J59" s="10">
        <f t="shared" si="26"/>
        <v>158179.78572264194</v>
      </c>
      <c r="L59" s="62">
        <f t="shared" si="16"/>
        <v>0.24106946110716643</v>
      </c>
      <c r="M59" s="62">
        <f t="shared" si="17"/>
        <v>0.33295001257771228</v>
      </c>
      <c r="N59" s="62">
        <f t="shared" si="18"/>
        <v>0.30828584761191191</v>
      </c>
      <c r="P59" s="10">
        <v>49418.905635341856</v>
      </c>
      <c r="Q59" s="10">
        <v>90041.516984896298</v>
      </c>
      <c r="R59" s="151">
        <f t="shared" si="1"/>
        <v>139460.42262023815</v>
      </c>
    </row>
    <row r="60" spans="1:18" x14ac:dyDescent="0.25">
      <c r="A60" s="152">
        <v>46388</v>
      </c>
      <c r="B60" s="10">
        <v>53774</v>
      </c>
      <c r="C60" s="10">
        <f t="shared" si="20"/>
        <v>64303.78991762628</v>
      </c>
      <c r="D60" s="10">
        <f t="shared" si="21"/>
        <v>44892.124907713122</v>
      </c>
      <c r="E60" s="10">
        <v>161000</v>
      </c>
      <c r="F60" s="10">
        <f t="shared" si="22"/>
        <v>209025.1545450899</v>
      </c>
      <c r="G60" s="10">
        <f t="shared" si="23"/>
        <v>123558.77845944674</v>
      </c>
      <c r="H60" s="10">
        <f t="shared" si="24"/>
        <v>214774</v>
      </c>
      <c r="I60" s="10">
        <f t="shared" si="25"/>
        <v>273328.94446271617</v>
      </c>
      <c r="J60" s="10">
        <f t="shared" si="26"/>
        <v>168450.90336715986</v>
      </c>
      <c r="L60" s="62">
        <f t="shared" si="16"/>
        <v>0.23715087654718636</v>
      </c>
      <c r="M60" s="62">
        <f t="shared" si="17"/>
        <v>0.3286459364890737</v>
      </c>
      <c r="N60" s="62">
        <f t="shared" si="18"/>
        <v>0.30449095613512966</v>
      </c>
      <c r="P60" s="10">
        <v>50942.705432407114</v>
      </c>
      <c r="Q60" s="10">
        <v>93087.0960327012</v>
      </c>
      <c r="R60" s="151">
        <f t="shared" si="1"/>
        <v>144029.80146510832</v>
      </c>
    </row>
    <row r="61" spans="1:18" x14ac:dyDescent="0.25">
      <c r="A61" s="152">
        <v>46478</v>
      </c>
      <c r="B61" s="10">
        <v>56516</v>
      </c>
      <c r="C61" s="10">
        <f t="shared" si="20"/>
        <v>68225.754285990843</v>
      </c>
      <c r="D61" s="10">
        <f t="shared" si="21"/>
        <v>46732.306319716619</v>
      </c>
      <c r="E61" s="10">
        <v>172563</v>
      </c>
      <c r="F61" s="10">
        <f t="shared" si="22"/>
        <v>227172.69249683685</v>
      </c>
      <c r="G61" s="10">
        <f t="shared" si="23"/>
        <v>130579.37290259593</v>
      </c>
      <c r="H61" s="10">
        <f t="shared" si="24"/>
        <v>229079</v>
      </c>
      <c r="I61" s="10">
        <f t="shared" si="25"/>
        <v>295398.44678282773</v>
      </c>
      <c r="J61" s="10">
        <f t="shared" si="26"/>
        <v>177311.67922231255</v>
      </c>
      <c r="L61" s="62">
        <f t="shared" si="16"/>
        <v>0.23327368742635191</v>
      </c>
      <c r="M61" s="62">
        <f t="shared" si="17"/>
        <v>0.32444297764235452</v>
      </c>
      <c r="N61" s="62">
        <f t="shared" si="18"/>
        <v>0.30072054372945267</v>
      </c>
      <c r="P61" s="10">
        <v>52648.603028410856</v>
      </c>
      <c r="Q61" s="10">
        <v>96659.935920372111</v>
      </c>
      <c r="R61" s="151">
        <f t="shared" si="1"/>
        <v>149308.53894878295</v>
      </c>
    </row>
    <row r="62" spans="1:18" x14ac:dyDescent="0.25">
      <c r="A62" s="152">
        <v>46569</v>
      </c>
      <c r="B62" s="10">
        <v>59380</v>
      </c>
      <c r="C62" s="10">
        <f t="shared" si="20"/>
        <v>72365.414339203184</v>
      </c>
      <c r="D62" s="10">
        <f t="shared" si="21"/>
        <v>48633.185629292981</v>
      </c>
      <c r="E62" s="10">
        <v>184600</v>
      </c>
      <c r="F62" s="10">
        <f t="shared" si="22"/>
        <v>246426.54019080597</v>
      </c>
      <c r="G62" s="10">
        <f t="shared" si="23"/>
        <v>137729.14653156442</v>
      </c>
      <c r="H62" s="10">
        <f t="shared" si="24"/>
        <v>243980</v>
      </c>
      <c r="I62" s="10">
        <f t="shared" si="25"/>
        <v>318791.95453000918</v>
      </c>
      <c r="J62" s="10">
        <f t="shared" si="26"/>
        <v>186362.33216085739</v>
      </c>
      <c r="L62" s="62">
        <f t="shared" si="16"/>
        <v>0.2292977807220935</v>
      </c>
      <c r="M62" s="62">
        <f t="shared" si="17"/>
        <v>0.32335440950865268</v>
      </c>
      <c r="N62" s="62">
        <f t="shared" si="18"/>
        <v>0.29916186540857725</v>
      </c>
      <c r="P62" s="10">
        <v>54431.333710583822</v>
      </c>
      <c r="Q62" s="10">
        <v>100246.78008001822</v>
      </c>
      <c r="R62" s="151">
        <f t="shared" si="1"/>
        <v>154678.11379060204</v>
      </c>
    </row>
    <row r="63" spans="1:18" x14ac:dyDescent="0.25">
      <c r="A63" s="152">
        <v>46661</v>
      </c>
      <c r="B63" s="10">
        <v>62162</v>
      </c>
      <c r="C63" s="10">
        <f t="shared" si="20"/>
        <v>76479.445422501973</v>
      </c>
      <c r="D63" s="10">
        <f t="shared" si="21"/>
        <v>50425.357013496738</v>
      </c>
      <c r="E63" s="10">
        <v>196467</v>
      </c>
      <c r="F63" s="10">
        <f t="shared" si="22"/>
        <v>265964.45374569565</v>
      </c>
      <c r="G63" s="10">
        <f t="shared" si="23"/>
        <v>144517.119311327</v>
      </c>
      <c r="H63" s="10">
        <f t="shared" si="24"/>
        <v>258629</v>
      </c>
      <c r="I63" s="10">
        <f t="shared" si="25"/>
        <v>342443.89916819765</v>
      </c>
      <c r="J63" s="10">
        <f t="shared" si="26"/>
        <v>194942.47632482374</v>
      </c>
      <c r="L63" s="62">
        <f t="shared" si="16"/>
        <v>0.22634102073428153</v>
      </c>
      <c r="M63" s="62">
        <f t="shared" si="17"/>
        <v>0.32418715626010997</v>
      </c>
      <c r="N63" s="62">
        <f t="shared" si="18"/>
        <v>0.29927106306233897</v>
      </c>
      <c r="P63" s="10">
        <v>56262.1273805807</v>
      </c>
      <c r="Q63" s="10">
        <v>103665.22286916262</v>
      </c>
      <c r="R63" s="151">
        <f t="shared" si="1"/>
        <v>159927.35024974332</v>
      </c>
    </row>
    <row r="64" spans="1:18" x14ac:dyDescent="0.25">
      <c r="A64" s="152">
        <v>46753</v>
      </c>
      <c r="B64" s="9"/>
      <c r="C64" s="9"/>
      <c r="D64" s="9"/>
      <c r="E64" s="9"/>
      <c r="F64" s="9"/>
      <c r="G64" s="9"/>
      <c r="H64" s="9"/>
      <c r="I64" s="9"/>
      <c r="J64" s="9"/>
    </row>
    <row r="65" spans="1:10" x14ac:dyDescent="0.25">
      <c r="A65" s="152">
        <v>46844</v>
      </c>
      <c r="B65" s="9"/>
      <c r="C65" s="9"/>
      <c r="D65" s="9"/>
      <c r="E65" s="9"/>
      <c r="F65" s="9"/>
      <c r="G65" s="9"/>
      <c r="H65" s="9"/>
      <c r="I65" s="9"/>
      <c r="J65" s="9"/>
    </row>
    <row r="66" spans="1:10" x14ac:dyDescent="0.25">
      <c r="A66" s="152">
        <v>46935</v>
      </c>
      <c r="B66" s="9"/>
      <c r="C66" s="9"/>
      <c r="D66" s="9"/>
      <c r="E66" s="9"/>
      <c r="F66" s="9"/>
      <c r="G66" s="9"/>
      <c r="H66" s="9"/>
      <c r="I66" s="9"/>
      <c r="J66" s="9"/>
    </row>
    <row r="67" spans="1:10" x14ac:dyDescent="0.25">
      <c r="A67" s="152">
        <v>47027</v>
      </c>
      <c r="B67" s="9"/>
      <c r="C67" s="9"/>
      <c r="D67" s="9"/>
      <c r="E67" s="9"/>
      <c r="F67" s="9"/>
      <c r="G67" s="9"/>
      <c r="H67" s="9"/>
      <c r="I67" s="9"/>
      <c r="J67" s="9"/>
    </row>
    <row r="68" spans="1:10" x14ac:dyDescent="0.25">
      <c r="A68"/>
      <c r="B68" s="9"/>
      <c r="C68" s="9"/>
      <c r="D68" s="9"/>
      <c r="E68" s="9"/>
      <c r="F68" s="9"/>
      <c r="G68" s="9"/>
      <c r="H68" s="9"/>
      <c r="I68" s="9"/>
      <c r="J68" s="9"/>
    </row>
    <row r="69" spans="1:10" x14ac:dyDescent="0.25">
      <c r="G69" s="60"/>
      <c r="H69" s="9"/>
    </row>
    <row r="70" spans="1:10" x14ac:dyDescent="0.25">
      <c r="A70" s="1" t="s">
        <v>216</v>
      </c>
      <c r="G70" s="60"/>
      <c r="H70" s="9"/>
    </row>
    <row r="71" spans="1:10" x14ac:dyDescent="0.25">
      <c r="A71" s="1">
        <v>2014</v>
      </c>
      <c r="B71" s="5">
        <f>AVERAGE(B8:B11)/AVERAGE(B4:B7)-1</f>
        <v>0.80350953206239173</v>
      </c>
      <c r="C71" s="5"/>
      <c r="D71" s="5"/>
      <c r="E71" s="5">
        <f>AVERAGE(E8:E11)/AVERAGE(E4:E7)-1</f>
        <v>0.56442392260334207</v>
      </c>
      <c r="F71" s="5"/>
      <c r="G71" s="60"/>
      <c r="H71" s="60">
        <f>AVERAGE(H8:H11)/AVERAGE(H4:H7)-1</f>
        <v>0.6449095682613768</v>
      </c>
      <c r="I71" s="5"/>
      <c r="J71" s="5"/>
    </row>
    <row r="72" spans="1:10" x14ac:dyDescent="0.25">
      <c r="A72" s="59">
        <v>2015</v>
      </c>
      <c r="B72" s="60">
        <f>AVERAGE(B12:B15)/AVERAGE(B8:B11)-1</f>
        <v>0.44180180180180173</v>
      </c>
      <c r="C72" s="60"/>
      <c r="D72" s="60"/>
      <c r="E72" s="60">
        <f>AVERAGE(E12:E15)/AVERAGE(E8:E11)-1</f>
        <v>0.47624736472241747</v>
      </c>
      <c r="F72" s="60"/>
      <c r="G72" s="60"/>
      <c r="H72" s="60">
        <f>AVERAGE(H12:H15)/AVERAGE(H8:H11)-1</f>
        <v>0.46353358457104865</v>
      </c>
      <c r="I72" s="5"/>
      <c r="J72" s="5"/>
    </row>
    <row r="73" spans="1:10" x14ac:dyDescent="0.25">
      <c r="A73" s="59">
        <v>2016</v>
      </c>
      <c r="B73" s="60">
        <f>AVERAGE(B16:B19)/AVERAGE(B12:B15)-1</f>
        <v>0.44547196534199784</v>
      </c>
      <c r="C73" s="60"/>
      <c r="D73" s="60"/>
      <c r="E73" s="60">
        <f>AVERAGE(E16:E19)/AVERAGE(E12:E15)-1</f>
        <v>0.38858475746179844</v>
      </c>
      <c r="F73" s="60"/>
      <c r="G73" s="60"/>
      <c r="H73" s="60">
        <f>AVERAGE(H16:H19)/AVERAGE(H12:H15)-1</f>
        <v>0.40926991820660397</v>
      </c>
      <c r="I73" s="5"/>
      <c r="J73" s="5"/>
    </row>
    <row r="74" spans="1:10" x14ac:dyDescent="0.25">
      <c r="A74" s="59">
        <v>2017</v>
      </c>
      <c r="B74" s="60">
        <f>AVERAGE(B20:B23)/AVERAGE(B16:B19)-1</f>
        <v>0.41383285302593653</v>
      </c>
      <c r="C74" s="60"/>
      <c r="D74" s="60"/>
      <c r="E74" s="60">
        <f>AVERAGE(E20:E23)/AVERAGE(E16:E19)-1</f>
        <v>0.33167637984230369</v>
      </c>
      <c r="F74" s="60"/>
      <c r="G74" s="60"/>
      <c r="H74" s="60">
        <f>AVERAGE(H20:H23)/AVERAGE(H16:H19)-1</f>
        <v>0.36231728288907994</v>
      </c>
      <c r="I74" s="5"/>
      <c r="J74" s="5"/>
    </row>
    <row r="75" spans="1:10" x14ac:dyDescent="0.25">
      <c r="A75" s="59">
        <v>2018</v>
      </c>
      <c r="B75" s="60">
        <f>AVERAGE(B24:B27)/AVERAGE(B20:B23)-1</f>
        <v>0.3522625356706075</v>
      </c>
      <c r="C75" s="60"/>
      <c r="D75" s="60"/>
      <c r="E75" s="60">
        <f>AVERAGE(E24:E27)/AVERAGE(E20:E23)-1</f>
        <v>0.25220749131162301</v>
      </c>
      <c r="F75" s="60"/>
      <c r="G75" s="60"/>
      <c r="H75" s="60">
        <f>AVERAGE(H24:H27)/AVERAGE(H20:H23)-1</f>
        <v>0.29093491124260362</v>
      </c>
      <c r="I75" s="5"/>
      <c r="J75" s="5"/>
    </row>
    <row r="76" spans="1:10" x14ac:dyDescent="0.25">
      <c r="A76" s="84">
        <v>2019</v>
      </c>
      <c r="B76" s="60">
        <f>AVERAGE(B28:B31)/AVERAGE(B24:B27)-1</f>
        <v>0.28111904977239144</v>
      </c>
      <c r="C76" s="60"/>
      <c r="D76" s="60"/>
      <c r="E76" s="60">
        <f>AVERAGE(E28:E31)/AVERAGE(E24:E27)-1</f>
        <v>0.38220056741087949</v>
      </c>
      <c r="F76" s="60"/>
      <c r="G76" s="60"/>
      <c r="H76" s="60">
        <f>AVERAGE(H28:H30)/AVERAGE(H24:H26)-1</f>
        <v>0.34801410982600167</v>
      </c>
      <c r="I76" s="5"/>
      <c r="J76" s="5"/>
    </row>
    <row r="77" spans="1:10" x14ac:dyDescent="0.25">
      <c r="A77" s="59">
        <v>2020</v>
      </c>
      <c r="B77" s="60">
        <f>AVERAGE(B32:B35)/AVERAGE(B28:B31)-1</f>
        <v>0.15232021837349397</v>
      </c>
      <c r="C77" s="59"/>
      <c r="D77" s="60"/>
      <c r="E77" s="60">
        <f>AVERAGE(E32:E35)/AVERAGE(E28:E31)-1</f>
        <v>0.26912379337527703</v>
      </c>
      <c r="F77" s="59"/>
      <c r="G77" s="60"/>
      <c r="H77" s="60">
        <f>AVERAGE(H32:H35)/AVERAGE(H28:H31)-1</f>
        <v>0.22388794211193019</v>
      </c>
      <c r="I77" s="53"/>
    </row>
    <row r="78" spans="1:10" x14ac:dyDescent="0.25">
      <c r="A78" s="1">
        <v>2021</v>
      </c>
      <c r="B78" s="5">
        <f>SUM(B36:B39)/SUM(B32:B35)-1</f>
        <v>0.21462557944822236</v>
      </c>
      <c r="C78"/>
      <c r="D78" s="5"/>
      <c r="E78" s="5">
        <f>SUM(E36:E39)/SUM(E32:E35)-1</f>
        <v>0.28372027611424278</v>
      </c>
      <c r="F78"/>
      <c r="G78" s="5"/>
      <c r="H78" s="5">
        <f>SUM(H36:H39)/SUM(H32:H35)-1</f>
        <v>0.25852594269375118</v>
      </c>
      <c r="I78" s="5"/>
      <c r="J78" s="5"/>
    </row>
    <row r="79" spans="1:10" x14ac:dyDescent="0.25">
      <c r="A79" s="1">
        <v>2022</v>
      </c>
      <c r="B79" s="5">
        <f>SUM(B40:B43)/SUM(B36:B39)-1</f>
        <v>0.285058592108139</v>
      </c>
      <c r="C79"/>
      <c r="D79" s="5"/>
      <c r="E79" s="5">
        <f>SUM(E40:E43)/SUM(E36:E39)-1</f>
        <v>0.34252665790242487</v>
      </c>
      <c r="F79"/>
      <c r="G79" s="5"/>
      <c r="H79" s="5">
        <f>SUM(H40:H43)/SUM(H36:H39)-1</f>
        <v>0.3223027541934147</v>
      </c>
    </row>
    <row r="80" spans="1:10" x14ac:dyDescent="0.25">
      <c r="A80" s="1">
        <v>2023</v>
      </c>
      <c r="B80" s="5">
        <f>SUM(B44:B47)/SUM(B40:B43)-1</f>
        <v>0.2400894889708769</v>
      </c>
      <c r="C80"/>
      <c r="E80" s="5">
        <f>SUM(E44:E47)/SUM(E40:E43)-1</f>
        <v>0.42760191764985889</v>
      </c>
      <c r="F80"/>
      <c r="H80" s="5">
        <f>SUM(H44:H47)/SUM(H40:H43)-1</f>
        <v>0.36347202770606168</v>
      </c>
    </row>
    <row r="81" spans="1:12" x14ac:dyDescent="0.25">
      <c r="A81" s="1">
        <v>2024</v>
      </c>
      <c r="B81" s="5">
        <f>SUM(B48:B51)/SUM(B44:B47)-1</f>
        <v>0.26735242918183255</v>
      </c>
      <c r="C81"/>
      <c r="E81" s="5">
        <f>SUM(E48:E51)/SUM(E44:E47)-1</f>
        <v>0.40253696364606362</v>
      </c>
      <c r="F81"/>
      <c r="H81" s="5">
        <f>SUM(H48:H51)/SUM(H44:H47)-1</f>
        <v>0.36048713413253441</v>
      </c>
    </row>
    <row r="82" spans="1:12" x14ac:dyDescent="0.25">
      <c r="A82" s="1">
        <v>2025</v>
      </c>
      <c r="B82" s="5">
        <f>SUM(B52:B55)/SUM(B48:B51)-1</f>
        <v>0.2601102176048482</v>
      </c>
      <c r="C82"/>
      <c r="E82" s="5">
        <f>SUM(E52:E55)/SUM(E48:E51)-1</f>
        <v>0.36510631938949145</v>
      </c>
      <c r="F82"/>
      <c r="H82" s="5">
        <f>SUM(H52:H55)/SUM(H48:H51)-1</f>
        <v>0.33468252570742152</v>
      </c>
    </row>
    <row r="83" spans="1:12" x14ac:dyDescent="0.25">
      <c r="A83" s="1">
        <v>2026</v>
      </c>
      <c r="B83" s="5">
        <f>SUM(B56:B59)/SUM(B52:B55)-1</f>
        <v>0.2438561953333509</v>
      </c>
      <c r="C83"/>
      <c r="E83" s="5">
        <f>SUM(E56:E59)/SUM(E52:E55)-1</f>
        <v>0.34179466893562815</v>
      </c>
      <c r="F83"/>
      <c r="H83" s="5">
        <f>SUM(H56:H59)/SUM(H52:H55)-1</f>
        <v>0.31500150004156735</v>
      </c>
      <c r="I83" s="5"/>
      <c r="J83" s="5"/>
    </row>
    <row r="84" spans="1:12" x14ac:dyDescent="0.25">
      <c r="A84" s="1">
        <v>2027</v>
      </c>
      <c r="B84" s="5">
        <f>SUM(B60:B63)/SUM(B56:B59)-1</f>
        <v>0.23128236450062412</v>
      </c>
      <c r="C84"/>
      <c r="E84" s="5">
        <f>SUM(E60:E63)/SUM(E56:E59)-1</f>
        <v>0.3250353680221163</v>
      </c>
      <c r="F84"/>
      <c r="H84" s="5">
        <f>SUM(H60:H63)/SUM(H56:H59)-1</f>
        <v>0.30077486139628973</v>
      </c>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3" spans="1:12" x14ac:dyDescent="0.25">
      <c r="A93"/>
      <c r="B93"/>
      <c r="C93"/>
      <c r="D93"/>
    </row>
    <row r="94" spans="1:12" x14ac:dyDescent="0.25">
      <c r="B94" t="s">
        <v>921</v>
      </c>
      <c r="C94" s="1" t="s">
        <v>919</v>
      </c>
      <c r="D94" t="s">
        <v>920</v>
      </c>
      <c r="E94" t="s">
        <v>573</v>
      </c>
      <c r="F94" t="s">
        <v>570</v>
      </c>
      <c r="G94" t="s">
        <v>571</v>
      </c>
      <c r="H94" t="s">
        <v>572</v>
      </c>
    </row>
    <row r="95" spans="1:12" x14ac:dyDescent="0.25">
      <c r="A95" s="134">
        <v>2016</v>
      </c>
      <c r="B95" s="151">
        <v>41254921</v>
      </c>
      <c r="D95" s="18">
        <f>B95*3.6/116.09/1000000</f>
        <v>1.279332548884486</v>
      </c>
      <c r="E95" s="18">
        <f>D95+SUM(Forecast_Main!H93:K93)/1000000</f>
        <v>1.3264875488844861</v>
      </c>
      <c r="F95" s="9">
        <f>B95*(E95/D95)</f>
        <v>42775538.763888896</v>
      </c>
      <c r="G95" s="9">
        <f>AVERAGE(H16:H19)</f>
        <v>11630</v>
      </c>
      <c r="H95" s="9">
        <f>F95/G95</f>
        <v>3678.0342875226911</v>
      </c>
    </row>
    <row r="96" spans="1:12" x14ac:dyDescent="0.25">
      <c r="A96" s="134">
        <v>2017</v>
      </c>
      <c r="B96" s="151">
        <v>50421830</v>
      </c>
      <c r="C96" s="5">
        <f>+B96/B95-1</f>
        <v>0.22220158899346809</v>
      </c>
      <c r="D96" s="18">
        <f>B96*3.6/116.09/1000000</f>
        <v>1.5636022740976827</v>
      </c>
      <c r="E96" s="18">
        <f>D96+SUM(Forecast_Main!L93:O93)/1000000</f>
        <v>1.6431522740976827</v>
      </c>
      <c r="F96" s="9">
        <f>B96*(E96/D96)</f>
        <v>52987096.527777784</v>
      </c>
      <c r="G96" s="9">
        <f>AVERAGE(H20:H23)</f>
        <v>15843.75</v>
      </c>
      <c r="H96" s="9">
        <f t="shared" ref="H96:H100" si="27">F96/G96</f>
        <v>3344.3532325224637</v>
      </c>
    </row>
    <row r="97" spans="1:8" x14ac:dyDescent="0.25">
      <c r="A97" s="134">
        <v>2018</v>
      </c>
      <c r="B97" s="151">
        <v>68100000</v>
      </c>
      <c r="C97" s="5">
        <f t="shared" ref="C97:C104" si="28">+B97/B96-1</f>
        <v>0.35060548179231099</v>
      </c>
      <c r="D97" s="18">
        <f>B97*3.6/116.09/1000000</f>
        <v>2.1118098027392538</v>
      </c>
      <c r="E97" s="18">
        <f>D97+SUM(Forecast_Main!P93:S93)/1000000</f>
        <v>2.2355978027392536</v>
      </c>
      <c r="F97" s="9">
        <f>B97*(E97/D97)</f>
        <v>72091819.144444436</v>
      </c>
      <c r="G97" s="9">
        <f>AVERAGE(H24:H27)</f>
        <v>20453.25</v>
      </c>
      <c r="H97" s="9">
        <f t="shared" si="27"/>
        <v>3524.712167721239</v>
      </c>
    </row>
    <row r="98" spans="1:8" x14ac:dyDescent="0.25">
      <c r="A98" s="134">
        <v>2019</v>
      </c>
      <c r="B98" s="151">
        <v>86851000</v>
      </c>
      <c r="C98" s="5">
        <f t="shared" si="28"/>
        <v>0.27534508076358288</v>
      </c>
      <c r="D98" s="18">
        <f>B98*3.6/118.383/1000000</f>
        <v>2.6411190795975776</v>
      </c>
      <c r="E98" s="18">
        <f>D98+SUM(Forecast_Main!T93:W93)/1000000</f>
        <v>2.8779460795975775</v>
      </c>
      <c r="F98" s="9">
        <f>B98*E98/D98</f>
        <v>94638858.539166659</v>
      </c>
      <c r="G98" s="9">
        <f>AVERAGE(H28:H31)</f>
        <v>27432.25</v>
      </c>
      <c r="H98" s="9">
        <f t="shared" si="27"/>
        <v>3449.9123673474346</v>
      </c>
    </row>
    <row r="99" spans="1:8" x14ac:dyDescent="0.25">
      <c r="A99" s="134">
        <v>2020</v>
      </c>
      <c r="B99" s="151">
        <v>117091452.5</v>
      </c>
      <c r="C99" s="5">
        <f t="shared" si="28"/>
        <v>0.3481877295598208</v>
      </c>
      <c r="D99" s="18">
        <f t="shared" ref="D99:D104" si="29">B99*3.6/122.48/1000000</f>
        <v>3.4416168272370999</v>
      </c>
      <c r="E99" s="18">
        <f>D99+SUM(Forecast_Main!X93:AA93)/1000000</f>
        <v>3.6727678272371</v>
      </c>
      <c r="F99" s="9">
        <f>B99*E99/D99</f>
        <v>124955723.18888889</v>
      </c>
      <c r="G99" s="9">
        <f>AVERAGE(H32:H35)</f>
        <v>33574</v>
      </c>
      <c r="H99" s="9">
        <f t="shared" si="27"/>
        <v>3721.8002975185827</v>
      </c>
    </row>
    <row r="100" spans="1:8" x14ac:dyDescent="0.25">
      <c r="A100" s="134">
        <v>2021</v>
      </c>
      <c r="B100" s="151">
        <v>142995968</v>
      </c>
      <c r="C100" s="5">
        <f t="shared" si="28"/>
        <v>0.22123318950202631</v>
      </c>
      <c r="D100" s="18">
        <f t="shared" si="29"/>
        <v>4.203016694970608</v>
      </c>
      <c r="E100" s="18">
        <f>D100+SUM(Forecast_Main!AB93:AE93)/1000000</f>
        <v>4.6635986949706076</v>
      </c>
      <c r="F100" s="9">
        <f>B100*E100/D100</f>
        <v>158665991.15555555</v>
      </c>
      <c r="G100" s="9">
        <f>AVERAGE(H36:H39)</f>
        <v>42253.75</v>
      </c>
      <c r="H100" s="9">
        <f t="shared" si="27"/>
        <v>3755.0747840264012</v>
      </c>
    </row>
    <row r="101" spans="1:8" x14ac:dyDescent="0.25">
      <c r="A101" s="134">
        <v>2022</v>
      </c>
      <c r="B101" s="151">
        <v>205118294</v>
      </c>
      <c r="C101" s="5">
        <f t="shared" si="28"/>
        <v>0.43443410935894367</v>
      </c>
      <c r="D101" s="18">
        <f t="shared" si="29"/>
        <v>6.0289505094709339</v>
      </c>
      <c r="E101" s="18">
        <f>D101+SUM(Forecast_Main!AF93:AI93)/1000000</f>
        <v>6.9076645094709335</v>
      </c>
      <c r="F101" s="9">
        <f>+B101*E101/D101</f>
        <v>235014096.97777778</v>
      </c>
      <c r="G101" s="9">
        <f>AVERAGE(H40:H43)</f>
        <v>55872.25</v>
      </c>
      <c r="H101" s="9">
        <f>+F101/G101</f>
        <v>4206.2758700030472</v>
      </c>
    </row>
    <row r="102" spans="1:8" x14ac:dyDescent="0.25">
      <c r="A102">
        <v>2023</v>
      </c>
      <c r="B102" s="151">
        <f>SUM(Forecast_Main!$AJ$94:$AM$94)*ED_gas_T1/ED_eon_T1</f>
        <v>236387315.75</v>
      </c>
      <c r="C102" s="5">
        <f t="shared" si="28"/>
        <v>0.15244384662247623</v>
      </c>
      <c r="D102" s="18">
        <f t="shared" si="29"/>
        <v>6.9480269162312212</v>
      </c>
      <c r="E102" s="18">
        <f>D102+SUM(Forecast_Main!AJ93:AM93)/1000000</f>
        <v>8.1317908802839955</v>
      </c>
      <c r="F102" s="9">
        <f>+B102*E102/D102</f>
        <v>276661596.39366215</v>
      </c>
      <c r="G102" s="9">
        <f>AVERAGE(H44:H47)</f>
        <v>76180.25</v>
      </c>
      <c r="H102" s="9">
        <f>+F102/G102</f>
        <v>3631.6708909942163</v>
      </c>
    </row>
    <row r="103" spans="1:8" x14ac:dyDescent="0.25">
      <c r="A103">
        <v>2024</v>
      </c>
      <c r="B103" s="151">
        <f>SUM(Forecast_Main!AN94:AQ94)*ED_gas_T0/ED_eon_T0</f>
        <v>321601901.74999994</v>
      </c>
      <c r="C103" s="5">
        <f t="shared" si="28"/>
        <v>0.36048713413253419</v>
      </c>
      <c r="D103" s="18">
        <f t="shared" si="29"/>
        <v>9.4527012271391229</v>
      </c>
      <c r="E103" s="18">
        <f>D103+SUM(Forecast_Main!AN93:AQ93)/1000000</f>
        <v>11.221513786240191</v>
      </c>
      <c r="F103" s="9">
        <f>+B103*E103/D103</f>
        <v>381780835.70519406</v>
      </c>
      <c r="G103" s="9">
        <f>AVERAGE(H48:H51)</f>
        <v>103642.25</v>
      </c>
      <c r="H103" s="9">
        <f t="shared" ref="H103:H104" si="30">+F103/G103</f>
        <v>3683.6409447420724</v>
      </c>
    </row>
    <row r="104" spans="1:8" x14ac:dyDescent="0.25">
      <c r="A104">
        <v>2025</v>
      </c>
      <c r="B104" s="151">
        <f>SUM(Forecast_Main!AR94:AU94)*ED_gas_T0/ED_eon_T0</f>
        <v>429236438.49999994</v>
      </c>
      <c r="C104" s="5">
        <f t="shared" si="28"/>
        <v>0.33468252570742152</v>
      </c>
      <c r="D104" s="18">
        <f t="shared" si="29"/>
        <v>12.616355148595687</v>
      </c>
      <c r="E104" s="18">
        <f>D104+SUM(Forecast_Main!AR93:AU93)/1000000</f>
        <v>15.217717644688413</v>
      </c>
      <c r="F104" s="9">
        <f>+B104*E104/D104</f>
        <v>517740571.42262137</v>
      </c>
      <c r="G104" s="9">
        <f>AVERAGE(H52:H55)</f>
        <v>138329.5</v>
      </c>
      <c r="H104" s="9">
        <f t="shared" si="30"/>
        <v>3742.8066422753018</v>
      </c>
    </row>
    <row r="107" spans="1:8" x14ac:dyDescent="0.25">
      <c r="B107" s="151">
        <f>G101*KWh_T2</f>
        <v>173343655.625</v>
      </c>
      <c r="C107" s="5">
        <f>+B107/B100-1</f>
        <v>0.21222757571038642</v>
      </c>
      <c r="F107" s="9">
        <f>B107*E101/D101</f>
        <v>198608334.24022269</v>
      </c>
      <c r="H107" s="9">
        <f>+F107/G101</f>
        <v>3554.6865257837781</v>
      </c>
    </row>
    <row r="108" spans="1:8" x14ac:dyDescent="0.25">
      <c r="C108" s="5">
        <f>+B102/B107-1</f>
        <v>0.36369176534146952</v>
      </c>
      <c r="H108" s="151"/>
    </row>
  </sheetData>
  <mergeCells count="2">
    <mergeCell ref="L2:N2"/>
    <mergeCell ref="P2:Q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148"/>
  <sheetViews>
    <sheetView zoomScale="85" zoomScaleNormal="85" workbookViewId="0">
      <pane xSplit="5" ySplit="6" topLeftCell="J7" activePane="bottomRight" state="frozen"/>
      <selection pane="topRight" activeCell="E1" sqref="E1"/>
      <selection pane="bottomLeft" activeCell="A7" sqref="A7"/>
      <selection pane="bottomRight" activeCell="N7" sqref="N7:AP148"/>
    </sheetView>
  </sheetViews>
  <sheetFormatPr defaultRowHeight="15" x14ac:dyDescent="0.25"/>
  <cols>
    <col min="1" max="1" width="42.42578125" customWidth="1"/>
    <col min="2" max="2" width="47.28515625" customWidth="1"/>
    <col min="3" max="3" width="90.5703125" bestFit="1" customWidth="1"/>
    <col min="4" max="4" width="26.5703125" customWidth="1"/>
    <col min="5" max="5" width="15.85546875" customWidth="1"/>
    <col min="6" max="17" width="8.5703125" customWidth="1"/>
  </cols>
  <sheetData>
    <row r="1" spans="1:43" x14ac:dyDescent="0.25">
      <c r="A1" t="s">
        <v>585</v>
      </c>
      <c r="B1" t="s">
        <v>585</v>
      </c>
    </row>
    <row r="2" spans="1:43" x14ac:dyDescent="0.25">
      <c r="A2" t="s">
        <v>805</v>
      </c>
      <c r="B2" s="70" t="s">
        <v>586</v>
      </c>
    </row>
    <row r="3" spans="1:43" x14ac:dyDescent="0.25">
      <c r="A3" t="s">
        <v>806</v>
      </c>
      <c r="B3" t="s">
        <v>654</v>
      </c>
    </row>
    <row r="4" spans="1:43" x14ac:dyDescent="0.25">
      <c r="A4" t="s">
        <v>214</v>
      </c>
      <c r="B4" t="s">
        <v>214</v>
      </c>
    </row>
    <row r="5" spans="1:43" x14ac:dyDescent="0.25">
      <c r="C5" t="s">
        <v>213</v>
      </c>
      <c r="D5" t="s">
        <v>212</v>
      </c>
      <c r="E5" t="s">
        <v>9</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c r="AQ5" t="s">
        <v>396</v>
      </c>
    </row>
    <row r="6" spans="1:43" x14ac:dyDescent="0.25">
      <c r="A6" t="s">
        <v>211</v>
      </c>
      <c r="B6" t="s">
        <v>211</v>
      </c>
      <c r="D6" t="s">
        <v>395</v>
      </c>
    </row>
    <row r="7" spans="1:43" x14ac:dyDescent="0.25">
      <c r="A7" t="s">
        <v>11</v>
      </c>
      <c r="B7" t="s">
        <v>11</v>
      </c>
      <c r="C7" t="s">
        <v>210</v>
      </c>
      <c r="D7" t="s">
        <v>394</v>
      </c>
      <c r="E7" t="s">
        <v>41</v>
      </c>
      <c r="I7">
        <v>2.7188E-2</v>
      </c>
      <c r="J7">
        <v>3.0984000000000001E-2</v>
      </c>
      <c r="K7">
        <v>3.7754999999999997E-2</v>
      </c>
      <c r="L7">
        <v>3.6566000000000001E-2</v>
      </c>
      <c r="M7">
        <v>3.8239000000000002E-2</v>
      </c>
      <c r="N7">
        <v>3.5201999999999997E-2</v>
      </c>
      <c r="O7">
        <v>3.6466999999999999E-2</v>
      </c>
      <c r="P7">
        <v>3.3848999999999997E-2</v>
      </c>
      <c r="Q7">
        <v>3.3596000000000001E-2</v>
      </c>
      <c r="R7">
        <v>3.3501000000000003E-2</v>
      </c>
      <c r="S7">
        <v>3.3464000000000001E-2</v>
      </c>
      <c r="T7">
        <v>3.3411000000000003E-2</v>
      </c>
      <c r="U7">
        <v>3.3346000000000001E-2</v>
      </c>
      <c r="V7">
        <v>3.3259999999999998E-2</v>
      </c>
      <c r="W7">
        <v>3.3117000000000001E-2</v>
      </c>
      <c r="X7">
        <v>3.2944000000000001E-2</v>
      </c>
      <c r="Y7">
        <v>3.2784000000000001E-2</v>
      </c>
      <c r="Z7">
        <v>3.2615999999999999E-2</v>
      </c>
      <c r="AA7">
        <v>3.2465000000000001E-2</v>
      </c>
      <c r="AB7">
        <v>3.2347000000000001E-2</v>
      </c>
      <c r="AC7">
        <v>3.2263E-2</v>
      </c>
      <c r="AD7">
        <v>3.2181000000000001E-2</v>
      </c>
      <c r="AE7">
        <v>3.2120999999999997E-2</v>
      </c>
      <c r="AF7">
        <v>3.2074999999999999E-2</v>
      </c>
      <c r="AG7">
        <v>3.2048E-2</v>
      </c>
      <c r="AH7">
        <v>3.2027E-2</v>
      </c>
      <c r="AI7">
        <v>3.2029000000000002E-2</v>
      </c>
      <c r="AJ7">
        <v>3.2057000000000002E-2</v>
      </c>
      <c r="AK7">
        <v>3.2093000000000003E-2</v>
      </c>
      <c r="AL7">
        <v>3.1981999999999997E-2</v>
      </c>
      <c r="AM7">
        <v>3.1928999999999999E-2</v>
      </c>
      <c r="AN7">
        <v>3.1948999999999998E-2</v>
      </c>
      <c r="AO7">
        <v>3.2024999999999998E-2</v>
      </c>
      <c r="AP7">
        <v>3.2113000000000003E-2</v>
      </c>
      <c r="AQ7" s="6">
        <v>-0.01</v>
      </c>
    </row>
    <row r="8" spans="1:43" x14ac:dyDescent="0.25">
      <c r="A8" t="s">
        <v>90</v>
      </c>
      <c r="B8" t="s">
        <v>90</v>
      </c>
      <c r="C8" t="s">
        <v>209</v>
      </c>
      <c r="D8" t="s">
        <v>393</v>
      </c>
      <c r="E8" t="s">
        <v>41</v>
      </c>
      <c r="I8">
        <v>4.803E-3</v>
      </c>
      <c r="J8">
        <v>9.5560000000000003E-3</v>
      </c>
      <c r="K8">
        <v>1.7166000000000001E-2</v>
      </c>
      <c r="L8">
        <v>1.4893E-2</v>
      </c>
      <c r="M8">
        <v>1.3161000000000001E-2</v>
      </c>
      <c r="N8">
        <v>1.1439E-2</v>
      </c>
      <c r="O8">
        <v>1.2359E-2</v>
      </c>
      <c r="P8">
        <v>1.0836999999999999E-2</v>
      </c>
      <c r="Q8">
        <v>1.0703000000000001E-2</v>
      </c>
      <c r="R8">
        <v>1.0548E-2</v>
      </c>
      <c r="S8">
        <v>1.0387E-2</v>
      </c>
      <c r="T8">
        <v>1.022E-2</v>
      </c>
      <c r="U8">
        <v>1.005E-2</v>
      </c>
      <c r="V8">
        <v>9.8799999999999999E-3</v>
      </c>
      <c r="W8">
        <v>9.7000000000000003E-3</v>
      </c>
      <c r="X8">
        <v>9.5250000000000005E-3</v>
      </c>
      <c r="Y8">
        <v>9.3650000000000001E-3</v>
      </c>
      <c r="Z8">
        <v>9.1990000000000006E-3</v>
      </c>
      <c r="AA8">
        <v>9.0310000000000008E-3</v>
      </c>
      <c r="AB8">
        <v>8.8660000000000006E-3</v>
      </c>
      <c r="AC8">
        <v>8.7080000000000005E-3</v>
      </c>
      <c r="AD8">
        <v>8.5509999999999996E-3</v>
      </c>
      <c r="AE8">
        <v>8.3979999999999992E-3</v>
      </c>
      <c r="AF8">
        <v>8.2489999999999994E-3</v>
      </c>
      <c r="AG8">
        <v>8.1049999999999994E-3</v>
      </c>
      <c r="AH8">
        <v>7.9620000000000003E-3</v>
      </c>
      <c r="AI8">
        <v>7.8209999999999998E-3</v>
      </c>
      <c r="AJ8">
        <v>7.6860000000000001E-3</v>
      </c>
      <c r="AK8">
        <v>7.5519999999999997E-3</v>
      </c>
      <c r="AL8">
        <v>7.4139999999999996E-3</v>
      </c>
      <c r="AM8">
        <v>7.2779999999999997E-3</v>
      </c>
      <c r="AN8">
        <v>7.149E-3</v>
      </c>
      <c r="AO8">
        <v>7.0239999999999999E-3</v>
      </c>
      <c r="AP8">
        <v>6.9020000000000001E-3</v>
      </c>
      <c r="AQ8" s="6">
        <v>-2.5000000000000001E-2</v>
      </c>
    </row>
    <row r="9" spans="1:43" x14ac:dyDescent="0.25">
      <c r="A9" t="s">
        <v>82</v>
      </c>
      <c r="B9" t="s">
        <v>82</v>
      </c>
      <c r="C9" t="s">
        <v>208</v>
      </c>
      <c r="D9" t="s">
        <v>392</v>
      </c>
      <c r="E9" t="s">
        <v>41</v>
      </c>
      <c r="I9">
        <v>3.1990999999999999E-2</v>
      </c>
      <c r="J9">
        <v>4.054E-2</v>
      </c>
      <c r="K9">
        <v>5.4920999999999998E-2</v>
      </c>
      <c r="L9">
        <v>5.1458999999999998E-2</v>
      </c>
      <c r="M9">
        <v>5.1400000000000001E-2</v>
      </c>
      <c r="N9">
        <v>4.6641000000000002E-2</v>
      </c>
      <c r="O9">
        <v>4.8826000000000001E-2</v>
      </c>
      <c r="P9">
        <v>4.4685999999999997E-2</v>
      </c>
      <c r="Q9">
        <v>4.4297999999999997E-2</v>
      </c>
      <c r="R9">
        <v>4.4049999999999999E-2</v>
      </c>
      <c r="S9">
        <v>4.385E-2</v>
      </c>
      <c r="T9">
        <v>4.3631000000000003E-2</v>
      </c>
      <c r="U9">
        <v>4.3395999999999997E-2</v>
      </c>
      <c r="V9">
        <v>4.3139999999999998E-2</v>
      </c>
      <c r="W9">
        <v>4.2817000000000001E-2</v>
      </c>
      <c r="X9">
        <v>4.2469E-2</v>
      </c>
      <c r="Y9">
        <v>4.215E-2</v>
      </c>
      <c r="Z9">
        <v>4.1814999999999998E-2</v>
      </c>
      <c r="AA9">
        <v>4.1495999999999998E-2</v>
      </c>
      <c r="AB9">
        <v>4.1213E-2</v>
      </c>
      <c r="AC9">
        <v>4.0972000000000001E-2</v>
      </c>
      <c r="AD9">
        <v>4.0731999999999997E-2</v>
      </c>
      <c r="AE9">
        <v>4.0518999999999999E-2</v>
      </c>
      <c r="AF9">
        <v>4.0323999999999999E-2</v>
      </c>
      <c r="AG9">
        <v>4.0153000000000001E-2</v>
      </c>
      <c r="AH9">
        <v>3.9988999999999997E-2</v>
      </c>
      <c r="AI9">
        <v>3.9849999999999997E-2</v>
      </c>
      <c r="AJ9">
        <v>3.9743000000000001E-2</v>
      </c>
      <c r="AK9">
        <v>3.9645E-2</v>
      </c>
      <c r="AL9">
        <v>3.9396E-2</v>
      </c>
      <c r="AM9">
        <v>3.9206999999999999E-2</v>
      </c>
      <c r="AN9">
        <v>3.9098000000000001E-2</v>
      </c>
      <c r="AO9">
        <v>3.9049E-2</v>
      </c>
      <c r="AP9">
        <v>3.9016000000000002E-2</v>
      </c>
      <c r="AQ9" s="6">
        <v>-1.2999999999999999E-2</v>
      </c>
    </row>
    <row r="10" spans="1:43" x14ac:dyDescent="0.25">
      <c r="A10" t="s">
        <v>10</v>
      </c>
      <c r="B10" t="s">
        <v>10</v>
      </c>
      <c r="C10" t="s">
        <v>207</v>
      </c>
      <c r="D10" t="s">
        <v>391</v>
      </c>
      <c r="E10" t="s">
        <v>41</v>
      </c>
      <c r="I10">
        <v>0.61254799999999998</v>
      </c>
      <c r="J10">
        <v>0.61928000000000005</v>
      </c>
      <c r="K10">
        <v>0.68108400000000002</v>
      </c>
      <c r="L10">
        <v>0.657304</v>
      </c>
      <c r="M10">
        <v>0.67023699999999997</v>
      </c>
      <c r="N10">
        <v>0.65213699999999997</v>
      </c>
      <c r="O10">
        <v>0.76061599999999996</v>
      </c>
      <c r="P10">
        <v>0.60978500000000002</v>
      </c>
      <c r="Q10">
        <v>0.61261100000000002</v>
      </c>
      <c r="R10">
        <v>0.61944900000000003</v>
      </c>
      <c r="S10">
        <v>0.62866999999999995</v>
      </c>
      <c r="T10">
        <v>0.63827500000000004</v>
      </c>
      <c r="U10">
        <v>0.64390700000000001</v>
      </c>
      <c r="V10">
        <v>0.646343</v>
      </c>
      <c r="W10">
        <v>0.64671800000000002</v>
      </c>
      <c r="X10">
        <v>0.64692899999999998</v>
      </c>
      <c r="Y10">
        <v>0.64770499999999998</v>
      </c>
      <c r="Z10">
        <v>0.64803699999999997</v>
      </c>
      <c r="AA10">
        <v>0.64833099999999999</v>
      </c>
      <c r="AB10">
        <v>0.64890099999999995</v>
      </c>
      <c r="AC10">
        <v>0.649621</v>
      </c>
      <c r="AD10">
        <v>0.64984299999999995</v>
      </c>
      <c r="AE10">
        <v>0.65041000000000004</v>
      </c>
      <c r="AF10">
        <v>0.65092799999999995</v>
      </c>
      <c r="AG10">
        <v>0.65147100000000002</v>
      </c>
      <c r="AH10">
        <v>0.65187499999999998</v>
      </c>
      <c r="AI10">
        <v>0.65256099999999995</v>
      </c>
      <c r="AJ10">
        <v>0.65361199999999997</v>
      </c>
      <c r="AK10">
        <v>0.65413200000000005</v>
      </c>
      <c r="AL10">
        <v>0.64758199999999999</v>
      </c>
      <c r="AM10">
        <v>0.64299300000000004</v>
      </c>
      <c r="AN10">
        <v>0.64147699999999996</v>
      </c>
      <c r="AO10">
        <v>0.64200800000000002</v>
      </c>
      <c r="AP10">
        <v>0.64251000000000003</v>
      </c>
      <c r="AQ10" s="6">
        <v>0</v>
      </c>
    </row>
    <row r="11" spans="1:43" x14ac:dyDescent="0.25">
      <c r="A11" t="s">
        <v>55</v>
      </c>
      <c r="B11" t="s">
        <v>55</v>
      </c>
      <c r="C11" t="s">
        <v>206</v>
      </c>
      <c r="D11" t="s">
        <v>390</v>
      </c>
      <c r="E11" t="s">
        <v>41</v>
      </c>
      <c r="I11">
        <v>6.4128000000000004E-2</v>
      </c>
      <c r="J11">
        <v>6.8844000000000002E-2</v>
      </c>
      <c r="K11">
        <v>9.0633000000000005E-2</v>
      </c>
      <c r="L11">
        <v>7.7910999999999994E-2</v>
      </c>
      <c r="M11">
        <v>8.0072000000000004E-2</v>
      </c>
      <c r="N11">
        <v>7.9525999999999999E-2</v>
      </c>
      <c r="O11">
        <v>9.5937999999999996E-2</v>
      </c>
      <c r="P11">
        <v>8.4225999999999995E-2</v>
      </c>
      <c r="Q11">
        <v>8.0328999999999998E-2</v>
      </c>
      <c r="R11">
        <v>7.7354999999999993E-2</v>
      </c>
      <c r="S11">
        <v>7.4927999999999995E-2</v>
      </c>
      <c r="T11">
        <v>7.2788000000000005E-2</v>
      </c>
      <c r="U11">
        <v>7.0971999999999993E-2</v>
      </c>
      <c r="V11">
        <v>6.9260000000000002E-2</v>
      </c>
      <c r="W11">
        <v>6.7631999999999998E-2</v>
      </c>
      <c r="X11">
        <v>6.6055000000000003E-2</v>
      </c>
      <c r="Y11">
        <v>6.4640000000000003E-2</v>
      </c>
      <c r="Z11">
        <v>6.3143000000000005E-2</v>
      </c>
      <c r="AA11">
        <v>6.1626E-2</v>
      </c>
      <c r="AB11">
        <v>6.0125999999999999E-2</v>
      </c>
      <c r="AC11">
        <v>5.8708999999999997E-2</v>
      </c>
      <c r="AD11">
        <v>5.7319000000000002E-2</v>
      </c>
      <c r="AE11">
        <v>5.5985E-2</v>
      </c>
      <c r="AF11">
        <v>5.4672999999999999E-2</v>
      </c>
      <c r="AG11">
        <v>5.3483000000000003E-2</v>
      </c>
      <c r="AH11">
        <v>5.2281000000000001E-2</v>
      </c>
      <c r="AI11">
        <v>5.1159999999999997E-2</v>
      </c>
      <c r="AJ11">
        <v>5.0042999999999997E-2</v>
      </c>
      <c r="AK11">
        <v>4.9003999999999999E-2</v>
      </c>
      <c r="AL11">
        <v>4.8018999999999999E-2</v>
      </c>
      <c r="AM11">
        <v>4.7009000000000002E-2</v>
      </c>
      <c r="AN11">
        <v>4.6003000000000002E-2</v>
      </c>
      <c r="AO11">
        <v>4.5022E-2</v>
      </c>
      <c r="AP11">
        <v>4.4033000000000003E-2</v>
      </c>
      <c r="AQ11" s="6">
        <v>-1.2999999999999999E-2</v>
      </c>
    </row>
    <row r="12" spans="1:43" x14ac:dyDescent="0.25">
      <c r="A12" t="s">
        <v>807</v>
      </c>
      <c r="B12" t="s">
        <v>8</v>
      </c>
      <c r="C12" t="s">
        <v>205</v>
      </c>
      <c r="D12" t="s">
        <v>389</v>
      </c>
      <c r="E12" t="s">
        <v>41</v>
      </c>
      <c r="I12">
        <v>0.51865300000000003</v>
      </c>
      <c r="J12">
        <v>0.51068800000000003</v>
      </c>
      <c r="K12">
        <v>0.50126199999999999</v>
      </c>
      <c r="L12">
        <v>0.54883400000000004</v>
      </c>
      <c r="M12">
        <v>0.53361499999999995</v>
      </c>
      <c r="N12">
        <v>0.52294700000000005</v>
      </c>
      <c r="O12">
        <v>0.500108</v>
      </c>
      <c r="P12">
        <v>0.50277400000000005</v>
      </c>
      <c r="Q12">
        <v>0.51347600000000004</v>
      </c>
      <c r="R12">
        <v>0.52011700000000005</v>
      </c>
      <c r="S12">
        <v>0.52220699999999998</v>
      </c>
      <c r="T12">
        <v>0.52109300000000003</v>
      </c>
      <c r="U12">
        <v>0.51944000000000001</v>
      </c>
      <c r="V12">
        <v>0.51710699999999998</v>
      </c>
      <c r="W12">
        <v>0.51420299999999997</v>
      </c>
      <c r="X12">
        <v>0.51087300000000002</v>
      </c>
      <c r="Y12">
        <v>0.50826700000000002</v>
      </c>
      <c r="Z12">
        <v>0.50615399999999999</v>
      </c>
      <c r="AA12">
        <v>0.50548199999999999</v>
      </c>
      <c r="AB12">
        <v>0.50549200000000005</v>
      </c>
      <c r="AC12">
        <v>0.50624400000000003</v>
      </c>
      <c r="AD12">
        <v>0.50685999999999998</v>
      </c>
      <c r="AE12">
        <v>0.50765400000000005</v>
      </c>
      <c r="AF12">
        <v>0.50827599999999995</v>
      </c>
      <c r="AG12">
        <v>0.508494</v>
      </c>
      <c r="AH12">
        <v>0.50870800000000005</v>
      </c>
      <c r="AI12">
        <v>0.50829599999999997</v>
      </c>
      <c r="AJ12">
        <v>0.50753999999999999</v>
      </c>
      <c r="AK12">
        <v>0.50712000000000002</v>
      </c>
      <c r="AL12">
        <v>0.50694499999999998</v>
      </c>
      <c r="AM12">
        <v>0.50748300000000002</v>
      </c>
      <c r="AN12">
        <v>0.50803699999999996</v>
      </c>
      <c r="AO12">
        <v>0.50942699999999996</v>
      </c>
      <c r="AP12">
        <v>0.51138399999999995</v>
      </c>
      <c r="AQ12" s="6">
        <v>-8.0000000000000002E-3</v>
      </c>
    </row>
    <row r="13" spans="1:43" x14ac:dyDescent="0.25">
      <c r="A13" t="s">
        <v>116</v>
      </c>
      <c r="B13" t="s">
        <v>116</v>
      </c>
      <c r="C13" t="s">
        <v>204</v>
      </c>
      <c r="D13" t="s">
        <v>388</v>
      </c>
      <c r="E13" t="s">
        <v>41</v>
      </c>
      <c r="I13">
        <v>1.22732</v>
      </c>
      <c r="J13">
        <v>1.2393529999999999</v>
      </c>
      <c r="K13">
        <v>1.3279000000000001</v>
      </c>
      <c r="L13">
        <v>1.3355090000000001</v>
      </c>
      <c r="M13">
        <v>1.335324</v>
      </c>
      <c r="N13">
        <v>1.3012509999999999</v>
      </c>
      <c r="O13">
        <v>1.4054869999999999</v>
      </c>
      <c r="P13">
        <v>1.2414700000000001</v>
      </c>
      <c r="Q13">
        <v>1.2507140000000001</v>
      </c>
      <c r="R13">
        <v>1.2609710000000001</v>
      </c>
      <c r="S13">
        <v>1.269655</v>
      </c>
      <c r="T13">
        <v>1.275787</v>
      </c>
      <c r="U13">
        <v>1.2777149999999999</v>
      </c>
      <c r="V13">
        <v>1.2758510000000001</v>
      </c>
      <c r="W13">
        <v>1.2713699999999999</v>
      </c>
      <c r="X13">
        <v>1.2663260000000001</v>
      </c>
      <c r="Y13">
        <v>1.2627619999999999</v>
      </c>
      <c r="Z13">
        <v>1.2591490000000001</v>
      </c>
      <c r="AA13">
        <v>1.2569349999999999</v>
      </c>
      <c r="AB13">
        <v>1.2557309999999999</v>
      </c>
      <c r="AC13">
        <v>1.2555449999999999</v>
      </c>
      <c r="AD13">
        <v>1.2547550000000001</v>
      </c>
      <c r="AE13">
        <v>1.2545679999999999</v>
      </c>
      <c r="AF13">
        <v>1.2542009999999999</v>
      </c>
      <c r="AG13">
        <v>1.253601</v>
      </c>
      <c r="AH13">
        <v>1.2528509999999999</v>
      </c>
      <c r="AI13">
        <v>1.2518670000000001</v>
      </c>
      <c r="AJ13">
        <v>1.250939</v>
      </c>
      <c r="AK13">
        <v>1.2499009999999999</v>
      </c>
      <c r="AL13">
        <v>1.241941</v>
      </c>
      <c r="AM13">
        <v>1.2366919999999999</v>
      </c>
      <c r="AN13">
        <v>1.234615</v>
      </c>
      <c r="AO13">
        <v>1.235506</v>
      </c>
      <c r="AP13">
        <v>1.236942</v>
      </c>
      <c r="AQ13" s="6">
        <v>-4.0000000000000001E-3</v>
      </c>
    </row>
    <row r="14" spans="1:43" x14ac:dyDescent="0.25">
      <c r="A14" t="s">
        <v>114</v>
      </c>
      <c r="B14" t="s">
        <v>114</v>
      </c>
      <c r="C14" t="s">
        <v>203</v>
      </c>
      <c r="D14" t="s">
        <v>387</v>
      </c>
      <c r="E14" t="s">
        <v>41</v>
      </c>
      <c r="I14">
        <v>0.78537800000000002</v>
      </c>
      <c r="J14">
        <v>0.79279900000000003</v>
      </c>
      <c r="K14">
        <v>0.74478</v>
      </c>
      <c r="L14">
        <v>0.77737199999999995</v>
      </c>
      <c r="M14">
        <v>0.71596099999999996</v>
      </c>
      <c r="N14">
        <v>0.70677000000000001</v>
      </c>
      <c r="O14">
        <v>0.71005600000000002</v>
      </c>
      <c r="P14">
        <v>0.71553999999999995</v>
      </c>
      <c r="Q14">
        <v>0.73539699999999997</v>
      </c>
      <c r="R14">
        <v>0.70990699999999995</v>
      </c>
      <c r="S14">
        <v>0.70542000000000005</v>
      </c>
      <c r="T14">
        <v>0.71271399999999996</v>
      </c>
      <c r="U14">
        <v>0.70877400000000002</v>
      </c>
      <c r="V14">
        <v>0.69165699999999997</v>
      </c>
      <c r="W14">
        <v>0.68610599999999999</v>
      </c>
      <c r="X14">
        <v>0.69188799999999995</v>
      </c>
      <c r="Y14">
        <v>0.69555</v>
      </c>
      <c r="Z14">
        <v>0.69085200000000002</v>
      </c>
      <c r="AA14">
        <v>0.68453399999999998</v>
      </c>
      <c r="AB14">
        <v>0.68830499999999994</v>
      </c>
      <c r="AC14">
        <v>0.69282600000000005</v>
      </c>
      <c r="AD14">
        <v>0.702372</v>
      </c>
      <c r="AE14">
        <v>0.70156499999999999</v>
      </c>
      <c r="AF14">
        <v>0.72448999999999997</v>
      </c>
      <c r="AG14">
        <v>0.72081300000000004</v>
      </c>
      <c r="AH14">
        <v>0.72348599999999996</v>
      </c>
      <c r="AI14">
        <v>0.72171600000000002</v>
      </c>
      <c r="AJ14">
        <v>0.72424900000000003</v>
      </c>
      <c r="AK14">
        <v>0.73804899999999996</v>
      </c>
      <c r="AL14">
        <v>0.72270400000000001</v>
      </c>
      <c r="AM14">
        <v>0.72080500000000003</v>
      </c>
      <c r="AN14">
        <v>0.72116899999999995</v>
      </c>
      <c r="AO14">
        <v>0.71537600000000001</v>
      </c>
      <c r="AP14">
        <v>0.72106300000000001</v>
      </c>
      <c r="AQ14" s="6">
        <v>-0.01</v>
      </c>
    </row>
    <row r="15" spans="1:43" x14ac:dyDescent="0.25">
      <c r="A15" t="s">
        <v>28</v>
      </c>
      <c r="B15" t="s">
        <v>28</v>
      </c>
      <c r="C15" t="s">
        <v>202</v>
      </c>
      <c r="D15" t="s">
        <v>386</v>
      </c>
      <c r="E15" t="s">
        <v>41</v>
      </c>
      <c r="I15">
        <v>2.0126970000000002</v>
      </c>
      <c r="J15">
        <v>2.0321509999999998</v>
      </c>
      <c r="K15">
        <v>2.0726800000000001</v>
      </c>
      <c r="L15">
        <v>2.1128809999999998</v>
      </c>
      <c r="M15">
        <v>2.051285</v>
      </c>
      <c r="N15">
        <v>2.0080209999999998</v>
      </c>
      <c r="O15">
        <v>2.1155430000000002</v>
      </c>
      <c r="P15">
        <v>1.9570110000000001</v>
      </c>
      <c r="Q15">
        <v>1.986111</v>
      </c>
      <c r="R15">
        <v>1.9708779999999999</v>
      </c>
      <c r="S15">
        <v>1.9750749999999999</v>
      </c>
      <c r="T15">
        <v>1.9885010000000001</v>
      </c>
      <c r="U15">
        <v>1.9864889999999999</v>
      </c>
      <c r="V15">
        <v>1.967508</v>
      </c>
      <c r="W15">
        <v>1.957476</v>
      </c>
      <c r="X15">
        <v>1.9582139999999999</v>
      </c>
      <c r="Y15">
        <v>1.9583120000000001</v>
      </c>
      <c r="Z15">
        <v>1.9500010000000001</v>
      </c>
      <c r="AA15">
        <v>1.9414689999999999</v>
      </c>
      <c r="AB15">
        <v>1.9440360000000001</v>
      </c>
      <c r="AC15">
        <v>1.9483710000000001</v>
      </c>
      <c r="AD15">
        <v>1.9571270000000001</v>
      </c>
      <c r="AE15">
        <v>1.9561329999999999</v>
      </c>
      <c r="AF15">
        <v>1.978691</v>
      </c>
      <c r="AG15">
        <v>1.9744139999999999</v>
      </c>
      <c r="AH15">
        <v>1.9763379999999999</v>
      </c>
      <c r="AI15">
        <v>1.9735819999999999</v>
      </c>
      <c r="AJ15">
        <v>1.975187</v>
      </c>
      <c r="AK15">
        <v>1.9879500000000001</v>
      </c>
      <c r="AL15">
        <v>1.964645</v>
      </c>
      <c r="AM15">
        <v>1.957498</v>
      </c>
      <c r="AN15">
        <v>1.955784</v>
      </c>
      <c r="AO15">
        <v>1.950882</v>
      </c>
      <c r="AP15">
        <v>1.958005</v>
      </c>
      <c r="AQ15" s="6">
        <v>-6.0000000000000001E-3</v>
      </c>
    </row>
    <row r="16" spans="1:43" x14ac:dyDescent="0.25">
      <c r="A16" t="s">
        <v>201</v>
      </c>
      <c r="B16" t="s">
        <v>201</v>
      </c>
      <c r="D16" t="s">
        <v>385</v>
      </c>
    </row>
    <row r="17" spans="1:43" x14ac:dyDescent="0.25">
      <c r="A17" t="s">
        <v>11</v>
      </c>
      <c r="B17" t="s">
        <v>11</v>
      </c>
      <c r="C17" t="s">
        <v>200</v>
      </c>
      <c r="D17" t="s">
        <v>384</v>
      </c>
      <c r="E17" t="s">
        <v>41</v>
      </c>
      <c r="I17">
        <v>1.9130000000000001E-2</v>
      </c>
      <c r="J17">
        <v>1.7760999999999999E-2</v>
      </c>
      <c r="K17">
        <v>2.3542E-2</v>
      </c>
      <c r="L17">
        <v>2.3633999999999999E-2</v>
      </c>
      <c r="M17">
        <v>2.521E-2</v>
      </c>
      <c r="N17">
        <v>2.2797000000000001E-2</v>
      </c>
      <c r="O17">
        <v>2.3487999999999998E-2</v>
      </c>
      <c r="P17">
        <v>2.3889000000000001E-2</v>
      </c>
      <c r="Q17">
        <v>2.4327000000000001E-2</v>
      </c>
      <c r="R17">
        <v>2.4708999999999998E-2</v>
      </c>
      <c r="S17">
        <v>2.5059000000000001E-2</v>
      </c>
      <c r="T17">
        <v>2.5201999999999999E-2</v>
      </c>
      <c r="U17">
        <v>2.5343000000000001E-2</v>
      </c>
      <c r="V17">
        <v>2.5479000000000002E-2</v>
      </c>
      <c r="W17">
        <v>2.5614999999999999E-2</v>
      </c>
      <c r="X17">
        <v>2.5741E-2</v>
      </c>
      <c r="Y17">
        <v>2.5855E-2</v>
      </c>
      <c r="Z17">
        <v>2.5965999999999999E-2</v>
      </c>
      <c r="AA17">
        <v>2.6079000000000001E-2</v>
      </c>
      <c r="AB17">
        <v>2.6190999999999999E-2</v>
      </c>
      <c r="AC17">
        <v>2.6294999999999999E-2</v>
      </c>
      <c r="AD17">
        <v>2.6381000000000002E-2</v>
      </c>
      <c r="AE17">
        <v>2.6483E-2</v>
      </c>
      <c r="AF17">
        <v>2.6563E-2</v>
      </c>
      <c r="AG17">
        <v>2.6643E-2</v>
      </c>
      <c r="AH17">
        <v>2.673E-2</v>
      </c>
      <c r="AI17">
        <v>2.6824000000000001E-2</v>
      </c>
      <c r="AJ17">
        <v>2.6922000000000001E-2</v>
      </c>
      <c r="AK17">
        <v>2.7008000000000001E-2</v>
      </c>
      <c r="AL17">
        <v>2.6991000000000001E-2</v>
      </c>
      <c r="AM17">
        <v>2.7088999999999998E-2</v>
      </c>
      <c r="AN17">
        <v>2.7185999999999998E-2</v>
      </c>
      <c r="AO17">
        <v>2.7290999999999999E-2</v>
      </c>
      <c r="AP17">
        <v>2.7400999999999998E-2</v>
      </c>
      <c r="AQ17" s="6">
        <v>7.0000000000000001E-3</v>
      </c>
    </row>
    <row r="18" spans="1:43" x14ac:dyDescent="0.25">
      <c r="A18" t="s">
        <v>2</v>
      </c>
      <c r="B18" t="s">
        <v>2</v>
      </c>
      <c r="C18" t="s">
        <v>199</v>
      </c>
      <c r="D18" t="s">
        <v>383</v>
      </c>
      <c r="E18" t="s">
        <v>41</v>
      </c>
      <c r="I18">
        <v>6.6919999999999993E-2</v>
      </c>
      <c r="J18">
        <v>6.6022999999999998E-2</v>
      </c>
      <c r="K18">
        <v>6.6027000000000002E-2</v>
      </c>
      <c r="L18">
        <v>5.9612999999999999E-2</v>
      </c>
      <c r="M18">
        <v>6.4541000000000001E-2</v>
      </c>
      <c r="N18">
        <v>7.2831999999999994E-2</v>
      </c>
      <c r="O18">
        <v>7.2554999999999994E-2</v>
      </c>
      <c r="P18">
        <v>7.2041999999999995E-2</v>
      </c>
      <c r="Q18">
        <v>7.1568000000000007E-2</v>
      </c>
      <c r="R18">
        <v>7.1014999999999995E-2</v>
      </c>
      <c r="S18">
        <v>7.0462999999999998E-2</v>
      </c>
      <c r="T18">
        <v>7.0568000000000006E-2</v>
      </c>
      <c r="U18">
        <v>7.0644999999999999E-2</v>
      </c>
      <c r="V18">
        <v>7.0726999999999998E-2</v>
      </c>
      <c r="W18">
        <v>7.0814000000000002E-2</v>
      </c>
      <c r="X18">
        <v>7.0895E-2</v>
      </c>
      <c r="Y18">
        <v>7.0973999999999995E-2</v>
      </c>
      <c r="Z18">
        <v>7.1051000000000003E-2</v>
      </c>
      <c r="AA18">
        <v>7.1121000000000004E-2</v>
      </c>
      <c r="AB18">
        <v>7.1187E-2</v>
      </c>
      <c r="AC18">
        <v>7.1248000000000006E-2</v>
      </c>
      <c r="AD18">
        <v>7.1305999999999994E-2</v>
      </c>
      <c r="AE18">
        <v>7.1360000000000007E-2</v>
      </c>
      <c r="AF18">
        <v>7.1413000000000004E-2</v>
      </c>
      <c r="AG18">
        <v>7.1466000000000002E-2</v>
      </c>
      <c r="AH18">
        <v>7.1513999999999994E-2</v>
      </c>
      <c r="AI18">
        <v>7.1571999999999997E-2</v>
      </c>
      <c r="AJ18">
        <v>7.1611999999999995E-2</v>
      </c>
      <c r="AK18">
        <v>7.1647000000000002E-2</v>
      </c>
      <c r="AL18">
        <v>7.1401000000000006E-2</v>
      </c>
      <c r="AM18">
        <v>7.1453000000000003E-2</v>
      </c>
      <c r="AN18">
        <v>7.1497000000000005E-2</v>
      </c>
      <c r="AO18">
        <v>7.1546999999999999E-2</v>
      </c>
      <c r="AP18">
        <v>7.1589E-2</v>
      </c>
      <c r="AQ18" s="6">
        <v>0</v>
      </c>
    </row>
    <row r="19" spans="1:43" x14ac:dyDescent="0.25">
      <c r="A19" t="s">
        <v>20</v>
      </c>
      <c r="B19" t="s">
        <v>20</v>
      </c>
      <c r="C19" t="s">
        <v>198</v>
      </c>
      <c r="D19" t="s">
        <v>382</v>
      </c>
      <c r="E19" t="s">
        <v>41</v>
      </c>
      <c r="I19">
        <v>6.3E-5</v>
      </c>
      <c r="J19">
        <v>0</v>
      </c>
      <c r="K19">
        <v>9.2999999999999997E-5</v>
      </c>
      <c r="L19">
        <v>6.2000000000000003E-5</v>
      </c>
      <c r="M19">
        <v>6.9999999999999994E-5</v>
      </c>
      <c r="N19">
        <v>5.5999999999999999E-5</v>
      </c>
      <c r="O19">
        <v>6.3E-5</v>
      </c>
      <c r="P19">
        <v>3.8999999999999999E-5</v>
      </c>
      <c r="Q19">
        <v>6.0999999999999999E-5</v>
      </c>
      <c r="R19">
        <v>6.7000000000000002E-5</v>
      </c>
      <c r="S19">
        <v>7.2000000000000002E-5</v>
      </c>
      <c r="T19">
        <v>7.7000000000000001E-5</v>
      </c>
      <c r="U19">
        <v>7.4999999999999993E-5</v>
      </c>
      <c r="V19">
        <v>7.3999999999999996E-5</v>
      </c>
      <c r="W19">
        <v>7.1000000000000005E-5</v>
      </c>
      <c r="X19">
        <v>6.8999999999999997E-5</v>
      </c>
      <c r="Y19">
        <v>6.7000000000000002E-5</v>
      </c>
      <c r="Z19">
        <v>6.4999999999999994E-5</v>
      </c>
      <c r="AA19">
        <v>6.3E-5</v>
      </c>
      <c r="AB19">
        <v>6.2000000000000003E-5</v>
      </c>
      <c r="AC19">
        <v>6.0000000000000002E-5</v>
      </c>
      <c r="AD19">
        <v>5.8E-5</v>
      </c>
      <c r="AE19">
        <v>5.5999999999999999E-5</v>
      </c>
      <c r="AF19">
        <v>5.5000000000000002E-5</v>
      </c>
      <c r="AG19">
        <v>5.1999999999999997E-5</v>
      </c>
      <c r="AH19">
        <v>5.1E-5</v>
      </c>
      <c r="AI19">
        <v>4.8999999999999998E-5</v>
      </c>
      <c r="AJ19">
        <v>4.8999999999999998E-5</v>
      </c>
      <c r="AK19">
        <v>4.5000000000000003E-5</v>
      </c>
      <c r="AL19">
        <v>1.0000000000000001E-5</v>
      </c>
      <c r="AM19">
        <v>1.0000000000000001E-5</v>
      </c>
      <c r="AN19">
        <v>9.0000000000000002E-6</v>
      </c>
      <c r="AO19">
        <v>7.9999999999999996E-6</v>
      </c>
      <c r="AP19">
        <v>7.9999999999999996E-6</v>
      </c>
      <c r="AQ19" t="s">
        <v>0</v>
      </c>
    </row>
    <row r="20" spans="1:43" x14ac:dyDescent="0.25">
      <c r="A20" t="s">
        <v>90</v>
      </c>
      <c r="B20" t="s">
        <v>90</v>
      </c>
      <c r="C20" t="s">
        <v>197</v>
      </c>
      <c r="D20" t="s">
        <v>381</v>
      </c>
      <c r="E20" t="s">
        <v>41</v>
      </c>
      <c r="I20">
        <v>3.8406000000000003E-2</v>
      </c>
      <c r="J20">
        <v>3.8477999999999998E-2</v>
      </c>
      <c r="K20">
        <v>3.7568999999999998E-2</v>
      </c>
      <c r="L20">
        <v>3.8855000000000001E-2</v>
      </c>
      <c r="M20">
        <v>3.4474999999999999E-2</v>
      </c>
      <c r="N20">
        <v>3.6250999999999999E-2</v>
      </c>
      <c r="O20">
        <v>3.6194999999999998E-2</v>
      </c>
      <c r="P20">
        <v>3.6162E-2</v>
      </c>
      <c r="Q20">
        <v>3.6908000000000003E-2</v>
      </c>
      <c r="R20">
        <v>3.7616999999999998E-2</v>
      </c>
      <c r="S20">
        <v>3.8272E-2</v>
      </c>
      <c r="T20">
        <v>3.8899000000000003E-2</v>
      </c>
      <c r="U20">
        <v>3.9211999999999997E-2</v>
      </c>
      <c r="V20">
        <v>3.9316999999999998E-2</v>
      </c>
      <c r="W20">
        <v>3.9308000000000003E-2</v>
      </c>
      <c r="X20">
        <v>3.9294000000000003E-2</v>
      </c>
      <c r="Y20">
        <v>3.9274000000000003E-2</v>
      </c>
      <c r="Z20">
        <v>3.9267000000000003E-2</v>
      </c>
      <c r="AA20">
        <v>3.9247999999999998E-2</v>
      </c>
      <c r="AB20">
        <v>3.9238000000000002E-2</v>
      </c>
      <c r="AC20">
        <v>3.9225000000000003E-2</v>
      </c>
      <c r="AD20">
        <v>3.9211999999999997E-2</v>
      </c>
      <c r="AE20">
        <v>3.9201E-2</v>
      </c>
      <c r="AF20">
        <v>3.9195000000000001E-2</v>
      </c>
      <c r="AG20">
        <v>3.9174E-2</v>
      </c>
      <c r="AH20">
        <v>3.9168000000000001E-2</v>
      </c>
      <c r="AI20">
        <v>3.9150999999999998E-2</v>
      </c>
      <c r="AJ20">
        <v>3.916E-2</v>
      </c>
      <c r="AK20">
        <v>3.9144999999999999E-2</v>
      </c>
      <c r="AL20">
        <v>3.8746999999999997E-2</v>
      </c>
      <c r="AM20">
        <v>3.8476999999999997E-2</v>
      </c>
      <c r="AN20">
        <v>3.8371000000000002E-2</v>
      </c>
      <c r="AO20">
        <v>3.8370000000000001E-2</v>
      </c>
      <c r="AP20">
        <v>3.8377000000000001E-2</v>
      </c>
      <c r="AQ20" s="6">
        <v>1E-3</v>
      </c>
    </row>
    <row r="21" spans="1:43" x14ac:dyDescent="0.25">
      <c r="A21" t="s">
        <v>88</v>
      </c>
      <c r="B21" t="s">
        <v>88</v>
      </c>
      <c r="C21" t="s">
        <v>196</v>
      </c>
      <c r="D21" t="s">
        <v>380</v>
      </c>
      <c r="E21" t="s">
        <v>41</v>
      </c>
      <c r="I21">
        <v>6.0000000000000002E-6</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t="s">
        <v>0</v>
      </c>
    </row>
    <row r="22" spans="1:43" x14ac:dyDescent="0.25">
      <c r="A22" t="s">
        <v>82</v>
      </c>
      <c r="B22" t="s">
        <v>82</v>
      </c>
      <c r="C22" t="s">
        <v>195</v>
      </c>
      <c r="D22" t="s">
        <v>379</v>
      </c>
      <c r="E22" t="s">
        <v>41</v>
      </c>
      <c r="I22">
        <v>0.124526</v>
      </c>
      <c r="J22">
        <v>0.12226099999999999</v>
      </c>
      <c r="K22">
        <v>0.12723000000000001</v>
      </c>
      <c r="L22">
        <v>0.12216399999999999</v>
      </c>
      <c r="M22">
        <v>0.124296</v>
      </c>
      <c r="N22">
        <v>0.131936</v>
      </c>
      <c r="O22">
        <v>0.1323</v>
      </c>
      <c r="P22">
        <v>0.132132</v>
      </c>
      <c r="Q22">
        <v>0.13286500000000001</v>
      </c>
      <c r="R22">
        <v>0.133408</v>
      </c>
      <c r="S22">
        <v>0.13386500000000001</v>
      </c>
      <c r="T22">
        <v>0.134746</v>
      </c>
      <c r="U22">
        <v>0.13527500000000001</v>
      </c>
      <c r="V22">
        <v>0.135598</v>
      </c>
      <c r="W22">
        <v>0.13580900000000001</v>
      </c>
      <c r="X22">
        <v>0.13600000000000001</v>
      </c>
      <c r="Y22">
        <v>0.13617000000000001</v>
      </c>
      <c r="Z22">
        <v>0.13635</v>
      </c>
      <c r="AA22">
        <v>0.13651199999999999</v>
      </c>
      <c r="AB22">
        <v>0.13667799999999999</v>
      </c>
      <c r="AC22">
        <v>0.136827</v>
      </c>
      <c r="AD22">
        <v>0.136957</v>
      </c>
      <c r="AE22">
        <v>0.1371</v>
      </c>
      <c r="AF22">
        <v>0.13722599999999999</v>
      </c>
      <c r="AG22">
        <v>0.13733500000000001</v>
      </c>
      <c r="AH22">
        <v>0.137464</v>
      </c>
      <c r="AI22">
        <v>0.137595</v>
      </c>
      <c r="AJ22">
        <v>0.137743</v>
      </c>
      <c r="AK22">
        <v>0.137846</v>
      </c>
      <c r="AL22">
        <v>0.13714999999999999</v>
      </c>
      <c r="AM22">
        <v>0.13702900000000001</v>
      </c>
      <c r="AN22">
        <v>0.13706399999999999</v>
      </c>
      <c r="AO22">
        <v>0.13721700000000001</v>
      </c>
      <c r="AP22">
        <v>0.137375</v>
      </c>
      <c r="AQ22" s="6">
        <v>2E-3</v>
      </c>
    </row>
    <row r="23" spans="1:43" x14ac:dyDescent="0.25">
      <c r="A23" t="s">
        <v>10</v>
      </c>
      <c r="B23" t="s">
        <v>10</v>
      </c>
      <c r="C23" t="s">
        <v>194</v>
      </c>
      <c r="D23" t="s">
        <v>378</v>
      </c>
      <c r="E23" t="s">
        <v>41</v>
      </c>
      <c r="I23">
        <v>0.35290100000000002</v>
      </c>
      <c r="J23">
        <v>0.36779499999999998</v>
      </c>
      <c r="K23">
        <v>0.40032899999999999</v>
      </c>
      <c r="L23">
        <v>0.35959099999999999</v>
      </c>
      <c r="M23">
        <v>0.35849799999999998</v>
      </c>
      <c r="N23">
        <v>0.35094700000000001</v>
      </c>
      <c r="O23">
        <v>0.35922399999999999</v>
      </c>
      <c r="P23">
        <v>0.35764699999999999</v>
      </c>
      <c r="Q23">
        <v>0.36513200000000001</v>
      </c>
      <c r="R23">
        <v>0.370064</v>
      </c>
      <c r="S23">
        <v>0.37323899999999999</v>
      </c>
      <c r="T23">
        <v>0.37567899999999999</v>
      </c>
      <c r="U23">
        <v>0.37764399999999998</v>
      </c>
      <c r="V23">
        <v>0.37944</v>
      </c>
      <c r="W23">
        <v>0.38130500000000001</v>
      </c>
      <c r="X23">
        <v>0.38299299999999997</v>
      </c>
      <c r="Y23">
        <v>0.38394899999999998</v>
      </c>
      <c r="Z23">
        <v>0.38445299999999999</v>
      </c>
      <c r="AA23">
        <v>0.38461800000000002</v>
      </c>
      <c r="AB23">
        <v>0.38496000000000002</v>
      </c>
      <c r="AC23">
        <v>0.38523800000000002</v>
      </c>
      <c r="AD23">
        <v>0.38496799999999998</v>
      </c>
      <c r="AE23">
        <v>0.38500899999999999</v>
      </c>
      <c r="AF23">
        <v>0.38481900000000002</v>
      </c>
      <c r="AG23">
        <v>0.384633</v>
      </c>
      <c r="AH23">
        <v>0.38442399999999999</v>
      </c>
      <c r="AI23">
        <v>0.38449100000000003</v>
      </c>
      <c r="AJ23">
        <v>0.38486999999999999</v>
      </c>
      <c r="AK23">
        <v>0.384463</v>
      </c>
      <c r="AL23">
        <v>0.37682100000000002</v>
      </c>
      <c r="AM23">
        <v>0.37180400000000002</v>
      </c>
      <c r="AN23">
        <v>0.37008600000000003</v>
      </c>
      <c r="AO23">
        <v>0.37026700000000001</v>
      </c>
      <c r="AP23">
        <v>0.370255</v>
      </c>
      <c r="AQ23" s="6">
        <v>1.0999999999999999E-2</v>
      </c>
    </row>
    <row r="24" spans="1:43" x14ac:dyDescent="0.25">
      <c r="A24" t="s">
        <v>193</v>
      </c>
      <c r="B24" t="s">
        <v>193</v>
      </c>
      <c r="C24" t="s">
        <v>192</v>
      </c>
      <c r="D24" t="s">
        <v>377</v>
      </c>
      <c r="E24" t="s">
        <v>41</v>
      </c>
      <c r="I24">
        <v>5.9779999999999998E-3</v>
      </c>
      <c r="J24">
        <v>5.3010000000000002E-3</v>
      </c>
      <c r="K24">
        <v>5.6959999999999997E-3</v>
      </c>
      <c r="L24">
        <v>6.3610000000000003E-3</v>
      </c>
      <c r="M24">
        <v>6.1890000000000001E-3</v>
      </c>
      <c r="N24">
        <v>7.5570000000000003E-3</v>
      </c>
      <c r="O24">
        <v>9.0609999999999996E-3</v>
      </c>
      <c r="P24">
        <v>9.0609999999999996E-3</v>
      </c>
      <c r="Q24">
        <v>9.0609999999999996E-3</v>
      </c>
      <c r="R24">
        <v>9.0609999999999996E-3</v>
      </c>
      <c r="S24">
        <v>9.0609999999999996E-3</v>
      </c>
      <c r="T24">
        <v>9.0609999999999996E-3</v>
      </c>
      <c r="U24">
        <v>9.0609999999999996E-3</v>
      </c>
      <c r="V24">
        <v>9.0609999999999996E-3</v>
      </c>
      <c r="W24">
        <v>9.0609999999999996E-3</v>
      </c>
      <c r="X24">
        <v>9.0609999999999996E-3</v>
      </c>
      <c r="Y24">
        <v>9.0609999999999996E-3</v>
      </c>
      <c r="Z24">
        <v>9.0609999999999996E-3</v>
      </c>
      <c r="AA24">
        <v>9.0609999999999996E-3</v>
      </c>
      <c r="AB24">
        <v>9.0609999999999996E-3</v>
      </c>
      <c r="AC24">
        <v>9.0609999999999996E-3</v>
      </c>
      <c r="AD24">
        <v>9.0609999999999996E-3</v>
      </c>
      <c r="AE24">
        <v>9.0609999999999996E-3</v>
      </c>
      <c r="AF24">
        <v>9.0609999999999996E-3</v>
      </c>
      <c r="AG24">
        <v>9.0609999999999996E-3</v>
      </c>
      <c r="AH24">
        <v>9.0609999999999996E-3</v>
      </c>
      <c r="AI24">
        <v>9.0609999999999996E-3</v>
      </c>
      <c r="AJ24">
        <v>9.0609999999999996E-3</v>
      </c>
      <c r="AK24">
        <v>9.0609999999999996E-3</v>
      </c>
      <c r="AL24">
        <v>9.0609999999999996E-3</v>
      </c>
      <c r="AM24">
        <v>9.0609999999999996E-3</v>
      </c>
      <c r="AN24">
        <v>9.0609999999999996E-3</v>
      </c>
      <c r="AO24">
        <v>9.0609999999999996E-3</v>
      </c>
      <c r="AP24">
        <v>9.0609999999999996E-3</v>
      </c>
      <c r="AQ24" s="6">
        <v>0</v>
      </c>
    </row>
    <row r="25" spans="1:43" x14ac:dyDescent="0.25">
      <c r="A25" t="s">
        <v>55</v>
      </c>
      <c r="B25" t="s">
        <v>55</v>
      </c>
      <c r="C25" t="s">
        <v>191</v>
      </c>
      <c r="D25" t="s">
        <v>376</v>
      </c>
      <c r="E25" t="s">
        <v>41</v>
      </c>
      <c r="I25">
        <v>3.0356999999999999E-2</v>
      </c>
      <c r="J25">
        <v>3.0356999999999999E-2</v>
      </c>
      <c r="K25">
        <v>3.0058999999999999E-2</v>
      </c>
      <c r="L25">
        <v>2.8903999999999999E-2</v>
      </c>
      <c r="M25">
        <v>2.6765000000000001E-2</v>
      </c>
      <c r="N25">
        <v>2.6683999999999999E-2</v>
      </c>
      <c r="O25">
        <v>2.6683999999999999E-2</v>
      </c>
      <c r="P25">
        <v>2.6683999999999999E-2</v>
      </c>
      <c r="Q25">
        <v>2.6683999999999999E-2</v>
      </c>
      <c r="R25">
        <v>2.6683999999999999E-2</v>
      </c>
      <c r="S25">
        <v>2.6683999999999999E-2</v>
      </c>
      <c r="T25">
        <v>2.6683999999999999E-2</v>
      </c>
      <c r="U25">
        <v>2.6683999999999999E-2</v>
      </c>
      <c r="V25">
        <v>2.6683999999999999E-2</v>
      </c>
      <c r="W25">
        <v>2.6683999999999999E-2</v>
      </c>
      <c r="X25">
        <v>2.6683999999999999E-2</v>
      </c>
      <c r="Y25">
        <v>2.6683999999999999E-2</v>
      </c>
      <c r="Z25">
        <v>2.6683999999999999E-2</v>
      </c>
      <c r="AA25">
        <v>2.6683999999999999E-2</v>
      </c>
      <c r="AB25">
        <v>2.6683999999999999E-2</v>
      </c>
      <c r="AC25">
        <v>2.6683999999999999E-2</v>
      </c>
      <c r="AD25">
        <v>2.6683999999999999E-2</v>
      </c>
      <c r="AE25">
        <v>2.6683999999999999E-2</v>
      </c>
      <c r="AF25">
        <v>2.6683999999999999E-2</v>
      </c>
      <c r="AG25">
        <v>2.6683999999999999E-2</v>
      </c>
      <c r="AH25">
        <v>2.6683999999999999E-2</v>
      </c>
      <c r="AI25">
        <v>2.6683999999999999E-2</v>
      </c>
      <c r="AJ25">
        <v>2.6683999999999999E-2</v>
      </c>
      <c r="AK25">
        <v>2.6683999999999999E-2</v>
      </c>
      <c r="AL25">
        <v>2.6683999999999999E-2</v>
      </c>
      <c r="AM25">
        <v>2.6683999999999999E-2</v>
      </c>
      <c r="AN25">
        <v>2.6683999999999999E-2</v>
      </c>
      <c r="AO25">
        <v>2.6683999999999999E-2</v>
      </c>
      <c r="AP25">
        <v>2.6683999999999999E-2</v>
      </c>
      <c r="AQ25" s="6">
        <v>0</v>
      </c>
    </row>
    <row r="26" spans="1:43" x14ac:dyDescent="0.25">
      <c r="A26" t="s">
        <v>807</v>
      </c>
      <c r="B26" t="s">
        <v>8</v>
      </c>
      <c r="C26" t="s">
        <v>190</v>
      </c>
      <c r="D26" t="s">
        <v>375</v>
      </c>
      <c r="E26" t="s">
        <v>41</v>
      </c>
      <c r="I26">
        <v>0.57441699999999996</v>
      </c>
      <c r="J26">
        <v>0.57111699999999999</v>
      </c>
      <c r="K26">
        <v>0.55896599999999996</v>
      </c>
      <c r="L26">
        <v>0.52147100000000002</v>
      </c>
      <c r="M26">
        <v>0.53114600000000001</v>
      </c>
      <c r="N26">
        <v>0.55647199999999997</v>
      </c>
      <c r="O26">
        <v>0.54198999999999997</v>
      </c>
      <c r="P26">
        <v>0.53814399999999996</v>
      </c>
      <c r="Q26">
        <v>0.53588499999999994</v>
      </c>
      <c r="R26">
        <v>0.53662399999999999</v>
      </c>
      <c r="S26">
        <v>0.53373099999999996</v>
      </c>
      <c r="T26">
        <v>0.53549400000000003</v>
      </c>
      <c r="U26">
        <v>0.53779699999999997</v>
      </c>
      <c r="V26">
        <v>0.53755600000000003</v>
      </c>
      <c r="W26">
        <v>0.53771899999999995</v>
      </c>
      <c r="X26">
        <v>0.53800599999999998</v>
      </c>
      <c r="Y26">
        <v>0.53813100000000003</v>
      </c>
      <c r="Z26">
        <v>0.538794</v>
      </c>
      <c r="AA26">
        <v>0.53927099999999994</v>
      </c>
      <c r="AB26">
        <v>0.53991</v>
      </c>
      <c r="AC26">
        <v>0.54142500000000005</v>
      </c>
      <c r="AD26">
        <v>0.54305800000000004</v>
      </c>
      <c r="AE26">
        <v>0.54540100000000002</v>
      </c>
      <c r="AF26">
        <v>0.54718299999999997</v>
      </c>
      <c r="AG26">
        <v>0.54889600000000005</v>
      </c>
      <c r="AH26">
        <v>0.55040699999999998</v>
      </c>
      <c r="AI26">
        <v>0.55136499999999999</v>
      </c>
      <c r="AJ26">
        <v>0.55222300000000002</v>
      </c>
      <c r="AK26">
        <v>0.55385799999999996</v>
      </c>
      <c r="AL26">
        <v>0.55538600000000005</v>
      </c>
      <c r="AM26">
        <v>0.55819600000000003</v>
      </c>
      <c r="AN26">
        <v>0.56127400000000005</v>
      </c>
      <c r="AO26">
        <v>0.56521299999999997</v>
      </c>
      <c r="AP26">
        <v>0.56941600000000003</v>
      </c>
      <c r="AQ26" s="6">
        <v>3.0000000000000001E-3</v>
      </c>
    </row>
    <row r="27" spans="1:43" x14ac:dyDescent="0.25">
      <c r="A27" t="s">
        <v>116</v>
      </c>
      <c r="B27" t="s">
        <v>116</v>
      </c>
      <c r="C27" t="s">
        <v>189</v>
      </c>
      <c r="D27" t="s">
        <v>374</v>
      </c>
      <c r="E27" t="s">
        <v>41</v>
      </c>
      <c r="I27">
        <v>1.088179</v>
      </c>
      <c r="J27">
        <v>1.096832</v>
      </c>
      <c r="K27">
        <v>1.1222799999999999</v>
      </c>
      <c r="L27">
        <v>1.0384910000000001</v>
      </c>
      <c r="M27">
        <v>1.046894</v>
      </c>
      <c r="N27">
        <v>1.0735969999999999</v>
      </c>
      <c r="O27">
        <v>1.069259</v>
      </c>
      <c r="P27">
        <v>1.0636680000000001</v>
      </c>
      <c r="Q27">
        <v>1.0696270000000001</v>
      </c>
      <c r="R27">
        <v>1.075841</v>
      </c>
      <c r="S27">
        <v>1.0765800000000001</v>
      </c>
      <c r="T27">
        <v>1.081663</v>
      </c>
      <c r="U27">
        <v>1.0864609999999999</v>
      </c>
      <c r="V27">
        <v>1.0883389999999999</v>
      </c>
      <c r="W27">
        <v>1.0905769999999999</v>
      </c>
      <c r="X27">
        <v>1.0927450000000001</v>
      </c>
      <c r="Y27">
        <v>1.0939939999999999</v>
      </c>
      <c r="Z27">
        <v>1.095342</v>
      </c>
      <c r="AA27">
        <v>1.0961460000000001</v>
      </c>
      <c r="AB27">
        <v>1.0972930000000001</v>
      </c>
      <c r="AC27">
        <v>1.099235</v>
      </c>
      <c r="AD27">
        <v>1.1007279999999999</v>
      </c>
      <c r="AE27">
        <v>1.1032550000000001</v>
      </c>
      <c r="AF27">
        <v>1.104973</v>
      </c>
      <c r="AG27">
        <v>1.106609</v>
      </c>
      <c r="AH27">
        <v>1.1080399999999999</v>
      </c>
      <c r="AI27">
        <v>1.1091960000000001</v>
      </c>
      <c r="AJ27">
        <v>1.110581</v>
      </c>
      <c r="AK27">
        <v>1.1119129999999999</v>
      </c>
      <c r="AL27">
        <v>1.105102</v>
      </c>
      <c r="AM27">
        <v>1.1027739999999999</v>
      </c>
      <c r="AN27">
        <v>1.104168</v>
      </c>
      <c r="AO27">
        <v>1.1084419999999999</v>
      </c>
      <c r="AP27">
        <v>1.112792</v>
      </c>
      <c r="AQ27" s="6">
        <v>6.0000000000000001E-3</v>
      </c>
    </row>
    <row r="28" spans="1:43" x14ac:dyDescent="0.25">
      <c r="A28" t="s">
        <v>114</v>
      </c>
      <c r="B28" t="s">
        <v>114</v>
      </c>
      <c r="C28" t="s">
        <v>188</v>
      </c>
      <c r="D28" t="s">
        <v>373</v>
      </c>
      <c r="E28" t="s">
        <v>41</v>
      </c>
      <c r="I28">
        <v>0.86982000000000004</v>
      </c>
      <c r="J28">
        <v>0.88661000000000001</v>
      </c>
      <c r="K28">
        <v>0.83051799999999998</v>
      </c>
      <c r="L28">
        <v>0.73861500000000002</v>
      </c>
      <c r="M28">
        <v>0.71264899999999998</v>
      </c>
      <c r="N28">
        <v>0.75207900000000005</v>
      </c>
      <c r="O28">
        <v>0.76952100000000001</v>
      </c>
      <c r="P28">
        <v>0.76587799999999995</v>
      </c>
      <c r="Q28">
        <v>0.76749100000000003</v>
      </c>
      <c r="R28">
        <v>0.732437</v>
      </c>
      <c r="S28">
        <v>0.72098600000000002</v>
      </c>
      <c r="T28">
        <v>0.73241000000000001</v>
      </c>
      <c r="U28">
        <v>0.73382099999999995</v>
      </c>
      <c r="V28">
        <v>0.71900900000000001</v>
      </c>
      <c r="W28">
        <v>0.71748400000000001</v>
      </c>
      <c r="X28">
        <v>0.72863599999999995</v>
      </c>
      <c r="Y28">
        <v>0.73641800000000002</v>
      </c>
      <c r="Z28">
        <v>0.73540300000000003</v>
      </c>
      <c r="AA28">
        <v>0.73029200000000005</v>
      </c>
      <c r="AB28">
        <v>0.73517100000000002</v>
      </c>
      <c r="AC28">
        <v>0.74097299999999999</v>
      </c>
      <c r="AD28">
        <v>0.75253199999999998</v>
      </c>
      <c r="AE28">
        <v>0.75373000000000001</v>
      </c>
      <c r="AF28">
        <v>0.77994699999999995</v>
      </c>
      <c r="AG28">
        <v>0.77808500000000003</v>
      </c>
      <c r="AH28">
        <v>0.78279100000000001</v>
      </c>
      <c r="AI28">
        <v>0.78286699999999998</v>
      </c>
      <c r="AJ28">
        <v>0.78800999999999999</v>
      </c>
      <c r="AK28">
        <v>0.80607200000000001</v>
      </c>
      <c r="AL28">
        <v>0.79176100000000005</v>
      </c>
      <c r="AM28">
        <v>0.79283499999999996</v>
      </c>
      <c r="AN28">
        <v>0.79673899999999998</v>
      </c>
      <c r="AO28">
        <v>0.79371700000000001</v>
      </c>
      <c r="AP28">
        <v>0.80289100000000002</v>
      </c>
      <c r="AQ28" s="6">
        <v>1E-3</v>
      </c>
    </row>
    <row r="29" spans="1:43" x14ac:dyDescent="0.25">
      <c r="A29" t="s">
        <v>28</v>
      </c>
      <c r="B29" t="s">
        <v>28</v>
      </c>
      <c r="C29" t="s">
        <v>187</v>
      </c>
      <c r="D29" t="s">
        <v>372</v>
      </c>
      <c r="E29" t="s">
        <v>41</v>
      </c>
      <c r="I29">
        <v>1.958</v>
      </c>
      <c r="J29">
        <v>1.9834419999999999</v>
      </c>
      <c r="K29">
        <v>1.952798</v>
      </c>
      <c r="L29">
        <v>1.7771060000000001</v>
      </c>
      <c r="M29">
        <v>1.7595430000000001</v>
      </c>
      <c r="N29">
        <v>1.8256760000000001</v>
      </c>
      <c r="O29">
        <v>1.8387800000000001</v>
      </c>
      <c r="P29">
        <v>1.8295459999999999</v>
      </c>
      <c r="Q29">
        <v>1.837118</v>
      </c>
      <c r="R29">
        <v>1.8082780000000001</v>
      </c>
      <c r="S29">
        <v>1.7975669999999999</v>
      </c>
      <c r="T29">
        <v>1.814073</v>
      </c>
      <c r="U29">
        <v>1.820282</v>
      </c>
      <c r="V29">
        <v>1.807348</v>
      </c>
      <c r="W29">
        <v>1.8080609999999999</v>
      </c>
      <c r="X29">
        <v>1.8213809999999999</v>
      </c>
      <c r="Y29">
        <v>1.8304119999999999</v>
      </c>
      <c r="Z29">
        <v>1.8307450000000001</v>
      </c>
      <c r="AA29">
        <v>1.826438</v>
      </c>
      <c r="AB29">
        <v>1.8324640000000001</v>
      </c>
      <c r="AC29">
        <v>1.8402080000000001</v>
      </c>
      <c r="AD29">
        <v>1.8532599999999999</v>
      </c>
      <c r="AE29">
        <v>1.856984</v>
      </c>
      <c r="AF29">
        <v>1.8849199999999999</v>
      </c>
      <c r="AG29">
        <v>1.8846940000000001</v>
      </c>
      <c r="AH29">
        <v>1.8908309999999999</v>
      </c>
      <c r="AI29">
        <v>1.8920630000000001</v>
      </c>
      <c r="AJ29">
        <v>1.8985909999999999</v>
      </c>
      <c r="AK29">
        <v>1.9179850000000001</v>
      </c>
      <c r="AL29">
        <v>1.896863</v>
      </c>
      <c r="AM29">
        <v>1.895608</v>
      </c>
      <c r="AN29">
        <v>1.9009069999999999</v>
      </c>
      <c r="AO29">
        <v>1.9021589999999999</v>
      </c>
      <c r="AP29">
        <v>1.9156820000000001</v>
      </c>
      <c r="AQ29" s="6">
        <v>4.0000000000000001E-3</v>
      </c>
    </row>
    <row r="30" spans="1:43" x14ac:dyDescent="0.25">
      <c r="A30" t="s">
        <v>186</v>
      </c>
      <c r="B30" t="s">
        <v>186</v>
      </c>
      <c r="D30" t="s">
        <v>371</v>
      </c>
    </row>
    <row r="31" spans="1:43" x14ac:dyDescent="0.25">
      <c r="A31" t="s">
        <v>808</v>
      </c>
      <c r="B31" t="s">
        <v>98</v>
      </c>
      <c r="C31" t="s">
        <v>185</v>
      </c>
      <c r="D31" t="s">
        <v>370</v>
      </c>
      <c r="E31" t="s">
        <v>41</v>
      </c>
      <c r="I31">
        <v>3.6222999999999998E-2</v>
      </c>
      <c r="J31">
        <v>4.2604999999999997E-2</v>
      </c>
      <c r="K31">
        <v>4.1168999999999997E-2</v>
      </c>
      <c r="L31">
        <v>3.7649000000000002E-2</v>
      </c>
      <c r="M31">
        <v>2.0271000000000001E-2</v>
      </c>
      <c r="N31">
        <v>1.5486E-2</v>
      </c>
      <c r="O31">
        <v>1.5225000000000001E-2</v>
      </c>
      <c r="P31">
        <v>4.6810000000000003E-3</v>
      </c>
      <c r="Q31">
        <v>4.7200000000000002E-3</v>
      </c>
      <c r="R31">
        <v>4.7600000000000003E-3</v>
      </c>
      <c r="S31">
        <v>4.79E-3</v>
      </c>
      <c r="T31">
        <v>4.8269999999999997E-3</v>
      </c>
      <c r="U31">
        <v>4.8710000000000003E-3</v>
      </c>
      <c r="V31">
        <v>4.901E-3</v>
      </c>
      <c r="W31">
        <v>4.9170000000000004E-3</v>
      </c>
      <c r="X31">
        <v>4.9259999999999998E-3</v>
      </c>
      <c r="Y31">
        <v>4.9350000000000002E-3</v>
      </c>
      <c r="Z31">
        <v>4.9350000000000002E-3</v>
      </c>
      <c r="AA31">
        <v>4.9319999999999998E-3</v>
      </c>
      <c r="AB31">
        <v>4.9280000000000001E-3</v>
      </c>
      <c r="AC31">
        <v>4.934E-3</v>
      </c>
      <c r="AD31">
        <v>4.9360000000000003E-3</v>
      </c>
      <c r="AE31">
        <v>4.9379999999999997E-3</v>
      </c>
      <c r="AF31">
        <v>4.9449999999999997E-3</v>
      </c>
      <c r="AG31">
        <v>4.9519999999999998E-3</v>
      </c>
      <c r="AH31">
        <v>4.9519999999999998E-3</v>
      </c>
      <c r="AI31">
        <v>4.9480000000000001E-3</v>
      </c>
      <c r="AJ31">
        <v>4.9430000000000003E-3</v>
      </c>
      <c r="AK31">
        <v>4.9389999999999998E-3</v>
      </c>
      <c r="AL31">
        <v>4.9360000000000003E-3</v>
      </c>
      <c r="AM31">
        <v>4.9309999999999996E-3</v>
      </c>
      <c r="AN31">
        <v>4.9240000000000004E-3</v>
      </c>
      <c r="AO31">
        <v>4.9150000000000001E-3</v>
      </c>
      <c r="AP31">
        <v>4.9109999999999996E-3</v>
      </c>
      <c r="AQ31" s="6">
        <v>-1.4999999999999999E-2</v>
      </c>
    </row>
    <row r="32" spans="1:43" x14ac:dyDescent="0.25">
      <c r="A32" t="s">
        <v>2</v>
      </c>
      <c r="B32" t="s">
        <v>2</v>
      </c>
      <c r="C32" t="s">
        <v>184</v>
      </c>
      <c r="D32" t="s">
        <v>369</v>
      </c>
      <c r="E32" t="s">
        <v>41</v>
      </c>
      <c r="I32">
        <v>3.9670999999999998E-2</v>
      </c>
      <c r="J32">
        <v>3.9092000000000002E-2</v>
      </c>
      <c r="K32">
        <v>4.0122999999999999E-2</v>
      </c>
      <c r="L32">
        <v>3.6609999999999997E-2</v>
      </c>
      <c r="M32">
        <v>3.9254999999999998E-2</v>
      </c>
      <c r="N32">
        <v>4.5364000000000002E-2</v>
      </c>
      <c r="O32">
        <v>4.5204000000000001E-2</v>
      </c>
      <c r="P32">
        <v>4.4739000000000001E-2</v>
      </c>
      <c r="Q32">
        <v>4.4685999999999997E-2</v>
      </c>
      <c r="R32">
        <v>4.4547000000000003E-2</v>
      </c>
      <c r="S32">
        <v>4.4199000000000002E-2</v>
      </c>
      <c r="T32">
        <v>4.4054999999999997E-2</v>
      </c>
      <c r="U32">
        <v>4.4151999999999997E-2</v>
      </c>
      <c r="V32">
        <v>4.4185000000000002E-2</v>
      </c>
      <c r="W32">
        <v>4.4051E-2</v>
      </c>
      <c r="X32">
        <v>4.3957000000000003E-2</v>
      </c>
      <c r="Y32">
        <v>4.3982E-2</v>
      </c>
      <c r="Z32">
        <v>4.4020999999999998E-2</v>
      </c>
      <c r="AA32">
        <v>4.4156000000000001E-2</v>
      </c>
      <c r="AB32">
        <v>4.4373000000000003E-2</v>
      </c>
      <c r="AC32">
        <v>4.4697000000000001E-2</v>
      </c>
      <c r="AD32">
        <v>4.5029E-2</v>
      </c>
      <c r="AE32">
        <v>4.5352000000000003E-2</v>
      </c>
      <c r="AF32">
        <v>4.5744E-2</v>
      </c>
      <c r="AG32">
        <v>4.6185999999999998E-2</v>
      </c>
      <c r="AH32">
        <v>4.6538999999999997E-2</v>
      </c>
      <c r="AI32">
        <v>4.6870000000000002E-2</v>
      </c>
      <c r="AJ32">
        <v>4.7183999999999997E-2</v>
      </c>
      <c r="AK32">
        <v>4.7508000000000002E-2</v>
      </c>
      <c r="AL32">
        <v>4.7842000000000003E-2</v>
      </c>
      <c r="AM32">
        <v>4.8146000000000001E-2</v>
      </c>
      <c r="AN32">
        <v>4.8432000000000003E-2</v>
      </c>
      <c r="AO32">
        <v>4.8705999999999999E-2</v>
      </c>
      <c r="AP32">
        <v>4.9082000000000001E-2</v>
      </c>
      <c r="AQ32" s="6">
        <v>7.0000000000000001E-3</v>
      </c>
    </row>
    <row r="33" spans="1:43" x14ac:dyDescent="0.25">
      <c r="A33" t="s">
        <v>90</v>
      </c>
      <c r="B33" t="s">
        <v>90</v>
      </c>
      <c r="C33" t="s">
        <v>183</v>
      </c>
      <c r="D33" t="s">
        <v>368</v>
      </c>
      <c r="E33" t="s">
        <v>41</v>
      </c>
      <c r="I33">
        <v>0.13319300000000001</v>
      </c>
      <c r="J33">
        <v>0.13950399999999999</v>
      </c>
      <c r="K33">
        <v>0.131635</v>
      </c>
      <c r="L33">
        <v>0.110994</v>
      </c>
      <c r="M33">
        <v>0.11297699999999999</v>
      </c>
      <c r="N33">
        <v>0.117336</v>
      </c>
      <c r="O33">
        <v>0.116919</v>
      </c>
      <c r="P33">
        <v>0.11522399999999999</v>
      </c>
      <c r="Q33">
        <v>0.114495</v>
      </c>
      <c r="R33">
        <v>0.11376799999999999</v>
      </c>
      <c r="S33">
        <v>0.112564</v>
      </c>
      <c r="T33">
        <v>0.111901</v>
      </c>
      <c r="U33">
        <v>0.11186599999999999</v>
      </c>
      <c r="V33">
        <v>0.11176</v>
      </c>
      <c r="W33">
        <v>0.111378</v>
      </c>
      <c r="X33">
        <v>0.111093</v>
      </c>
      <c r="Y33">
        <v>0.11100599999999999</v>
      </c>
      <c r="Z33">
        <v>0.11092299999999999</v>
      </c>
      <c r="AA33">
        <v>0.11107599999999999</v>
      </c>
      <c r="AB33">
        <v>0.11139499999999999</v>
      </c>
      <c r="AC33">
        <v>0.11195099999999999</v>
      </c>
      <c r="AD33">
        <v>0.112539</v>
      </c>
      <c r="AE33">
        <v>0.11312</v>
      </c>
      <c r="AF33">
        <v>0.113875</v>
      </c>
      <c r="AG33">
        <v>0.11475</v>
      </c>
      <c r="AH33">
        <v>0.115408</v>
      </c>
      <c r="AI33">
        <v>0.116037</v>
      </c>
      <c r="AJ33">
        <v>0.11661199999999999</v>
      </c>
      <c r="AK33">
        <v>0.117211</v>
      </c>
      <c r="AL33">
        <v>0.117821</v>
      </c>
      <c r="AM33">
        <v>0.118351</v>
      </c>
      <c r="AN33">
        <v>0.118811</v>
      </c>
      <c r="AO33">
        <v>0.11926200000000001</v>
      </c>
      <c r="AP33">
        <v>0.119953</v>
      </c>
      <c r="AQ33" s="6">
        <v>1.0999999999999999E-2</v>
      </c>
    </row>
    <row r="34" spans="1:43" x14ac:dyDescent="0.25">
      <c r="A34" t="s">
        <v>88</v>
      </c>
      <c r="B34" t="s">
        <v>88</v>
      </c>
      <c r="C34" t="s">
        <v>182</v>
      </c>
      <c r="D34" t="s">
        <v>367</v>
      </c>
      <c r="E34" t="s">
        <v>41</v>
      </c>
      <c r="I34">
        <v>3.3909999999999999E-3</v>
      </c>
      <c r="J34">
        <v>3.2929999999999999E-3</v>
      </c>
      <c r="K34">
        <v>3.4970000000000001E-3</v>
      </c>
      <c r="L34">
        <v>1.271E-3</v>
      </c>
      <c r="M34">
        <v>1.7589999999999999E-3</v>
      </c>
      <c r="N34">
        <v>1.08E-4</v>
      </c>
      <c r="O34">
        <v>9.2E-5</v>
      </c>
      <c r="P34">
        <v>8.7999999999999998E-5</v>
      </c>
      <c r="Q34">
        <v>8.3999999999999995E-5</v>
      </c>
      <c r="R34">
        <v>8.1000000000000004E-5</v>
      </c>
      <c r="S34">
        <v>7.4999999999999993E-5</v>
      </c>
      <c r="T34">
        <v>6.9999999999999994E-5</v>
      </c>
      <c r="U34">
        <v>6.4999999999999994E-5</v>
      </c>
      <c r="V34">
        <v>6.2000000000000003E-5</v>
      </c>
      <c r="W34">
        <v>5.8999999999999998E-5</v>
      </c>
      <c r="X34">
        <v>5.7000000000000003E-5</v>
      </c>
      <c r="Y34">
        <v>5.5999999999999999E-5</v>
      </c>
      <c r="Z34">
        <v>5.3999999999999998E-5</v>
      </c>
      <c r="AA34">
        <v>5.3000000000000001E-5</v>
      </c>
      <c r="AB34">
        <v>5.1999999999999997E-5</v>
      </c>
      <c r="AC34">
        <v>5.1999999999999997E-5</v>
      </c>
      <c r="AD34">
        <v>5.1E-5</v>
      </c>
      <c r="AE34">
        <v>5.1E-5</v>
      </c>
      <c r="AF34">
        <v>5.0000000000000002E-5</v>
      </c>
      <c r="AG34">
        <v>4.8999999999999998E-5</v>
      </c>
      <c r="AH34">
        <v>4.8999999999999998E-5</v>
      </c>
      <c r="AI34">
        <v>4.8999999999999998E-5</v>
      </c>
      <c r="AJ34">
        <v>4.8999999999999998E-5</v>
      </c>
      <c r="AK34">
        <v>4.8999999999999998E-5</v>
      </c>
      <c r="AL34">
        <v>4.6E-5</v>
      </c>
      <c r="AM34">
        <v>4.5000000000000003E-5</v>
      </c>
      <c r="AN34">
        <v>4.3999999999999999E-5</v>
      </c>
      <c r="AO34">
        <v>4.3999999999999999E-5</v>
      </c>
      <c r="AP34">
        <v>4.3999999999999999E-5</v>
      </c>
      <c r="AQ34" s="6">
        <v>-4.0000000000000001E-3</v>
      </c>
    </row>
    <row r="35" spans="1:43" x14ac:dyDescent="0.25">
      <c r="A35" t="s">
        <v>86</v>
      </c>
      <c r="B35" t="s">
        <v>86</v>
      </c>
      <c r="C35" t="s">
        <v>181</v>
      </c>
      <c r="D35" t="s">
        <v>366</v>
      </c>
      <c r="E35" t="s">
        <v>41</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t="s">
        <v>0</v>
      </c>
    </row>
    <row r="36" spans="1:43" x14ac:dyDescent="0.25">
      <c r="A36" t="s">
        <v>84</v>
      </c>
      <c r="B36" t="s">
        <v>84</v>
      </c>
      <c r="C36" t="s">
        <v>180</v>
      </c>
      <c r="D36" t="s">
        <v>365</v>
      </c>
      <c r="E36" t="s">
        <v>41</v>
      </c>
      <c r="I36">
        <v>0.52827999999999997</v>
      </c>
      <c r="J36">
        <v>0.51832699999999998</v>
      </c>
      <c r="K36">
        <v>0.52617199999999997</v>
      </c>
      <c r="L36">
        <v>0.46377499999999999</v>
      </c>
      <c r="M36">
        <v>0.45420700000000003</v>
      </c>
      <c r="N36">
        <v>0.46088600000000002</v>
      </c>
      <c r="O36">
        <v>0.45538899999999999</v>
      </c>
      <c r="P36">
        <v>0.34487600000000002</v>
      </c>
      <c r="Q36">
        <v>0.34288400000000002</v>
      </c>
      <c r="R36">
        <v>0.347219</v>
      </c>
      <c r="S36">
        <v>0.34938999999999998</v>
      </c>
      <c r="T36">
        <v>0.35371200000000003</v>
      </c>
      <c r="U36">
        <v>0.35367799999999999</v>
      </c>
      <c r="V36">
        <v>0.35397499999999998</v>
      </c>
      <c r="W36">
        <v>0.34964499999999998</v>
      </c>
      <c r="X36">
        <v>0.35564200000000001</v>
      </c>
      <c r="Y36">
        <v>0.35122799999999998</v>
      </c>
      <c r="Z36">
        <v>0.35920200000000002</v>
      </c>
      <c r="AA36">
        <v>0.36018099999999997</v>
      </c>
      <c r="AB36">
        <v>0.36159400000000003</v>
      </c>
      <c r="AC36">
        <v>0.35831299999999999</v>
      </c>
      <c r="AD36">
        <v>0.36180800000000002</v>
      </c>
      <c r="AE36">
        <v>0.36531400000000003</v>
      </c>
      <c r="AF36">
        <v>0.36921100000000001</v>
      </c>
      <c r="AG36">
        <v>0.37187100000000001</v>
      </c>
      <c r="AH36">
        <v>0.37348500000000001</v>
      </c>
      <c r="AI36">
        <v>0.367058</v>
      </c>
      <c r="AJ36">
        <v>0.36836200000000002</v>
      </c>
      <c r="AK36">
        <v>0.36960999999999999</v>
      </c>
      <c r="AL36">
        <v>0.36042299999999999</v>
      </c>
      <c r="AM36">
        <v>0.35892000000000002</v>
      </c>
      <c r="AN36">
        <v>0.36479200000000001</v>
      </c>
      <c r="AO36">
        <v>0.36612699999999998</v>
      </c>
      <c r="AP36">
        <v>0.36587500000000001</v>
      </c>
      <c r="AQ36" s="6">
        <v>-5.0000000000000001E-3</v>
      </c>
    </row>
    <row r="37" spans="1:43" x14ac:dyDescent="0.25">
      <c r="A37" t="s">
        <v>82</v>
      </c>
      <c r="B37" t="s">
        <v>82</v>
      </c>
      <c r="C37" t="s">
        <v>179</v>
      </c>
      <c r="D37" t="s">
        <v>364</v>
      </c>
      <c r="E37" t="s">
        <v>41</v>
      </c>
      <c r="I37">
        <v>0.74075800000000003</v>
      </c>
      <c r="J37">
        <v>0.74282099999999995</v>
      </c>
      <c r="K37">
        <v>0.74259600000000003</v>
      </c>
      <c r="L37">
        <v>0.65029899999999996</v>
      </c>
      <c r="M37">
        <v>0.62846900000000006</v>
      </c>
      <c r="N37">
        <v>0.639181</v>
      </c>
      <c r="O37">
        <v>0.63282899999999997</v>
      </c>
      <c r="P37">
        <v>0.50960899999999998</v>
      </c>
      <c r="Q37">
        <v>0.50687000000000004</v>
      </c>
      <c r="R37">
        <v>0.51037399999999999</v>
      </c>
      <c r="S37">
        <v>0.51101799999999997</v>
      </c>
      <c r="T37">
        <v>0.51456500000000005</v>
      </c>
      <c r="U37">
        <v>0.51463300000000001</v>
      </c>
      <c r="V37">
        <v>0.51488299999999998</v>
      </c>
      <c r="W37">
        <v>0.51004899999999997</v>
      </c>
      <c r="X37">
        <v>0.51567499999999999</v>
      </c>
      <c r="Y37">
        <v>0.51120699999999997</v>
      </c>
      <c r="Z37">
        <v>0.51913500000000001</v>
      </c>
      <c r="AA37">
        <v>0.52039800000000003</v>
      </c>
      <c r="AB37">
        <v>0.52234199999999997</v>
      </c>
      <c r="AC37">
        <v>0.51994600000000002</v>
      </c>
      <c r="AD37">
        <v>0.52436400000000005</v>
      </c>
      <c r="AE37">
        <v>0.52877399999999997</v>
      </c>
      <c r="AF37">
        <v>0.53382499999999999</v>
      </c>
      <c r="AG37">
        <v>0.53780899999999998</v>
      </c>
      <c r="AH37">
        <v>0.54043300000000005</v>
      </c>
      <c r="AI37">
        <v>0.53496200000000005</v>
      </c>
      <c r="AJ37">
        <v>0.53715000000000002</v>
      </c>
      <c r="AK37">
        <v>0.53931700000000005</v>
      </c>
      <c r="AL37">
        <v>0.53106799999999998</v>
      </c>
      <c r="AM37">
        <v>0.53039199999999997</v>
      </c>
      <c r="AN37">
        <v>0.53700300000000001</v>
      </c>
      <c r="AO37">
        <v>0.539053</v>
      </c>
      <c r="AP37">
        <v>0.53986500000000004</v>
      </c>
      <c r="AQ37" s="6">
        <v>-1E-3</v>
      </c>
    </row>
    <row r="38" spans="1:43" x14ac:dyDescent="0.25">
      <c r="A38" t="s">
        <v>10</v>
      </c>
      <c r="B38" t="s">
        <v>10</v>
      </c>
      <c r="C38" t="s">
        <v>178</v>
      </c>
      <c r="D38" t="s">
        <v>363</v>
      </c>
      <c r="E38" t="s">
        <v>41</v>
      </c>
      <c r="I38">
        <v>1.003134</v>
      </c>
      <c r="J38">
        <v>1.0704050000000001</v>
      </c>
      <c r="K38">
        <v>1.008513</v>
      </c>
      <c r="L38">
        <v>0.96288899999999999</v>
      </c>
      <c r="M38">
        <v>0.99665700000000002</v>
      </c>
      <c r="N38">
        <v>0.97022299999999995</v>
      </c>
      <c r="O38">
        <v>0.92830400000000002</v>
      </c>
      <c r="P38">
        <v>1.027698</v>
      </c>
      <c r="Q38">
        <v>1.036189</v>
      </c>
      <c r="R38">
        <v>1.0573809999999999</v>
      </c>
      <c r="S38">
        <v>1.0678160000000001</v>
      </c>
      <c r="T38">
        <v>1.0949899999999999</v>
      </c>
      <c r="U38">
        <v>1.1044940000000001</v>
      </c>
      <c r="V38">
        <v>1.113815</v>
      </c>
      <c r="W38">
        <v>1.1176029999999999</v>
      </c>
      <c r="X38">
        <v>1.124779</v>
      </c>
      <c r="Y38">
        <v>1.1291530000000001</v>
      </c>
      <c r="Z38">
        <v>1.1426529999999999</v>
      </c>
      <c r="AA38">
        <v>1.1465479999999999</v>
      </c>
      <c r="AB38">
        <v>1.1558759999999999</v>
      </c>
      <c r="AC38">
        <v>1.1677930000000001</v>
      </c>
      <c r="AD38">
        <v>1.1774849999999999</v>
      </c>
      <c r="AE38">
        <v>1.195047</v>
      </c>
      <c r="AF38">
        <v>1.209327</v>
      </c>
      <c r="AG38">
        <v>1.227535</v>
      </c>
      <c r="AH38">
        <v>1.242405</v>
      </c>
      <c r="AI38">
        <v>1.2565440000000001</v>
      </c>
      <c r="AJ38">
        <v>1.2725200000000001</v>
      </c>
      <c r="AK38">
        <v>1.288813</v>
      </c>
      <c r="AL38">
        <v>1.228175</v>
      </c>
      <c r="AM38">
        <v>1.2447349999999999</v>
      </c>
      <c r="AN38">
        <v>1.2710140000000001</v>
      </c>
      <c r="AO38">
        <v>1.2875049999999999</v>
      </c>
      <c r="AP38">
        <v>1.3071569999999999</v>
      </c>
      <c r="AQ38" s="6">
        <v>8.9999999999999993E-3</v>
      </c>
    </row>
    <row r="39" spans="1:43" x14ac:dyDescent="0.25">
      <c r="A39" t="s">
        <v>79</v>
      </c>
      <c r="B39" t="s">
        <v>79</v>
      </c>
      <c r="C39" t="s">
        <v>177</v>
      </c>
      <c r="D39" t="s">
        <v>362</v>
      </c>
      <c r="E39" t="s">
        <v>41</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t="s">
        <v>0</v>
      </c>
    </row>
    <row r="40" spans="1:43" x14ac:dyDescent="0.25">
      <c r="A40" t="s">
        <v>77</v>
      </c>
      <c r="B40" t="s">
        <v>77</v>
      </c>
      <c r="C40" t="s">
        <v>176</v>
      </c>
      <c r="D40" t="s">
        <v>361</v>
      </c>
      <c r="E40" t="s">
        <v>41</v>
      </c>
      <c r="I40">
        <v>0.283586</v>
      </c>
      <c r="J40">
        <v>0.29477799999999998</v>
      </c>
      <c r="K40">
        <v>0.29870200000000002</v>
      </c>
      <c r="L40">
        <v>0.28741899999999998</v>
      </c>
      <c r="M40">
        <v>0.28536099999999998</v>
      </c>
      <c r="N40">
        <v>0.30041600000000002</v>
      </c>
      <c r="O40">
        <v>0.26392500000000002</v>
      </c>
      <c r="P40">
        <v>0.26453599999999999</v>
      </c>
      <c r="Q40">
        <v>0.27270299999999997</v>
      </c>
      <c r="R40">
        <v>0.27039600000000003</v>
      </c>
      <c r="S40">
        <v>0.27348499999999998</v>
      </c>
      <c r="T40">
        <v>0.305282</v>
      </c>
      <c r="U40">
        <v>0.31772499999999998</v>
      </c>
      <c r="V40">
        <v>0.32852799999999999</v>
      </c>
      <c r="W40">
        <v>0.32819300000000001</v>
      </c>
      <c r="X40">
        <v>0.33440300000000001</v>
      </c>
      <c r="Y40">
        <v>0.33573500000000001</v>
      </c>
      <c r="Z40">
        <v>0.32615499999999997</v>
      </c>
      <c r="AA40">
        <v>0.31773499999999999</v>
      </c>
      <c r="AB40">
        <v>0.32038899999999998</v>
      </c>
      <c r="AC40">
        <v>0.32386900000000002</v>
      </c>
      <c r="AD40">
        <v>0.32331300000000002</v>
      </c>
      <c r="AE40">
        <v>0.32965100000000003</v>
      </c>
      <c r="AF40">
        <v>0.324882</v>
      </c>
      <c r="AG40">
        <v>0.32623200000000002</v>
      </c>
      <c r="AH40">
        <v>0.323824</v>
      </c>
      <c r="AI40">
        <v>0.31929400000000002</v>
      </c>
      <c r="AJ40">
        <v>0.33028200000000002</v>
      </c>
      <c r="AK40">
        <v>0.333422</v>
      </c>
      <c r="AL40">
        <v>0.33561400000000002</v>
      </c>
      <c r="AM40">
        <v>0.33097300000000002</v>
      </c>
      <c r="AN40">
        <v>0.34954099999999999</v>
      </c>
      <c r="AO40">
        <v>0.34683399999999998</v>
      </c>
      <c r="AP40">
        <v>0.33806599999999998</v>
      </c>
      <c r="AQ40" s="6">
        <v>0</v>
      </c>
    </row>
    <row r="41" spans="1:43" x14ac:dyDescent="0.25">
      <c r="A41" t="s">
        <v>71</v>
      </c>
      <c r="B41" t="s">
        <v>71</v>
      </c>
      <c r="C41" t="s">
        <v>175</v>
      </c>
      <c r="D41" t="s">
        <v>360</v>
      </c>
      <c r="E41" t="s">
        <v>41</v>
      </c>
      <c r="I41">
        <v>1.286721</v>
      </c>
      <c r="J41">
        <v>1.365183</v>
      </c>
      <c r="K41">
        <v>1.3072140000000001</v>
      </c>
      <c r="L41">
        <v>1.2503089999999999</v>
      </c>
      <c r="M41">
        <v>1.2820180000000001</v>
      </c>
      <c r="N41">
        <v>1.27064</v>
      </c>
      <c r="O41">
        <v>1.192229</v>
      </c>
      <c r="P41">
        <v>1.2922340000000001</v>
      </c>
      <c r="Q41">
        <v>1.3088919999999999</v>
      </c>
      <c r="R41">
        <v>1.327777</v>
      </c>
      <c r="S41">
        <v>1.3413010000000001</v>
      </c>
      <c r="T41">
        <v>1.4002730000000001</v>
      </c>
      <c r="U41">
        <v>1.4222189999999999</v>
      </c>
      <c r="V41">
        <v>1.4423440000000001</v>
      </c>
      <c r="W41">
        <v>1.4457960000000001</v>
      </c>
      <c r="X41">
        <v>1.4591829999999999</v>
      </c>
      <c r="Y41">
        <v>1.464888</v>
      </c>
      <c r="Z41">
        <v>1.4688079999999999</v>
      </c>
      <c r="AA41">
        <v>1.464283</v>
      </c>
      <c r="AB41">
        <v>1.4762649999999999</v>
      </c>
      <c r="AC41">
        <v>1.491662</v>
      </c>
      <c r="AD41">
        <v>1.5007980000000001</v>
      </c>
      <c r="AE41">
        <v>1.5246980000000001</v>
      </c>
      <c r="AF41">
        <v>1.534208</v>
      </c>
      <c r="AG41">
        <v>1.5537669999999999</v>
      </c>
      <c r="AH41">
        <v>1.5662290000000001</v>
      </c>
      <c r="AI41">
        <v>1.5758369999999999</v>
      </c>
      <c r="AJ41">
        <v>1.6028020000000001</v>
      </c>
      <c r="AK41">
        <v>1.6222350000000001</v>
      </c>
      <c r="AL41">
        <v>1.5637890000000001</v>
      </c>
      <c r="AM41">
        <v>1.5757080000000001</v>
      </c>
      <c r="AN41">
        <v>1.620555</v>
      </c>
      <c r="AO41">
        <v>1.634339</v>
      </c>
      <c r="AP41">
        <v>1.6452230000000001</v>
      </c>
      <c r="AQ41" s="6">
        <v>7.0000000000000001E-3</v>
      </c>
    </row>
    <row r="42" spans="1:43" x14ac:dyDescent="0.25">
      <c r="A42" t="s">
        <v>69</v>
      </c>
      <c r="B42" t="s">
        <v>69</v>
      </c>
      <c r="C42" t="s">
        <v>174</v>
      </c>
      <c r="D42" t="s">
        <v>359</v>
      </c>
      <c r="E42" t="s">
        <v>41</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t="s">
        <v>0</v>
      </c>
    </row>
    <row r="43" spans="1:43" x14ac:dyDescent="0.25">
      <c r="A43" t="s">
        <v>173</v>
      </c>
      <c r="B43" t="s">
        <v>173</v>
      </c>
      <c r="C43" t="s">
        <v>172</v>
      </c>
      <c r="D43" t="s">
        <v>358</v>
      </c>
      <c r="E43" t="s">
        <v>41</v>
      </c>
      <c r="I43">
        <v>3.2236000000000001E-2</v>
      </c>
      <c r="J43">
        <v>2.9430000000000001E-2</v>
      </c>
      <c r="K43">
        <v>3.0235000000000001E-2</v>
      </c>
      <c r="L43">
        <v>2.9201000000000001E-2</v>
      </c>
      <c r="M43">
        <v>3.1400999999999998E-2</v>
      </c>
      <c r="N43">
        <v>3.0339000000000001E-2</v>
      </c>
      <c r="O43">
        <v>2.7304999999999999E-2</v>
      </c>
      <c r="P43">
        <v>2.6897999999999998E-2</v>
      </c>
      <c r="Q43">
        <v>2.6623000000000001E-2</v>
      </c>
      <c r="R43">
        <v>2.6467000000000001E-2</v>
      </c>
      <c r="S43">
        <v>2.6172999999999998E-2</v>
      </c>
      <c r="T43">
        <v>2.5831E-2</v>
      </c>
      <c r="U43">
        <v>2.52E-2</v>
      </c>
      <c r="V43">
        <v>2.453E-2</v>
      </c>
      <c r="W43">
        <v>2.3927E-2</v>
      </c>
      <c r="X43">
        <v>2.3282000000000001E-2</v>
      </c>
      <c r="Y43">
        <v>2.2633E-2</v>
      </c>
      <c r="Z43">
        <v>2.2034000000000002E-2</v>
      </c>
      <c r="AA43">
        <v>2.1462999999999999E-2</v>
      </c>
      <c r="AB43">
        <v>2.0818E-2</v>
      </c>
      <c r="AC43">
        <v>2.0204E-2</v>
      </c>
      <c r="AD43">
        <v>1.9682999999999999E-2</v>
      </c>
      <c r="AE43">
        <v>1.9290999999999999E-2</v>
      </c>
      <c r="AF43">
        <v>1.8988999999999999E-2</v>
      </c>
      <c r="AG43">
        <v>1.8686000000000001E-2</v>
      </c>
      <c r="AH43">
        <v>1.8348E-2</v>
      </c>
      <c r="AI43">
        <v>1.7981E-2</v>
      </c>
      <c r="AJ43">
        <v>1.7614000000000001E-2</v>
      </c>
      <c r="AK43">
        <v>1.7434999999999999E-2</v>
      </c>
      <c r="AL43">
        <v>1.7132999999999999E-2</v>
      </c>
      <c r="AM43">
        <v>1.6841999999999999E-2</v>
      </c>
      <c r="AN43">
        <v>1.6546000000000002E-2</v>
      </c>
      <c r="AO43">
        <v>1.6256E-2</v>
      </c>
      <c r="AP43">
        <v>1.5997000000000001E-2</v>
      </c>
      <c r="AQ43" s="6">
        <v>1E-3</v>
      </c>
    </row>
    <row r="44" spans="1:43" x14ac:dyDescent="0.25">
      <c r="A44" t="s">
        <v>65</v>
      </c>
      <c r="B44" t="s">
        <v>65</v>
      </c>
      <c r="C44" t="s">
        <v>171</v>
      </c>
      <c r="D44" t="s">
        <v>357</v>
      </c>
      <c r="E44" t="s">
        <v>41</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t="s">
        <v>0</v>
      </c>
    </row>
    <row r="45" spans="1:43" x14ac:dyDescent="0.25">
      <c r="A45" t="s">
        <v>63</v>
      </c>
      <c r="B45" t="s">
        <v>63</v>
      </c>
      <c r="C45" t="s">
        <v>170</v>
      </c>
      <c r="D45" t="s">
        <v>356</v>
      </c>
      <c r="E45" t="s">
        <v>41</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t="s">
        <v>0</v>
      </c>
    </row>
    <row r="46" spans="1:43" x14ac:dyDescent="0.25">
      <c r="A46" t="s">
        <v>61</v>
      </c>
      <c r="B46" t="s">
        <v>61</v>
      </c>
      <c r="C46" t="s">
        <v>169</v>
      </c>
      <c r="D46" t="s">
        <v>355</v>
      </c>
      <c r="E46" t="s">
        <v>41</v>
      </c>
      <c r="I46">
        <v>3.2236000000000001E-2</v>
      </c>
      <c r="J46">
        <v>2.9430000000000001E-2</v>
      </c>
      <c r="K46">
        <v>3.0235000000000001E-2</v>
      </c>
      <c r="L46">
        <v>2.9201000000000001E-2</v>
      </c>
      <c r="M46">
        <v>3.1400999999999998E-2</v>
      </c>
      <c r="N46">
        <v>3.0339000000000001E-2</v>
      </c>
      <c r="O46">
        <v>2.7304999999999999E-2</v>
      </c>
      <c r="P46">
        <v>2.6897999999999998E-2</v>
      </c>
      <c r="Q46">
        <v>2.6623000000000001E-2</v>
      </c>
      <c r="R46">
        <v>2.6467000000000001E-2</v>
      </c>
      <c r="S46">
        <v>2.6172999999999998E-2</v>
      </c>
      <c r="T46">
        <v>2.5831E-2</v>
      </c>
      <c r="U46">
        <v>2.52E-2</v>
      </c>
      <c r="V46">
        <v>2.453E-2</v>
      </c>
      <c r="W46">
        <v>2.3927E-2</v>
      </c>
      <c r="X46">
        <v>2.3282000000000001E-2</v>
      </c>
      <c r="Y46">
        <v>2.2633E-2</v>
      </c>
      <c r="Z46">
        <v>2.2034000000000002E-2</v>
      </c>
      <c r="AA46">
        <v>2.1462999999999999E-2</v>
      </c>
      <c r="AB46">
        <v>2.0818E-2</v>
      </c>
      <c r="AC46">
        <v>2.0204E-2</v>
      </c>
      <c r="AD46">
        <v>1.9682999999999999E-2</v>
      </c>
      <c r="AE46">
        <v>1.9290999999999999E-2</v>
      </c>
      <c r="AF46">
        <v>1.8988999999999999E-2</v>
      </c>
      <c r="AG46">
        <v>1.8686000000000001E-2</v>
      </c>
      <c r="AH46">
        <v>1.8348E-2</v>
      </c>
      <c r="AI46">
        <v>1.7981E-2</v>
      </c>
      <c r="AJ46">
        <v>1.7614000000000001E-2</v>
      </c>
      <c r="AK46">
        <v>1.7434999999999999E-2</v>
      </c>
      <c r="AL46">
        <v>1.7132999999999999E-2</v>
      </c>
      <c r="AM46">
        <v>1.6841999999999999E-2</v>
      </c>
      <c r="AN46">
        <v>1.6546000000000002E-2</v>
      </c>
      <c r="AO46">
        <v>1.6256E-2</v>
      </c>
      <c r="AP46">
        <v>1.5997000000000001E-2</v>
      </c>
      <c r="AQ46" s="6">
        <v>1E-3</v>
      </c>
    </row>
    <row r="47" spans="1:43" x14ac:dyDescent="0.25">
      <c r="A47" t="s">
        <v>57</v>
      </c>
      <c r="B47" t="s">
        <v>57</v>
      </c>
      <c r="C47" t="s">
        <v>168</v>
      </c>
      <c r="D47" t="s">
        <v>354</v>
      </c>
      <c r="E47" t="s">
        <v>41</v>
      </c>
      <c r="I47">
        <v>0.111349</v>
      </c>
      <c r="J47">
        <v>0.11107400000000001</v>
      </c>
      <c r="K47">
        <v>0.128689</v>
      </c>
      <c r="L47">
        <v>0.12955700000000001</v>
      </c>
      <c r="M47">
        <v>0.13327900000000001</v>
      </c>
      <c r="N47">
        <v>0.123927</v>
      </c>
      <c r="O47">
        <v>0.12903500000000001</v>
      </c>
      <c r="P47">
        <v>0.11941400000000001</v>
      </c>
      <c r="Q47">
        <v>0.118072</v>
      </c>
      <c r="R47">
        <v>0.11680400000000001</v>
      </c>
      <c r="S47">
        <v>0.115535</v>
      </c>
      <c r="T47">
        <v>0.114689</v>
      </c>
      <c r="U47">
        <v>0.112812</v>
      </c>
      <c r="V47">
        <v>0.110884</v>
      </c>
      <c r="W47">
        <v>0.10904700000000001</v>
      </c>
      <c r="X47">
        <v>0.10719099999999999</v>
      </c>
      <c r="Y47">
        <v>0.105591</v>
      </c>
      <c r="Z47">
        <v>0.104142</v>
      </c>
      <c r="AA47">
        <v>0.10351399999999999</v>
      </c>
      <c r="AB47">
        <v>0.102021</v>
      </c>
      <c r="AC47">
        <v>0.10073799999999999</v>
      </c>
      <c r="AD47">
        <v>9.9635000000000001E-2</v>
      </c>
      <c r="AE47">
        <v>9.8705000000000001E-2</v>
      </c>
      <c r="AF47">
        <v>9.8044000000000006E-2</v>
      </c>
      <c r="AG47">
        <v>9.8344000000000001E-2</v>
      </c>
      <c r="AH47">
        <v>9.8062999999999997E-2</v>
      </c>
      <c r="AI47">
        <v>9.7916000000000003E-2</v>
      </c>
      <c r="AJ47">
        <v>9.7237000000000004E-2</v>
      </c>
      <c r="AK47">
        <v>9.7264000000000003E-2</v>
      </c>
      <c r="AL47">
        <v>9.7540000000000002E-2</v>
      </c>
      <c r="AM47">
        <v>9.8091999999999999E-2</v>
      </c>
      <c r="AN47">
        <v>9.9629999999999996E-2</v>
      </c>
      <c r="AO47">
        <v>9.9969000000000002E-2</v>
      </c>
      <c r="AP47">
        <v>0.10008599999999999</v>
      </c>
      <c r="AQ47" s="6">
        <v>-5.0000000000000001E-3</v>
      </c>
    </row>
    <row r="48" spans="1:43" x14ac:dyDescent="0.25">
      <c r="A48" t="s">
        <v>55</v>
      </c>
      <c r="B48" t="s">
        <v>55</v>
      </c>
      <c r="C48" t="s">
        <v>167</v>
      </c>
      <c r="D48" t="s">
        <v>353</v>
      </c>
      <c r="E48" t="s">
        <v>41</v>
      </c>
      <c r="I48">
        <v>0.15648899999999999</v>
      </c>
      <c r="J48">
        <v>0.15682399999999999</v>
      </c>
      <c r="K48">
        <v>0.140981</v>
      </c>
      <c r="L48">
        <v>0.14011199999999999</v>
      </c>
      <c r="M48">
        <v>0.15512400000000001</v>
      </c>
      <c r="N48">
        <v>0.16539899999999999</v>
      </c>
      <c r="O48">
        <v>0.17175299999999999</v>
      </c>
      <c r="P48">
        <v>0.17113500000000001</v>
      </c>
      <c r="Q48">
        <v>0.174621</v>
      </c>
      <c r="R48">
        <v>0.17568700000000001</v>
      </c>
      <c r="S48">
        <v>0.17724799999999999</v>
      </c>
      <c r="T48">
        <v>0.180174</v>
      </c>
      <c r="U48">
        <v>0.18299299999999999</v>
      </c>
      <c r="V48">
        <v>0.18514900000000001</v>
      </c>
      <c r="W48">
        <v>0.18710099999999999</v>
      </c>
      <c r="X48">
        <v>0.18959899999999999</v>
      </c>
      <c r="Y48">
        <v>0.19228700000000001</v>
      </c>
      <c r="Z48">
        <v>0.195378</v>
      </c>
      <c r="AA48">
        <v>0.19775699999999999</v>
      </c>
      <c r="AB48">
        <v>0.198848</v>
      </c>
      <c r="AC48">
        <v>0.20068900000000001</v>
      </c>
      <c r="AD48">
        <v>0.202621</v>
      </c>
      <c r="AE48">
        <v>0.20486199999999999</v>
      </c>
      <c r="AF48">
        <v>0.207373</v>
      </c>
      <c r="AG48">
        <v>0.210253</v>
      </c>
      <c r="AH48">
        <v>0.21302499999999999</v>
      </c>
      <c r="AI48">
        <v>0.215452</v>
      </c>
      <c r="AJ48">
        <v>0.21729699999999999</v>
      </c>
      <c r="AK48">
        <v>0.218498</v>
      </c>
      <c r="AL48">
        <v>0.21990299999999999</v>
      </c>
      <c r="AM48">
        <v>0.22188099999999999</v>
      </c>
      <c r="AN48">
        <v>0.22353200000000001</v>
      </c>
      <c r="AO48">
        <v>0.225493</v>
      </c>
      <c r="AP48">
        <v>0.228575</v>
      </c>
      <c r="AQ48" s="6">
        <v>1.6E-2</v>
      </c>
    </row>
    <row r="49" spans="1:43" x14ac:dyDescent="0.25">
      <c r="A49" t="s">
        <v>807</v>
      </c>
      <c r="B49" t="s">
        <v>8</v>
      </c>
      <c r="C49" t="s">
        <v>166</v>
      </c>
      <c r="D49" t="s">
        <v>352</v>
      </c>
      <c r="E49" t="s">
        <v>41</v>
      </c>
      <c r="I49">
        <v>0.314608</v>
      </c>
      <c r="J49">
        <v>0.31359199999999998</v>
      </c>
      <c r="K49">
        <v>0.303346</v>
      </c>
      <c r="L49">
        <v>0.29591899999999999</v>
      </c>
      <c r="M49">
        <v>0.31246699999999999</v>
      </c>
      <c r="N49">
        <v>0.32604899999999998</v>
      </c>
      <c r="O49">
        <v>0.32891300000000001</v>
      </c>
      <c r="P49">
        <v>0.32580599999999998</v>
      </c>
      <c r="Q49">
        <v>0.33106799999999997</v>
      </c>
      <c r="R49">
        <v>0.33496300000000001</v>
      </c>
      <c r="S49">
        <v>0.33751199999999998</v>
      </c>
      <c r="T49">
        <v>0.341669</v>
      </c>
      <c r="U49">
        <v>0.343696</v>
      </c>
      <c r="V49">
        <v>0.34490700000000002</v>
      </c>
      <c r="W49">
        <v>0.34528700000000001</v>
      </c>
      <c r="X49">
        <v>0.34769299999999997</v>
      </c>
      <c r="Y49">
        <v>0.348993</v>
      </c>
      <c r="Z49">
        <v>0.35199999999999998</v>
      </c>
      <c r="AA49">
        <v>0.35417799999999999</v>
      </c>
      <c r="AB49">
        <v>0.35667700000000002</v>
      </c>
      <c r="AC49">
        <v>0.35893599999999998</v>
      </c>
      <c r="AD49">
        <v>0.36187599999999998</v>
      </c>
      <c r="AE49">
        <v>0.36544300000000002</v>
      </c>
      <c r="AF49">
        <v>0.36859500000000001</v>
      </c>
      <c r="AG49">
        <v>0.37275799999999998</v>
      </c>
      <c r="AH49">
        <v>0.37658199999999997</v>
      </c>
      <c r="AI49">
        <v>0.37921700000000003</v>
      </c>
      <c r="AJ49">
        <v>0.38232100000000002</v>
      </c>
      <c r="AK49">
        <v>0.38565300000000002</v>
      </c>
      <c r="AL49">
        <v>0.39516400000000002</v>
      </c>
      <c r="AM49">
        <v>0.39944499999999999</v>
      </c>
      <c r="AN49">
        <v>0.40298899999999999</v>
      </c>
      <c r="AO49">
        <v>0.40689700000000001</v>
      </c>
      <c r="AP49">
        <v>0.41283799999999998</v>
      </c>
      <c r="AQ49" s="6">
        <v>1.0999999999999999E-2</v>
      </c>
    </row>
    <row r="50" spans="1:43" x14ac:dyDescent="0.25">
      <c r="A50" t="s">
        <v>116</v>
      </c>
      <c r="B50" t="s">
        <v>116</v>
      </c>
      <c r="C50" t="s">
        <v>165</v>
      </c>
      <c r="D50" t="s">
        <v>351</v>
      </c>
      <c r="E50" t="s">
        <v>41</v>
      </c>
      <c r="I50">
        <v>2.6421610000000002</v>
      </c>
      <c r="J50">
        <v>2.7189239999999999</v>
      </c>
      <c r="K50">
        <v>2.6530619999999998</v>
      </c>
      <c r="L50">
        <v>2.4953979999999998</v>
      </c>
      <c r="M50">
        <v>2.5427569999999999</v>
      </c>
      <c r="N50">
        <v>2.5555340000000002</v>
      </c>
      <c r="O50">
        <v>2.4820639999999998</v>
      </c>
      <c r="P50">
        <v>2.4450970000000001</v>
      </c>
      <c r="Q50">
        <v>2.4661439999999999</v>
      </c>
      <c r="R50">
        <v>2.4920710000000001</v>
      </c>
      <c r="S50">
        <v>2.508785</v>
      </c>
      <c r="T50">
        <v>2.5771999999999999</v>
      </c>
      <c r="U50">
        <v>2.6015519999999999</v>
      </c>
      <c r="V50">
        <v>2.6226980000000002</v>
      </c>
      <c r="W50">
        <v>2.6212070000000001</v>
      </c>
      <c r="X50">
        <v>2.6426219999999998</v>
      </c>
      <c r="Y50">
        <v>2.6456010000000001</v>
      </c>
      <c r="Z50">
        <v>2.6614960000000001</v>
      </c>
      <c r="AA50">
        <v>2.6615929999999999</v>
      </c>
      <c r="AB50">
        <v>2.6769699999999998</v>
      </c>
      <c r="AC50">
        <v>2.6921750000000002</v>
      </c>
      <c r="AD50">
        <v>2.7089780000000001</v>
      </c>
      <c r="AE50">
        <v>2.7417729999999998</v>
      </c>
      <c r="AF50">
        <v>2.761034</v>
      </c>
      <c r="AG50">
        <v>2.7916159999999999</v>
      </c>
      <c r="AH50">
        <v>2.8126790000000002</v>
      </c>
      <c r="AI50">
        <v>2.8213650000000001</v>
      </c>
      <c r="AJ50">
        <v>2.8544200000000002</v>
      </c>
      <c r="AK50">
        <v>2.880401</v>
      </c>
      <c r="AL50">
        <v>2.8245990000000001</v>
      </c>
      <c r="AM50">
        <v>2.8423609999999999</v>
      </c>
      <c r="AN50">
        <v>2.900255</v>
      </c>
      <c r="AO50">
        <v>2.9220069999999998</v>
      </c>
      <c r="AP50">
        <v>2.9425829999999999</v>
      </c>
      <c r="AQ50" s="6">
        <v>6.0000000000000001E-3</v>
      </c>
    </row>
    <row r="51" spans="1:43" x14ac:dyDescent="0.25">
      <c r="A51" t="s">
        <v>114</v>
      </c>
      <c r="B51" t="s">
        <v>114</v>
      </c>
      <c r="C51" t="s">
        <v>164</v>
      </c>
      <c r="D51" t="s">
        <v>350</v>
      </c>
      <c r="E51" t="s">
        <v>41</v>
      </c>
      <c r="I51">
        <v>0.47639999999999999</v>
      </c>
      <c r="J51">
        <v>0.48682399999999998</v>
      </c>
      <c r="K51">
        <v>0.450714</v>
      </c>
      <c r="L51">
        <v>0.41914200000000001</v>
      </c>
      <c r="M51">
        <v>0.419242</v>
      </c>
      <c r="N51">
        <v>0.44065900000000002</v>
      </c>
      <c r="O51">
        <v>0.46699299999999999</v>
      </c>
      <c r="P51">
        <v>0.46368300000000001</v>
      </c>
      <c r="Q51">
        <v>0.47415299999999999</v>
      </c>
      <c r="R51">
        <v>0.45718999999999999</v>
      </c>
      <c r="S51">
        <v>0.455926</v>
      </c>
      <c r="T51">
        <v>0.46731099999999998</v>
      </c>
      <c r="U51">
        <v>0.46897100000000003</v>
      </c>
      <c r="V51">
        <v>0.46133099999999999</v>
      </c>
      <c r="W51">
        <v>0.46072000000000002</v>
      </c>
      <c r="X51">
        <v>0.470889</v>
      </c>
      <c r="Y51">
        <v>0.47758800000000001</v>
      </c>
      <c r="Z51">
        <v>0.48044599999999998</v>
      </c>
      <c r="AA51">
        <v>0.47963600000000001</v>
      </c>
      <c r="AB51">
        <v>0.48566999999999999</v>
      </c>
      <c r="AC51">
        <v>0.491226</v>
      </c>
      <c r="AD51">
        <v>0.50146299999999999</v>
      </c>
      <c r="AE51">
        <v>0.50503299999999995</v>
      </c>
      <c r="AF51">
        <v>0.52539000000000002</v>
      </c>
      <c r="AG51">
        <v>0.52840100000000001</v>
      </c>
      <c r="AH51">
        <v>0.53557600000000005</v>
      </c>
      <c r="AI51">
        <v>0.53844000000000003</v>
      </c>
      <c r="AJ51">
        <v>0.54556300000000002</v>
      </c>
      <c r="AK51">
        <v>0.56127000000000005</v>
      </c>
      <c r="AL51">
        <v>0.56334799999999996</v>
      </c>
      <c r="AM51">
        <v>0.567353</v>
      </c>
      <c r="AN51">
        <v>0.57204999999999995</v>
      </c>
      <c r="AO51">
        <v>0.57139600000000002</v>
      </c>
      <c r="AP51">
        <v>0.58211100000000005</v>
      </c>
      <c r="AQ51" s="6">
        <v>8.9999999999999993E-3</v>
      </c>
    </row>
    <row r="52" spans="1:43" x14ac:dyDescent="0.25">
      <c r="A52" t="s">
        <v>28</v>
      </c>
      <c r="B52" t="s">
        <v>28</v>
      </c>
      <c r="C52" t="s">
        <v>163</v>
      </c>
      <c r="D52" t="s">
        <v>349</v>
      </c>
      <c r="E52" t="s">
        <v>41</v>
      </c>
      <c r="I52">
        <v>3.1185610000000001</v>
      </c>
      <c r="J52">
        <v>3.2057479999999998</v>
      </c>
      <c r="K52">
        <v>3.1037759999999999</v>
      </c>
      <c r="L52">
        <v>2.9145400000000001</v>
      </c>
      <c r="M52">
        <v>2.961999</v>
      </c>
      <c r="N52">
        <v>2.9961929999999999</v>
      </c>
      <c r="O52">
        <v>2.949058</v>
      </c>
      <c r="P52">
        <v>2.908779</v>
      </c>
      <c r="Q52">
        <v>2.9402979999999999</v>
      </c>
      <c r="R52">
        <v>2.9492600000000002</v>
      </c>
      <c r="S52">
        <v>2.9647109999999999</v>
      </c>
      <c r="T52">
        <v>3.044511</v>
      </c>
      <c r="U52">
        <v>3.0705239999999998</v>
      </c>
      <c r="V52">
        <v>3.0840290000000001</v>
      </c>
      <c r="W52">
        <v>3.0819269999999999</v>
      </c>
      <c r="X52">
        <v>3.1135109999999999</v>
      </c>
      <c r="Y52">
        <v>3.123189</v>
      </c>
      <c r="Z52">
        <v>3.1419429999999999</v>
      </c>
      <c r="AA52">
        <v>3.1412279999999999</v>
      </c>
      <c r="AB52">
        <v>3.1626409999999998</v>
      </c>
      <c r="AC52">
        <v>3.1834009999999999</v>
      </c>
      <c r="AD52">
        <v>3.2104409999999999</v>
      </c>
      <c r="AE52">
        <v>3.2468059999999999</v>
      </c>
      <c r="AF52">
        <v>3.2864239999999998</v>
      </c>
      <c r="AG52">
        <v>3.320017</v>
      </c>
      <c r="AH52">
        <v>3.348255</v>
      </c>
      <c r="AI52">
        <v>3.3598050000000002</v>
      </c>
      <c r="AJ52">
        <v>3.3999830000000002</v>
      </c>
      <c r="AK52">
        <v>3.4416699999999998</v>
      </c>
      <c r="AL52">
        <v>3.3879459999999999</v>
      </c>
      <c r="AM52">
        <v>3.4097140000000001</v>
      </c>
      <c r="AN52">
        <v>3.4723060000000001</v>
      </c>
      <c r="AO52">
        <v>3.4934029999999998</v>
      </c>
      <c r="AP52">
        <v>3.5246930000000001</v>
      </c>
      <c r="AQ52" s="6">
        <v>6.0000000000000001E-3</v>
      </c>
    </row>
    <row r="53" spans="1:43" x14ac:dyDescent="0.25">
      <c r="A53" t="s">
        <v>162</v>
      </c>
      <c r="B53" t="s">
        <v>162</v>
      </c>
      <c r="D53" t="s">
        <v>348</v>
      </c>
    </row>
    <row r="54" spans="1:43" x14ac:dyDescent="0.25">
      <c r="A54" t="s">
        <v>11</v>
      </c>
      <c r="B54" t="s">
        <v>11</v>
      </c>
      <c r="C54" t="s">
        <v>161</v>
      </c>
      <c r="D54" t="s">
        <v>347</v>
      </c>
      <c r="E54" t="s">
        <v>41</v>
      </c>
      <c r="I54">
        <v>1.771E-3</v>
      </c>
      <c r="J54">
        <v>1.9090000000000001E-3</v>
      </c>
      <c r="K54">
        <v>1.8699999999999999E-3</v>
      </c>
      <c r="L54">
        <v>9.8499999999999998E-4</v>
      </c>
      <c r="M54">
        <v>1.155E-3</v>
      </c>
      <c r="N54">
        <v>1.3029999999999999E-3</v>
      </c>
      <c r="O54">
        <v>1.358E-3</v>
      </c>
      <c r="P54">
        <v>1.361E-3</v>
      </c>
      <c r="Q54">
        <v>1.3810000000000001E-3</v>
      </c>
      <c r="R54">
        <v>1.402E-3</v>
      </c>
      <c r="S54">
        <v>1.4220000000000001E-3</v>
      </c>
      <c r="T54">
        <v>1.3960000000000001E-3</v>
      </c>
      <c r="U54">
        <v>1.41E-3</v>
      </c>
      <c r="V54">
        <v>1.4289999999999999E-3</v>
      </c>
      <c r="W54">
        <v>1.446E-3</v>
      </c>
      <c r="X54">
        <v>1.4660000000000001E-3</v>
      </c>
      <c r="Y54">
        <v>1.487E-3</v>
      </c>
      <c r="Z54">
        <v>1.511E-3</v>
      </c>
      <c r="AA54">
        <v>1.536E-3</v>
      </c>
      <c r="AB54">
        <v>1.5640000000000001E-3</v>
      </c>
      <c r="AC54">
        <v>1.5889999999999999E-3</v>
      </c>
      <c r="AD54">
        <v>1.624E-3</v>
      </c>
      <c r="AE54">
        <v>1.663E-3</v>
      </c>
      <c r="AF54">
        <v>1.707E-3</v>
      </c>
      <c r="AG54">
        <v>1.7570000000000001E-3</v>
      </c>
      <c r="AH54">
        <v>1.812E-3</v>
      </c>
      <c r="AI54">
        <v>1.872E-3</v>
      </c>
      <c r="AJ54">
        <v>1.9380000000000001E-3</v>
      </c>
      <c r="AK54">
        <v>2.0089999999999999E-3</v>
      </c>
      <c r="AL54">
        <v>2.0899999999999998E-3</v>
      </c>
      <c r="AM54">
        <v>2.1770000000000001E-3</v>
      </c>
      <c r="AN54">
        <v>2.2669999999999999E-3</v>
      </c>
      <c r="AO54">
        <v>2.3600000000000001E-3</v>
      </c>
      <c r="AP54">
        <v>2.4620000000000002E-3</v>
      </c>
      <c r="AQ54" s="6">
        <v>5.0000000000000001E-3</v>
      </c>
    </row>
    <row r="55" spans="1:43" s="73" customFormat="1" x14ac:dyDescent="0.25">
      <c r="A55" t="s">
        <v>2</v>
      </c>
      <c r="B55" s="73" t="s">
        <v>2</v>
      </c>
      <c r="C55" s="73" t="s">
        <v>160</v>
      </c>
      <c r="D55" s="73" t="s">
        <v>346</v>
      </c>
      <c r="E55" s="73" t="s">
        <v>41</v>
      </c>
      <c r="F55" s="73">
        <v>2.4129999999999998</v>
      </c>
      <c r="G55" s="73">
        <v>2.4449999999999998</v>
      </c>
      <c r="H55" s="73">
        <v>2.3620000000000001</v>
      </c>
      <c r="I55" s="73">
        <v>2.372144</v>
      </c>
      <c r="J55" s="73">
        <v>2.3702369999999999</v>
      </c>
      <c r="K55" s="73">
        <v>2.3698419999999998</v>
      </c>
      <c r="L55" s="73">
        <v>2.1221860000000001</v>
      </c>
      <c r="M55" s="73">
        <v>2.201241</v>
      </c>
      <c r="N55" s="73">
        <v>2.0897049999999999</v>
      </c>
      <c r="O55" s="73">
        <v>2.0724260000000001</v>
      </c>
      <c r="P55" s="73">
        <v>2.0355370000000002</v>
      </c>
      <c r="Q55" s="73">
        <v>1.9891589999999999</v>
      </c>
      <c r="R55" s="73">
        <v>1.9461999999999999</v>
      </c>
      <c r="S55" s="73">
        <v>1.904792</v>
      </c>
      <c r="T55" s="73">
        <v>1.858884</v>
      </c>
      <c r="U55" s="73">
        <v>1.8083610000000001</v>
      </c>
      <c r="V55" s="73">
        <v>1.7549239999999999</v>
      </c>
      <c r="W55" s="73">
        <v>1.705417</v>
      </c>
      <c r="X55" s="73">
        <v>1.656585</v>
      </c>
      <c r="Y55" s="73">
        <v>1.613143</v>
      </c>
      <c r="Z55" s="73">
        <v>1.572624</v>
      </c>
      <c r="AA55" s="73">
        <v>1.5327679999999999</v>
      </c>
      <c r="AB55" s="73">
        <v>1.4936020000000001</v>
      </c>
      <c r="AC55" s="73">
        <v>1.4582850000000001</v>
      </c>
      <c r="AD55" s="73">
        <v>1.4267669999999999</v>
      </c>
      <c r="AE55" s="73">
        <v>1.3980220000000001</v>
      </c>
      <c r="AF55" s="73">
        <v>1.373912</v>
      </c>
      <c r="AG55" s="73">
        <v>1.352595</v>
      </c>
      <c r="AH55" s="73">
        <v>1.334667</v>
      </c>
      <c r="AI55" s="73">
        <v>1.319626</v>
      </c>
      <c r="AJ55" s="73">
        <v>1.3080419999999999</v>
      </c>
      <c r="AK55" s="73">
        <v>1.2994289999999999</v>
      </c>
      <c r="AL55" s="73">
        <v>1.2937479999999999</v>
      </c>
      <c r="AM55" s="73">
        <v>1.2911010000000001</v>
      </c>
      <c r="AN55" s="73">
        <v>1.29003</v>
      </c>
      <c r="AO55" s="73">
        <v>1.290373</v>
      </c>
      <c r="AP55" s="73">
        <v>1.2934639999999999</v>
      </c>
      <c r="AQ55" s="74">
        <v>-1.7000000000000001E-2</v>
      </c>
    </row>
    <row r="56" spans="1:43" x14ac:dyDescent="0.25">
      <c r="A56" t="s">
        <v>95</v>
      </c>
      <c r="B56" t="s">
        <v>95</v>
      </c>
      <c r="C56" t="s">
        <v>159</v>
      </c>
      <c r="D56" t="s">
        <v>345</v>
      </c>
      <c r="E56" t="s">
        <v>41</v>
      </c>
      <c r="I56">
        <v>1.3619999999999999E-3</v>
      </c>
      <c r="J56">
        <v>8.8000000000000005E-3</v>
      </c>
      <c r="K56">
        <v>2.7130000000000001E-3</v>
      </c>
      <c r="L56">
        <v>2.3990000000000001E-3</v>
      </c>
      <c r="M56">
        <v>2.7780000000000001E-3</v>
      </c>
      <c r="N56">
        <v>2.4399999999999999E-3</v>
      </c>
      <c r="O56">
        <v>2.6700000000000001E-3</v>
      </c>
      <c r="P56">
        <v>2.441E-3</v>
      </c>
      <c r="Q56">
        <v>2.4680000000000001E-3</v>
      </c>
      <c r="R56">
        <v>2.441E-3</v>
      </c>
      <c r="S56">
        <v>2.405E-3</v>
      </c>
      <c r="T56">
        <v>2.3579999999999999E-3</v>
      </c>
      <c r="U56">
        <v>2.2989999999999998E-3</v>
      </c>
      <c r="V56">
        <v>2.235E-3</v>
      </c>
      <c r="W56">
        <v>2.1700000000000001E-3</v>
      </c>
      <c r="X56">
        <v>2.1059999999999998E-3</v>
      </c>
      <c r="Y56">
        <v>2.0470000000000002E-3</v>
      </c>
      <c r="Z56">
        <v>1.9959999999999999E-3</v>
      </c>
      <c r="AA56">
        <v>1.946E-3</v>
      </c>
      <c r="AB56">
        <v>1.902E-3</v>
      </c>
      <c r="AC56">
        <v>1.867E-3</v>
      </c>
      <c r="AD56">
        <v>1.8439999999999999E-3</v>
      </c>
      <c r="AE56">
        <v>1.8309999999999999E-3</v>
      </c>
      <c r="AF56">
        <v>1.8270000000000001E-3</v>
      </c>
      <c r="AG56">
        <v>1.828E-3</v>
      </c>
      <c r="AH56">
        <v>1.8370000000000001E-3</v>
      </c>
      <c r="AI56">
        <v>1.853E-3</v>
      </c>
      <c r="AJ56">
        <v>1.8699999999999999E-3</v>
      </c>
      <c r="AK56">
        <v>1.887E-3</v>
      </c>
      <c r="AL56">
        <v>1.9170000000000001E-3</v>
      </c>
      <c r="AM56">
        <v>1.944E-3</v>
      </c>
      <c r="AN56">
        <v>1.9710000000000001E-3</v>
      </c>
      <c r="AO56">
        <v>2.0019999999999999E-3</v>
      </c>
      <c r="AP56">
        <v>2.0349999999999999E-3</v>
      </c>
      <c r="AQ56" s="6">
        <v>3.9E-2</v>
      </c>
    </row>
    <row r="57" spans="1:43" x14ac:dyDescent="0.25">
      <c r="A57" t="s">
        <v>93</v>
      </c>
      <c r="B57" t="s">
        <v>93</v>
      </c>
      <c r="C57" t="s">
        <v>158</v>
      </c>
      <c r="D57" t="s">
        <v>344</v>
      </c>
      <c r="E57" t="s">
        <v>41</v>
      </c>
      <c r="I57">
        <v>0.86832500000000001</v>
      </c>
      <c r="J57">
        <v>0.87951000000000001</v>
      </c>
      <c r="K57">
        <v>0.88004499999999997</v>
      </c>
      <c r="L57">
        <v>0.65227999999999997</v>
      </c>
      <c r="M57">
        <v>0.69525000000000003</v>
      </c>
      <c r="N57">
        <v>0.81467699999999998</v>
      </c>
      <c r="O57">
        <v>0.86878100000000003</v>
      </c>
      <c r="P57">
        <v>0.88036499999999995</v>
      </c>
      <c r="Q57">
        <v>0.88198399999999999</v>
      </c>
      <c r="R57">
        <v>0.89219599999999999</v>
      </c>
      <c r="S57">
        <v>0.90235699999999996</v>
      </c>
      <c r="T57">
        <v>0.91030699999999998</v>
      </c>
      <c r="U57">
        <v>0.91616299999999995</v>
      </c>
      <c r="V57">
        <v>0.92054800000000003</v>
      </c>
      <c r="W57">
        <v>0.924682</v>
      </c>
      <c r="X57">
        <v>0.93124200000000001</v>
      </c>
      <c r="Y57">
        <v>0.93824200000000002</v>
      </c>
      <c r="Z57">
        <v>0.94458299999999995</v>
      </c>
      <c r="AA57">
        <v>0.95221100000000003</v>
      </c>
      <c r="AB57">
        <v>0.96203399999999994</v>
      </c>
      <c r="AC57">
        <v>0.97383500000000001</v>
      </c>
      <c r="AD57">
        <v>0.98607999999999996</v>
      </c>
      <c r="AE57">
        <v>0.99890299999999999</v>
      </c>
      <c r="AF57">
        <v>1.0141260000000001</v>
      </c>
      <c r="AG57">
        <v>1.028608</v>
      </c>
      <c r="AH57">
        <v>1.043328</v>
      </c>
      <c r="AI57">
        <v>1.0581210000000001</v>
      </c>
      <c r="AJ57">
        <v>1.0727420000000001</v>
      </c>
      <c r="AK57">
        <v>1.0871230000000001</v>
      </c>
      <c r="AL57">
        <v>1.101253</v>
      </c>
      <c r="AM57">
        <v>1.116079</v>
      </c>
      <c r="AN57">
        <v>1.1307769999999999</v>
      </c>
      <c r="AO57">
        <v>1.1452880000000001</v>
      </c>
      <c r="AP57">
        <v>1.1615279999999999</v>
      </c>
      <c r="AQ57" s="6">
        <v>0.01</v>
      </c>
    </row>
    <row r="58" spans="1:43" s="73" customFormat="1" x14ac:dyDescent="0.25">
      <c r="A58" t="s">
        <v>90</v>
      </c>
      <c r="B58" s="73" t="s">
        <v>90</v>
      </c>
      <c r="C58" s="73" t="s">
        <v>157</v>
      </c>
      <c r="D58" s="73" t="s">
        <v>343</v>
      </c>
      <c r="E58" s="73" t="s">
        <v>41</v>
      </c>
      <c r="F58" s="73">
        <v>0.755</v>
      </c>
      <c r="G58" s="73">
        <v>0.76200000000000001</v>
      </c>
      <c r="H58" s="73">
        <v>0.748</v>
      </c>
      <c r="I58" s="73">
        <v>0.76253400000000005</v>
      </c>
      <c r="J58" s="73">
        <v>0.77178500000000005</v>
      </c>
      <c r="K58" s="73">
        <v>0.80837499999999995</v>
      </c>
      <c r="L58" s="73">
        <v>0.70316699999999999</v>
      </c>
      <c r="M58" s="73">
        <v>0.73215699999999995</v>
      </c>
      <c r="N58" s="73">
        <v>0.75297700000000001</v>
      </c>
      <c r="O58" s="73">
        <v>0.77796600000000005</v>
      </c>
      <c r="P58" s="73">
        <v>0.76635900000000001</v>
      </c>
      <c r="Q58" s="73">
        <v>0.76152200000000003</v>
      </c>
      <c r="R58" s="73">
        <v>0.75612100000000004</v>
      </c>
      <c r="S58" s="73">
        <v>0.75192899999999996</v>
      </c>
      <c r="T58" s="73">
        <v>0.74696499999999999</v>
      </c>
      <c r="U58" s="73">
        <v>0.74131499999999995</v>
      </c>
      <c r="V58" s="73">
        <v>0.73535399999999995</v>
      </c>
      <c r="W58" s="73">
        <v>0.73070500000000005</v>
      </c>
      <c r="X58" s="73">
        <v>0.72802</v>
      </c>
      <c r="Y58" s="73">
        <v>0.72554300000000005</v>
      </c>
      <c r="Z58" s="73">
        <v>0.72320499999999999</v>
      </c>
      <c r="AA58" s="73">
        <v>0.72121900000000005</v>
      </c>
      <c r="AB58" s="73">
        <v>0.71872599999999998</v>
      </c>
      <c r="AC58" s="73">
        <v>0.71721999999999997</v>
      </c>
      <c r="AD58" s="73">
        <v>0.71706700000000001</v>
      </c>
      <c r="AE58" s="73">
        <v>0.71672499999999995</v>
      </c>
      <c r="AF58" s="73">
        <v>0.717526</v>
      </c>
      <c r="AG58" s="73">
        <v>0.71858100000000003</v>
      </c>
      <c r="AH58" s="73">
        <v>0.71962899999999996</v>
      </c>
      <c r="AI58" s="73">
        <v>0.72043999999999997</v>
      </c>
      <c r="AJ58" s="73">
        <v>0.72092400000000001</v>
      </c>
      <c r="AK58" s="73">
        <v>0.72119900000000003</v>
      </c>
      <c r="AL58" s="73">
        <v>0.72283299999999995</v>
      </c>
      <c r="AM58" s="73">
        <v>0.72359200000000001</v>
      </c>
      <c r="AN58" s="73">
        <v>0.72302699999999998</v>
      </c>
      <c r="AO58" s="73">
        <v>0.72224200000000005</v>
      </c>
      <c r="AP58" s="73">
        <v>0.72351200000000004</v>
      </c>
      <c r="AQ58" s="74">
        <v>3.0000000000000001E-3</v>
      </c>
    </row>
    <row r="59" spans="1:43" s="73" customFormat="1" x14ac:dyDescent="0.25">
      <c r="A59" t="s">
        <v>88</v>
      </c>
      <c r="B59" s="73" t="s">
        <v>88</v>
      </c>
      <c r="C59" s="73" t="s">
        <v>156</v>
      </c>
      <c r="D59" s="73" t="s">
        <v>342</v>
      </c>
      <c r="E59" s="73" t="s">
        <v>41</v>
      </c>
      <c r="F59" s="73">
        <v>0.158</v>
      </c>
      <c r="G59" s="73">
        <v>0.13300000000000001</v>
      </c>
      <c r="H59" s="73">
        <v>0.26600000000000001</v>
      </c>
      <c r="I59" s="73">
        <v>0.29300700000000002</v>
      </c>
      <c r="J59" s="73">
        <v>0.27204600000000001</v>
      </c>
      <c r="K59" s="73">
        <v>0.21701000000000001</v>
      </c>
      <c r="L59" s="73">
        <v>0.17138700000000001</v>
      </c>
      <c r="M59" s="73">
        <v>0.28410200000000002</v>
      </c>
      <c r="N59" s="73">
        <v>0.30138399999999999</v>
      </c>
      <c r="O59" s="73">
        <v>0.233686</v>
      </c>
      <c r="P59" s="73">
        <v>0.22783900000000001</v>
      </c>
      <c r="Q59" s="73">
        <v>0.22797300000000001</v>
      </c>
      <c r="R59" s="73">
        <v>0.21770200000000001</v>
      </c>
      <c r="S59" s="73">
        <v>0.21324599999999999</v>
      </c>
      <c r="T59" s="73">
        <v>0.20513500000000001</v>
      </c>
      <c r="U59" s="73">
        <v>0.19989699999999999</v>
      </c>
      <c r="V59" s="73">
        <v>0.196046</v>
      </c>
      <c r="W59" s="73">
        <v>0.19592399999999999</v>
      </c>
      <c r="X59" s="73">
        <v>0.19545299999999999</v>
      </c>
      <c r="Y59" s="73">
        <v>0.19534899999999999</v>
      </c>
      <c r="Z59" s="73">
        <v>0.19422900000000001</v>
      </c>
      <c r="AA59" s="73">
        <v>0.19398599999999999</v>
      </c>
      <c r="AB59" s="73">
        <v>0.192411</v>
      </c>
      <c r="AC59" s="73">
        <v>0.191772</v>
      </c>
      <c r="AD59" s="73">
        <v>0.19111400000000001</v>
      </c>
      <c r="AE59" s="73">
        <v>0.190024</v>
      </c>
      <c r="AF59" s="73">
        <v>0.189193</v>
      </c>
      <c r="AG59" s="73">
        <v>0.18857099999999999</v>
      </c>
      <c r="AH59" s="73">
        <v>0.18844900000000001</v>
      </c>
      <c r="AI59" s="73">
        <v>0.187609</v>
      </c>
      <c r="AJ59" s="73">
        <v>0.18703</v>
      </c>
      <c r="AK59" s="73">
        <v>0.18621299999999999</v>
      </c>
      <c r="AL59" s="73">
        <v>0.18857299999999999</v>
      </c>
      <c r="AM59" s="73">
        <v>0.18817</v>
      </c>
      <c r="AN59" s="73">
        <v>0.186029</v>
      </c>
      <c r="AO59" s="73">
        <v>0.18438299999999999</v>
      </c>
      <c r="AP59" s="73">
        <v>0.18231800000000001</v>
      </c>
      <c r="AQ59" s="74">
        <v>-8.9999999999999993E-3</v>
      </c>
    </row>
    <row r="60" spans="1:43" x14ac:dyDescent="0.25">
      <c r="A60" t="s">
        <v>84</v>
      </c>
      <c r="B60" t="s">
        <v>84</v>
      </c>
      <c r="C60" t="s">
        <v>155</v>
      </c>
      <c r="D60" t="s">
        <v>341</v>
      </c>
      <c r="E60" t="s">
        <v>41</v>
      </c>
      <c r="I60">
        <v>2.5968000000000001E-2</v>
      </c>
      <c r="J60">
        <v>2.5838E-2</v>
      </c>
      <c r="K60">
        <v>2.5433000000000001E-2</v>
      </c>
      <c r="L60">
        <v>2.3924999999999998E-2</v>
      </c>
      <c r="M60">
        <v>2.3576E-2</v>
      </c>
      <c r="N60">
        <v>2.2435E-2</v>
      </c>
      <c r="O60">
        <v>2.2431E-2</v>
      </c>
      <c r="P60">
        <v>2.2450000000000001E-2</v>
      </c>
      <c r="Q60">
        <v>2.2456E-2</v>
      </c>
      <c r="R60">
        <v>2.2466E-2</v>
      </c>
      <c r="S60">
        <v>2.2452E-2</v>
      </c>
      <c r="T60">
        <v>2.2436000000000001E-2</v>
      </c>
      <c r="U60">
        <v>2.2423999999999999E-2</v>
      </c>
      <c r="V60">
        <v>2.2419000000000001E-2</v>
      </c>
      <c r="W60">
        <v>2.2408999999999998E-2</v>
      </c>
      <c r="X60">
        <v>2.2398000000000001E-2</v>
      </c>
      <c r="Y60">
        <v>2.2391000000000001E-2</v>
      </c>
      <c r="Z60">
        <v>2.2387000000000001E-2</v>
      </c>
      <c r="AA60">
        <v>2.2393E-2</v>
      </c>
      <c r="AB60">
        <v>2.2405999999999999E-2</v>
      </c>
      <c r="AC60">
        <v>2.2426000000000001E-2</v>
      </c>
      <c r="AD60">
        <v>2.2447000000000002E-2</v>
      </c>
      <c r="AE60">
        <v>2.2471000000000001E-2</v>
      </c>
      <c r="AF60">
        <v>2.2506999999999999E-2</v>
      </c>
      <c r="AG60">
        <v>2.2540000000000001E-2</v>
      </c>
      <c r="AH60">
        <v>2.2571000000000001E-2</v>
      </c>
      <c r="AI60">
        <v>2.2596999999999999E-2</v>
      </c>
      <c r="AJ60">
        <v>2.2619E-2</v>
      </c>
      <c r="AK60">
        <v>2.265E-2</v>
      </c>
      <c r="AL60">
        <v>2.2685E-2</v>
      </c>
      <c r="AM60">
        <v>2.2713000000000001E-2</v>
      </c>
      <c r="AN60">
        <v>2.273E-2</v>
      </c>
      <c r="AO60">
        <v>2.2749999999999999E-2</v>
      </c>
      <c r="AP60">
        <v>2.2773000000000002E-2</v>
      </c>
      <c r="AQ60" s="6">
        <v>-1E-3</v>
      </c>
    </row>
    <row r="61" spans="1:43" x14ac:dyDescent="0.25">
      <c r="A61" t="s">
        <v>82</v>
      </c>
      <c r="B61" t="s">
        <v>82</v>
      </c>
      <c r="C61" t="s">
        <v>154</v>
      </c>
      <c r="D61" t="s">
        <v>340</v>
      </c>
      <c r="E61" t="s">
        <v>41</v>
      </c>
      <c r="I61">
        <v>4.3237500000000004</v>
      </c>
      <c r="J61">
        <v>4.3213249999999999</v>
      </c>
      <c r="K61">
        <v>4.302575</v>
      </c>
      <c r="L61">
        <v>3.6739310000000001</v>
      </c>
      <c r="M61">
        <v>3.937481</v>
      </c>
      <c r="N61">
        <v>3.9824809999999999</v>
      </c>
      <c r="O61">
        <v>3.9766490000000001</v>
      </c>
      <c r="P61">
        <v>3.9339110000000002</v>
      </c>
      <c r="Q61">
        <v>3.8844759999999998</v>
      </c>
      <c r="R61">
        <v>3.836087</v>
      </c>
      <c r="S61">
        <v>3.7961990000000001</v>
      </c>
      <c r="T61">
        <v>3.745123</v>
      </c>
      <c r="U61">
        <v>3.6895690000000001</v>
      </c>
      <c r="V61">
        <v>3.6307209999999999</v>
      </c>
      <c r="W61">
        <v>3.5805829999999998</v>
      </c>
      <c r="X61">
        <v>3.5351650000000001</v>
      </c>
      <c r="Y61">
        <v>3.4961540000000002</v>
      </c>
      <c r="Z61">
        <v>3.4585379999999999</v>
      </c>
      <c r="AA61">
        <v>3.4241139999999999</v>
      </c>
      <c r="AB61">
        <v>3.3907430000000001</v>
      </c>
      <c r="AC61">
        <v>3.3651279999999999</v>
      </c>
      <c r="AD61">
        <v>3.3450980000000001</v>
      </c>
      <c r="AE61">
        <v>3.3278080000000001</v>
      </c>
      <c r="AF61">
        <v>3.3189709999999999</v>
      </c>
      <c r="AG61">
        <v>3.3126530000000001</v>
      </c>
      <c r="AH61">
        <v>3.3104550000000001</v>
      </c>
      <c r="AI61">
        <v>3.3102640000000001</v>
      </c>
      <c r="AJ61">
        <v>3.3132950000000001</v>
      </c>
      <c r="AK61">
        <v>3.318622</v>
      </c>
      <c r="AL61">
        <v>3.3311820000000001</v>
      </c>
      <c r="AM61">
        <v>3.3438310000000002</v>
      </c>
      <c r="AN61">
        <v>3.3548610000000001</v>
      </c>
      <c r="AO61">
        <v>3.3673959999999998</v>
      </c>
      <c r="AP61">
        <v>3.3860570000000001</v>
      </c>
      <c r="AQ61" s="6">
        <v>-5.0000000000000001E-3</v>
      </c>
    </row>
    <row r="62" spans="1:43" x14ac:dyDescent="0.25">
      <c r="A62" t="s">
        <v>73</v>
      </c>
      <c r="B62" t="s">
        <v>73</v>
      </c>
      <c r="C62" t="s">
        <v>153</v>
      </c>
      <c r="D62" t="s">
        <v>339</v>
      </c>
      <c r="E62" t="s">
        <v>41</v>
      </c>
      <c r="I62">
        <v>4.1980999999999997E-2</v>
      </c>
      <c r="J62">
        <v>4.3070999999999998E-2</v>
      </c>
      <c r="K62">
        <v>4.4200999999999997E-2</v>
      </c>
      <c r="L62">
        <v>4.6810999999999998E-2</v>
      </c>
      <c r="M62">
        <v>4.5700999999999999E-2</v>
      </c>
      <c r="N62">
        <v>4.8576000000000001E-2</v>
      </c>
      <c r="O62">
        <v>4.9717999999999998E-2</v>
      </c>
      <c r="P62">
        <v>4.3880000000000002E-2</v>
      </c>
      <c r="Q62">
        <v>4.3394000000000002E-2</v>
      </c>
      <c r="R62">
        <v>4.3471000000000003E-2</v>
      </c>
      <c r="S62">
        <v>4.2865E-2</v>
      </c>
      <c r="T62">
        <v>4.2166000000000002E-2</v>
      </c>
      <c r="U62">
        <v>4.2268E-2</v>
      </c>
      <c r="V62">
        <v>4.1966999999999997E-2</v>
      </c>
      <c r="W62">
        <v>4.1997E-2</v>
      </c>
      <c r="X62">
        <v>4.1984E-2</v>
      </c>
      <c r="Y62">
        <v>4.2289E-2</v>
      </c>
      <c r="Z62">
        <v>4.2318000000000001E-2</v>
      </c>
      <c r="AA62">
        <v>4.2449000000000001E-2</v>
      </c>
      <c r="AB62">
        <v>4.2548999999999997E-2</v>
      </c>
      <c r="AC62">
        <v>4.2715000000000003E-2</v>
      </c>
      <c r="AD62">
        <v>4.2813999999999998E-2</v>
      </c>
      <c r="AE62">
        <v>4.2923999999999997E-2</v>
      </c>
      <c r="AF62">
        <v>4.3159999999999997E-2</v>
      </c>
      <c r="AG62">
        <v>4.3334999999999999E-2</v>
      </c>
      <c r="AH62">
        <v>4.3499999999999997E-2</v>
      </c>
      <c r="AI62">
        <v>4.3796000000000002E-2</v>
      </c>
      <c r="AJ62">
        <v>4.4062999999999998E-2</v>
      </c>
      <c r="AK62">
        <v>4.4271999999999999E-2</v>
      </c>
      <c r="AL62">
        <v>4.3772999999999999E-2</v>
      </c>
      <c r="AM62">
        <v>4.3839999999999997E-2</v>
      </c>
      <c r="AN62">
        <v>4.4005000000000002E-2</v>
      </c>
      <c r="AO62">
        <v>4.4412E-2</v>
      </c>
      <c r="AP62">
        <v>4.4906000000000001E-2</v>
      </c>
      <c r="AQ62" s="6">
        <v>5.0000000000000001E-3</v>
      </c>
    </row>
    <row r="63" spans="1:43" x14ac:dyDescent="0.25">
      <c r="A63" t="s">
        <v>75</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s="6"/>
    </row>
    <row r="64" spans="1:43" s="73" customFormat="1" x14ac:dyDescent="0.25">
      <c r="A64" t="s">
        <v>152</v>
      </c>
      <c r="B64" s="73" t="s">
        <v>152</v>
      </c>
      <c r="C64" s="73" t="s">
        <v>151</v>
      </c>
      <c r="D64" s="73" t="s">
        <v>338</v>
      </c>
      <c r="E64" s="73" t="s">
        <v>41</v>
      </c>
      <c r="F64" s="73">
        <v>8.9999999999999993E-3</v>
      </c>
      <c r="G64" s="73">
        <v>0.01</v>
      </c>
      <c r="H64" s="73">
        <v>1.7999999999999999E-2</v>
      </c>
      <c r="I64" s="73">
        <v>1.8214999999999999E-2</v>
      </c>
      <c r="J64" s="73">
        <v>2.1329999999999998E-2</v>
      </c>
      <c r="K64" s="73">
        <v>2.5381999999999998E-2</v>
      </c>
      <c r="L64" s="73">
        <v>2.0253E-2</v>
      </c>
      <c r="M64" s="73">
        <v>3.4645000000000002E-2</v>
      </c>
      <c r="N64" s="73">
        <v>2.8725000000000001E-2</v>
      </c>
      <c r="O64" s="73">
        <v>3.1459000000000001E-2</v>
      </c>
      <c r="P64" s="73">
        <v>3.5674999999999998E-2</v>
      </c>
      <c r="Q64" s="73">
        <v>3.4459999999999998E-2</v>
      </c>
      <c r="R64" s="73">
        <v>3.9204000000000003E-2</v>
      </c>
      <c r="S64" s="73">
        <v>4.0001000000000002E-2</v>
      </c>
      <c r="T64" s="73">
        <v>4.2202000000000003E-2</v>
      </c>
      <c r="U64" s="73">
        <v>4.3743999999999998E-2</v>
      </c>
      <c r="V64" s="73">
        <v>4.4287E-2</v>
      </c>
      <c r="W64" s="73">
        <v>4.4414000000000002E-2</v>
      </c>
      <c r="X64" s="73">
        <v>4.4385000000000001E-2</v>
      </c>
      <c r="Y64" s="73">
        <v>4.3982E-2</v>
      </c>
      <c r="Z64" s="73">
        <v>4.3936999999999997E-2</v>
      </c>
      <c r="AA64" s="73">
        <v>4.4218E-2</v>
      </c>
      <c r="AB64" s="73">
        <v>4.5093000000000001E-2</v>
      </c>
      <c r="AC64" s="73">
        <v>4.5761999999999997E-2</v>
      </c>
      <c r="AD64" s="73">
        <v>4.6038000000000003E-2</v>
      </c>
      <c r="AE64" s="73">
        <v>4.7495999999999997E-2</v>
      </c>
      <c r="AF64" s="73">
        <v>4.8240999999999999E-2</v>
      </c>
      <c r="AG64" s="73">
        <v>4.9360000000000001E-2</v>
      </c>
      <c r="AH64" s="73">
        <v>5.0505000000000001E-2</v>
      </c>
      <c r="AI64" s="73">
        <v>5.2436000000000003E-2</v>
      </c>
      <c r="AJ64" s="73">
        <v>5.4119E-2</v>
      </c>
      <c r="AK64" s="73">
        <v>5.6065999999999998E-2</v>
      </c>
      <c r="AL64" s="73">
        <v>5.6653000000000002E-2</v>
      </c>
      <c r="AM64" s="73">
        <v>5.9063999999999998E-2</v>
      </c>
      <c r="AN64" s="73">
        <v>6.2163999999999997E-2</v>
      </c>
      <c r="AO64" s="73">
        <v>6.5656000000000006E-2</v>
      </c>
      <c r="AP64" s="73">
        <v>6.905E-2</v>
      </c>
      <c r="AQ64" s="74">
        <v>4.8000000000000001E-2</v>
      </c>
    </row>
    <row r="65" spans="1:43" x14ac:dyDescent="0.25">
      <c r="A65" t="s">
        <v>18</v>
      </c>
      <c r="B65" t="s">
        <v>18</v>
      </c>
      <c r="C65" t="s">
        <v>150</v>
      </c>
      <c r="D65" t="s">
        <v>337</v>
      </c>
      <c r="E65" t="s">
        <v>41</v>
      </c>
      <c r="I65">
        <v>9.2999999999999997E-5</v>
      </c>
      <c r="J65">
        <v>1.92E-4</v>
      </c>
      <c r="K65">
        <v>9.8999999999999994E-5</v>
      </c>
      <c r="L65">
        <v>2.2100000000000001E-4</v>
      </c>
      <c r="M65">
        <v>3.3199999999999999E-4</v>
      </c>
      <c r="N65">
        <v>4.4000000000000002E-4</v>
      </c>
      <c r="O65">
        <v>5.3399999999999997E-4</v>
      </c>
      <c r="P65">
        <v>6.1499999999999999E-4</v>
      </c>
      <c r="Q65">
        <v>6.8499999999999995E-4</v>
      </c>
      <c r="R65">
        <v>7.5699999999999997E-4</v>
      </c>
      <c r="S65">
        <v>8.25E-4</v>
      </c>
      <c r="T65">
        <v>8.9700000000000001E-4</v>
      </c>
      <c r="U65">
        <v>9.6400000000000001E-4</v>
      </c>
      <c r="V65">
        <v>1.034E-3</v>
      </c>
      <c r="W65">
        <v>1.1039999999999999E-3</v>
      </c>
      <c r="X65">
        <v>1.173E-3</v>
      </c>
      <c r="Y65">
        <v>1.2409999999999999E-3</v>
      </c>
      <c r="Z65">
        <v>1.31E-3</v>
      </c>
      <c r="AA65">
        <v>1.377E-3</v>
      </c>
      <c r="AB65">
        <v>1.439E-3</v>
      </c>
      <c r="AC65">
        <v>1.5E-3</v>
      </c>
      <c r="AD65">
        <v>1.5529999999999999E-3</v>
      </c>
      <c r="AE65">
        <v>1.601E-3</v>
      </c>
      <c r="AF65">
        <v>1.639E-3</v>
      </c>
      <c r="AG65">
        <v>1.6689999999999999E-3</v>
      </c>
      <c r="AH65">
        <v>1.696E-3</v>
      </c>
      <c r="AI65">
        <v>1.714E-3</v>
      </c>
      <c r="AJ65">
        <v>1.7260000000000001E-3</v>
      </c>
      <c r="AK65">
        <v>1.732E-3</v>
      </c>
      <c r="AL65">
        <v>1.738E-3</v>
      </c>
      <c r="AM65">
        <v>1.745E-3</v>
      </c>
      <c r="AN65">
        <v>1.7489999999999999E-3</v>
      </c>
      <c r="AO65">
        <v>1.751E-3</v>
      </c>
      <c r="AP65">
        <v>1.751E-3</v>
      </c>
      <c r="AQ65" s="6">
        <v>0.11</v>
      </c>
    </row>
    <row r="66" spans="1:43" s="73" customFormat="1" x14ac:dyDescent="0.25">
      <c r="A66" t="s">
        <v>807</v>
      </c>
      <c r="B66" s="73" t="s">
        <v>8</v>
      </c>
      <c r="C66" s="73" t="s">
        <v>149</v>
      </c>
      <c r="D66" s="73" t="s">
        <v>336</v>
      </c>
      <c r="E66" s="73" t="s">
        <v>41</v>
      </c>
      <c r="F66" s="73">
        <v>3.0000000000000001E-3</v>
      </c>
      <c r="G66" s="73">
        <v>4.0000000000000001E-3</v>
      </c>
      <c r="H66" s="73">
        <v>5.0000000000000001E-3</v>
      </c>
      <c r="I66" s="73">
        <v>8.6390000000000008E-3</v>
      </c>
      <c r="J66" s="73">
        <v>9.9109999999999997E-3</v>
      </c>
      <c r="K66" s="73">
        <v>1.0625000000000001E-2</v>
      </c>
      <c r="L66" s="73">
        <v>9.9310000000000006E-3</v>
      </c>
      <c r="M66" s="73">
        <v>1.3474E-2</v>
      </c>
      <c r="N66" s="73">
        <v>1.8065000000000001E-2</v>
      </c>
      <c r="O66" s="73">
        <v>2.2817E-2</v>
      </c>
      <c r="P66" s="73">
        <v>2.8403000000000001E-2</v>
      </c>
      <c r="Q66" s="73">
        <v>3.4662999999999999E-2</v>
      </c>
      <c r="R66" s="73">
        <v>4.2093999999999999E-2</v>
      </c>
      <c r="S66" s="73">
        <v>5.0872000000000001E-2</v>
      </c>
      <c r="T66" s="73">
        <v>6.0817000000000003E-2</v>
      </c>
      <c r="U66" s="73">
        <v>7.2122000000000006E-2</v>
      </c>
      <c r="V66" s="73">
        <v>8.4441000000000002E-2</v>
      </c>
      <c r="W66" s="73">
        <v>9.5833000000000002E-2</v>
      </c>
      <c r="X66" s="73">
        <v>0.107584</v>
      </c>
      <c r="Y66" s="73">
        <v>0.119517</v>
      </c>
      <c r="Z66" s="73">
        <v>0.131767</v>
      </c>
      <c r="AA66" s="73">
        <v>0.143876</v>
      </c>
      <c r="AB66" s="73">
        <v>0.155556</v>
      </c>
      <c r="AC66" s="73">
        <v>0.16694000000000001</v>
      </c>
      <c r="AD66" s="73">
        <v>0.17796699999999999</v>
      </c>
      <c r="AE66" s="73">
        <v>0.188412</v>
      </c>
      <c r="AF66" s="73">
        <v>0.19814399999999999</v>
      </c>
      <c r="AG66" s="73">
        <v>0.20743200000000001</v>
      </c>
      <c r="AH66" s="73">
        <v>0.21616299999999999</v>
      </c>
      <c r="AI66" s="73">
        <v>0.22414500000000001</v>
      </c>
      <c r="AJ66" s="73">
        <v>0.231711</v>
      </c>
      <c r="AK66" s="73">
        <v>0.23852300000000001</v>
      </c>
      <c r="AL66" s="73">
        <v>0.245583</v>
      </c>
      <c r="AM66" s="73">
        <v>0.25235000000000002</v>
      </c>
      <c r="AN66" s="73">
        <v>0.25899899999999998</v>
      </c>
      <c r="AO66" s="73">
        <v>0.26576699999999998</v>
      </c>
      <c r="AP66" s="73">
        <v>0.27204299999999998</v>
      </c>
      <c r="AQ66" s="74">
        <v>7.2999999999999995E-2</v>
      </c>
    </row>
    <row r="67" spans="1:43" x14ac:dyDescent="0.25">
      <c r="A67" t="s">
        <v>116</v>
      </c>
      <c r="B67" t="s">
        <v>116</v>
      </c>
      <c r="C67" t="s">
        <v>148</v>
      </c>
      <c r="D67" t="s">
        <v>335</v>
      </c>
      <c r="E67" t="s">
        <v>41</v>
      </c>
      <c r="I67">
        <v>4.3926769999999999</v>
      </c>
      <c r="J67">
        <v>4.395829</v>
      </c>
      <c r="K67">
        <v>4.3828820000000004</v>
      </c>
      <c r="L67">
        <v>3.751147</v>
      </c>
      <c r="M67">
        <v>4.0316330000000002</v>
      </c>
      <c r="N67">
        <v>4.0782860000000003</v>
      </c>
      <c r="O67">
        <v>4.0811770000000003</v>
      </c>
      <c r="P67">
        <v>4.0424829999999998</v>
      </c>
      <c r="Q67">
        <v>3.9976769999999999</v>
      </c>
      <c r="R67">
        <v>3.9616120000000001</v>
      </c>
      <c r="S67">
        <v>3.9307620000000001</v>
      </c>
      <c r="T67">
        <v>3.8912059999999999</v>
      </c>
      <c r="U67">
        <v>3.8486669999999998</v>
      </c>
      <c r="V67">
        <v>3.8024499999999999</v>
      </c>
      <c r="W67">
        <v>3.7639309999999999</v>
      </c>
      <c r="X67">
        <v>3.7302900000000001</v>
      </c>
      <c r="Y67">
        <v>3.703182</v>
      </c>
      <c r="Z67">
        <v>3.67787</v>
      </c>
      <c r="AA67">
        <v>3.6560329999999999</v>
      </c>
      <c r="AB67">
        <v>3.6353810000000002</v>
      </c>
      <c r="AC67">
        <v>3.622045</v>
      </c>
      <c r="AD67">
        <v>3.6134710000000001</v>
      </c>
      <c r="AE67">
        <v>3.6082399999999999</v>
      </c>
      <c r="AF67">
        <v>3.6101559999999999</v>
      </c>
      <c r="AG67">
        <v>3.614449</v>
      </c>
      <c r="AH67">
        <v>3.6223200000000002</v>
      </c>
      <c r="AI67">
        <v>3.6323560000000001</v>
      </c>
      <c r="AJ67">
        <v>3.6449150000000001</v>
      </c>
      <c r="AK67">
        <v>3.6592150000000001</v>
      </c>
      <c r="AL67">
        <v>3.678931</v>
      </c>
      <c r="AM67">
        <v>3.7008290000000001</v>
      </c>
      <c r="AN67">
        <v>3.7217769999999999</v>
      </c>
      <c r="AO67">
        <v>3.744983</v>
      </c>
      <c r="AP67">
        <v>3.7738070000000001</v>
      </c>
      <c r="AQ67" s="6">
        <v>-4.0000000000000001E-3</v>
      </c>
    </row>
    <row r="68" spans="1:43" x14ac:dyDescent="0.25">
      <c r="A68" t="s">
        <v>114</v>
      </c>
      <c r="B68" t="s">
        <v>114</v>
      </c>
      <c r="C68" t="s">
        <v>147</v>
      </c>
      <c r="D68" t="s">
        <v>334</v>
      </c>
      <c r="E68" t="s">
        <v>41</v>
      </c>
      <c r="I68">
        <v>1.3082E-2</v>
      </c>
      <c r="J68">
        <v>1.5386E-2</v>
      </c>
      <c r="K68">
        <v>1.5786999999999999E-2</v>
      </c>
      <c r="L68">
        <v>1.4066E-2</v>
      </c>
      <c r="M68">
        <v>1.8079000000000001E-2</v>
      </c>
      <c r="N68">
        <v>2.4414999999999999E-2</v>
      </c>
      <c r="O68">
        <v>3.2395E-2</v>
      </c>
      <c r="P68">
        <v>4.0422E-2</v>
      </c>
      <c r="Q68">
        <v>4.9644000000000001E-2</v>
      </c>
      <c r="R68">
        <v>5.7453999999999998E-2</v>
      </c>
      <c r="S68">
        <v>6.8720000000000003E-2</v>
      </c>
      <c r="T68">
        <v>8.3182000000000006E-2</v>
      </c>
      <c r="U68">
        <v>9.8409999999999997E-2</v>
      </c>
      <c r="V68">
        <v>0.112944</v>
      </c>
      <c r="W68">
        <v>0.12787100000000001</v>
      </c>
      <c r="X68">
        <v>0.145703</v>
      </c>
      <c r="Y68">
        <v>0.16355600000000001</v>
      </c>
      <c r="Z68">
        <v>0.17985000000000001</v>
      </c>
      <c r="AA68">
        <v>0.19483900000000001</v>
      </c>
      <c r="AB68">
        <v>0.211813</v>
      </c>
      <c r="AC68">
        <v>0.228468</v>
      </c>
      <c r="AD68">
        <v>0.246615</v>
      </c>
      <c r="AE68">
        <v>0.26038</v>
      </c>
      <c r="AF68">
        <v>0.28243200000000002</v>
      </c>
      <c r="AG68">
        <v>0.294045</v>
      </c>
      <c r="AH68">
        <v>0.30742799999999998</v>
      </c>
      <c r="AI68">
        <v>0.31825799999999999</v>
      </c>
      <c r="AJ68">
        <v>0.33064700000000002</v>
      </c>
      <c r="AK68">
        <v>0.34714099999999998</v>
      </c>
      <c r="AL68">
        <v>0.350105</v>
      </c>
      <c r="AM68">
        <v>0.35842600000000002</v>
      </c>
      <c r="AN68">
        <v>0.36765399999999998</v>
      </c>
      <c r="AO68">
        <v>0.37321100000000001</v>
      </c>
      <c r="AP68">
        <v>0.38358700000000001</v>
      </c>
      <c r="AQ68" s="6">
        <v>7.0999999999999994E-2</v>
      </c>
    </row>
    <row r="69" spans="1:43" x14ac:dyDescent="0.25">
      <c r="A69" t="s">
        <v>28</v>
      </c>
      <c r="B69" t="s">
        <v>28</v>
      </c>
      <c r="C69" t="s">
        <v>146</v>
      </c>
      <c r="D69" t="s">
        <v>333</v>
      </c>
      <c r="E69" t="s">
        <v>41</v>
      </c>
      <c r="I69">
        <v>4.4057579999999996</v>
      </c>
      <c r="J69">
        <v>4.4112140000000002</v>
      </c>
      <c r="K69">
        <v>4.3986689999999999</v>
      </c>
      <c r="L69">
        <v>3.7652130000000001</v>
      </c>
      <c r="M69">
        <v>4.0497120000000004</v>
      </c>
      <c r="N69">
        <v>4.1027019999999998</v>
      </c>
      <c r="O69">
        <v>4.1135719999999996</v>
      </c>
      <c r="P69">
        <v>4.0829050000000002</v>
      </c>
      <c r="Q69">
        <v>4.0473210000000002</v>
      </c>
      <c r="R69">
        <v>4.0190659999999996</v>
      </c>
      <c r="S69">
        <v>3.999482</v>
      </c>
      <c r="T69">
        <v>3.9743870000000001</v>
      </c>
      <c r="U69">
        <v>3.9470770000000002</v>
      </c>
      <c r="V69">
        <v>3.915394</v>
      </c>
      <c r="W69">
        <v>3.8918010000000001</v>
      </c>
      <c r="X69">
        <v>3.8759929999999998</v>
      </c>
      <c r="Y69">
        <v>3.8667379999999998</v>
      </c>
      <c r="Z69">
        <v>3.85772</v>
      </c>
      <c r="AA69">
        <v>3.850873</v>
      </c>
      <c r="AB69">
        <v>3.847194</v>
      </c>
      <c r="AC69">
        <v>3.8505129999999999</v>
      </c>
      <c r="AD69">
        <v>3.8600859999999999</v>
      </c>
      <c r="AE69">
        <v>3.8686199999999999</v>
      </c>
      <c r="AF69">
        <v>3.8925869999999998</v>
      </c>
      <c r="AG69">
        <v>3.908493</v>
      </c>
      <c r="AH69">
        <v>3.9297490000000002</v>
      </c>
      <c r="AI69">
        <v>3.9506139999999998</v>
      </c>
      <c r="AJ69">
        <v>3.975562</v>
      </c>
      <c r="AK69">
        <v>4.0063560000000003</v>
      </c>
      <c r="AL69">
        <v>4.0290359999999996</v>
      </c>
      <c r="AM69">
        <v>4.0592550000000003</v>
      </c>
      <c r="AN69">
        <v>4.0894310000000003</v>
      </c>
      <c r="AO69">
        <v>4.1181939999999999</v>
      </c>
      <c r="AP69">
        <v>4.1573929999999999</v>
      </c>
      <c r="AQ69" s="6">
        <v>-3.0000000000000001E-3</v>
      </c>
    </row>
    <row r="70" spans="1:43" x14ac:dyDescent="0.25">
      <c r="A70" t="s">
        <v>145</v>
      </c>
      <c r="B70" t="s">
        <v>145</v>
      </c>
      <c r="D70" t="s">
        <v>332</v>
      </c>
    </row>
    <row r="71" spans="1:43" x14ac:dyDescent="0.25">
      <c r="A71" t="s">
        <v>28</v>
      </c>
      <c r="B71" t="s">
        <v>28</v>
      </c>
      <c r="C71" t="s">
        <v>144</v>
      </c>
      <c r="D71" t="s">
        <v>331</v>
      </c>
      <c r="E71" t="s">
        <v>41</v>
      </c>
      <c r="I71">
        <v>0.10760500000000001</v>
      </c>
      <c r="J71">
        <v>0.15043400000000001</v>
      </c>
      <c r="K71">
        <v>0.119398</v>
      </c>
      <c r="L71">
        <v>-5.2999999999999999E-2</v>
      </c>
      <c r="M71">
        <v>4.1790000000000001E-2</v>
      </c>
      <c r="N71">
        <v>-6.6342999999999999E-2</v>
      </c>
      <c r="O71">
        <v>-3.5783000000000002E-2</v>
      </c>
      <c r="P71">
        <v>-5.2659999999999998E-3</v>
      </c>
      <c r="Q71">
        <v>-5.1149999999999998E-3</v>
      </c>
      <c r="R71">
        <v>-4.6699999999999997E-3</v>
      </c>
      <c r="S71">
        <v>-4.2810000000000001E-3</v>
      </c>
      <c r="T71">
        <v>-3.934E-3</v>
      </c>
      <c r="U71">
        <v>-3.6289999999999998E-3</v>
      </c>
      <c r="V71">
        <v>-3.3600000000000001E-3</v>
      </c>
      <c r="W71">
        <v>-3.1519999999999999E-3</v>
      </c>
      <c r="X71">
        <v>-2.9650000000000002E-3</v>
      </c>
      <c r="Y71">
        <v>-2.7599999999999999E-3</v>
      </c>
      <c r="Z71">
        <v>-2.5730000000000002E-3</v>
      </c>
      <c r="AA71">
        <v>-2.3630000000000001E-3</v>
      </c>
      <c r="AB71">
        <v>-2.0609999999999999E-3</v>
      </c>
      <c r="AC71">
        <v>-1.737E-3</v>
      </c>
      <c r="AD71">
        <v>-1.454E-3</v>
      </c>
      <c r="AE71">
        <v>-1.1379999999999999E-3</v>
      </c>
      <c r="AF71">
        <v>-7.9199999999999995E-4</v>
      </c>
      <c r="AG71">
        <v>-4.73E-4</v>
      </c>
      <c r="AH71">
        <v>-1.36E-4</v>
      </c>
      <c r="AI71">
        <v>2.22E-4</v>
      </c>
      <c r="AJ71">
        <v>6.0099999999999997E-4</v>
      </c>
      <c r="AK71">
        <v>9.9099999999999991E-4</v>
      </c>
      <c r="AL71">
        <v>1.3159999999999999E-3</v>
      </c>
      <c r="AM71">
        <v>1.714E-3</v>
      </c>
      <c r="AN71">
        <v>2.176E-3</v>
      </c>
      <c r="AO71">
        <v>2.647E-3</v>
      </c>
      <c r="AP71">
        <v>3.078E-3</v>
      </c>
      <c r="AQ71" s="6">
        <v>8.9999999999999993E-3</v>
      </c>
    </row>
    <row r="72" spans="1:43" x14ac:dyDescent="0.25">
      <c r="A72" t="s">
        <v>143</v>
      </c>
      <c r="B72" t="s">
        <v>143</v>
      </c>
      <c r="C72" t="s">
        <v>142</v>
      </c>
      <c r="E72" t="s">
        <v>330</v>
      </c>
    </row>
    <row r="73" spans="1:43" x14ac:dyDescent="0.25">
      <c r="A73" t="s">
        <v>98</v>
      </c>
      <c r="B73" t="s">
        <v>98</v>
      </c>
      <c r="C73" t="s">
        <v>141</v>
      </c>
      <c r="D73" t="s">
        <v>329</v>
      </c>
      <c r="E73" t="s">
        <v>41</v>
      </c>
      <c r="I73">
        <v>8.4312999999999999E-2</v>
      </c>
      <c r="J73">
        <v>9.3257999999999994E-2</v>
      </c>
      <c r="K73">
        <v>0.104336</v>
      </c>
      <c r="L73">
        <v>9.8833000000000004E-2</v>
      </c>
      <c r="M73">
        <v>8.4875000000000006E-2</v>
      </c>
      <c r="N73">
        <v>7.4788999999999994E-2</v>
      </c>
      <c r="O73">
        <v>7.6537999999999995E-2</v>
      </c>
      <c r="P73">
        <v>6.3779000000000002E-2</v>
      </c>
      <c r="Q73">
        <v>6.4024999999999999E-2</v>
      </c>
      <c r="R73">
        <v>6.4373E-2</v>
      </c>
      <c r="S73">
        <v>6.4734E-2</v>
      </c>
      <c r="T73">
        <v>6.4837000000000006E-2</v>
      </c>
      <c r="U73">
        <v>6.497E-2</v>
      </c>
      <c r="V73">
        <v>6.5069000000000002E-2</v>
      </c>
      <c r="W73">
        <v>6.5095E-2</v>
      </c>
      <c r="X73">
        <v>6.5076999999999996E-2</v>
      </c>
      <c r="Y73">
        <v>6.5060999999999994E-2</v>
      </c>
      <c r="Z73">
        <v>6.5028000000000002E-2</v>
      </c>
      <c r="AA73">
        <v>6.5014000000000002E-2</v>
      </c>
      <c r="AB73">
        <v>6.5031000000000005E-2</v>
      </c>
      <c r="AC73">
        <v>6.5079999999999999E-2</v>
      </c>
      <c r="AD73">
        <v>6.5121999999999999E-2</v>
      </c>
      <c r="AE73">
        <v>6.5204999999999999E-2</v>
      </c>
      <c r="AF73">
        <v>6.5290000000000001E-2</v>
      </c>
      <c r="AG73">
        <v>6.5401000000000001E-2</v>
      </c>
      <c r="AH73">
        <v>6.5520999999999996E-2</v>
      </c>
      <c r="AI73">
        <v>6.5672999999999995E-2</v>
      </c>
      <c r="AJ73">
        <v>6.5860000000000002E-2</v>
      </c>
      <c r="AK73">
        <v>6.6049999999999998E-2</v>
      </c>
      <c r="AL73">
        <v>6.5999000000000002E-2</v>
      </c>
      <c r="AM73">
        <v>6.6126000000000004E-2</v>
      </c>
      <c r="AN73">
        <v>6.6324999999999995E-2</v>
      </c>
      <c r="AO73">
        <v>6.6590999999999997E-2</v>
      </c>
      <c r="AP73">
        <v>6.6887000000000002E-2</v>
      </c>
      <c r="AQ73" s="6">
        <v>-8.0000000000000002E-3</v>
      </c>
    </row>
    <row r="74" spans="1:43" x14ac:dyDescent="0.25">
      <c r="A74" t="s">
        <v>2</v>
      </c>
      <c r="B74" t="s">
        <v>2</v>
      </c>
      <c r="C74" t="s">
        <v>140</v>
      </c>
      <c r="D74" t="s">
        <v>328</v>
      </c>
      <c r="E74" t="s">
        <v>41</v>
      </c>
      <c r="I74">
        <v>2.4627849999999998</v>
      </c>
      <c r="J74">
        <v>2.4661580000000001</v>
      </c>
      <c r="K74">
        <v>2.471797</v>
      </c>
      <c r="L74">
        <v>2.1964589999999999</v>
      </c>
      <c r="M74">
        <v>2.3145009999999999</v>
      </c>
      <c r="N74">
        <v>2.1539389999999998</v>
      </c>
      <c r="O74">
        <v>2.1663869999999998</v>
      </c>
      <c r="P74">
        <v>2.158128</v>
      </c>
      <c r="Q74">
        <v>2.1110899999999999</v>
      </c>
      <c r="R74">
        <v>2.0673159999999999</v>
      </c>
      <c r="S74">
        <v>2.0248900000000001</v>
      </c>
      <c r="T74">
        <v>1.9788110000000001</v>
      </c>
      <c r="U74">
        <v>1.9283189999999999</v>
      </c>
      <c r="V74">
        <v>1.8748450000000001</v>
      </c>
      <c r="W74">
        <v>1.825148</v>
      </c>
      <c r="X74">
        <v>1.776165</v>
      </c>
      <c r="Y74">
        <v>1.732702</v>
      </c>
      <c r="Z74">
        <v>1.692183</v>
      </c>
      <c r="AA74">
        <v>1.6524190000000001</v>
      </c>
      <c r="AB74">
        <v>1.6134250000000001</v>
      </c>
      <c r="AC74">
        <v>1.578392</v>
      </c>
      <c r="AD74">
        <v>1.547174</v>
      </c>
      <c r="AE74">
        <v>1.518723</v>
      </c>
      <c r="AF74">
        <v>1.49499</v>
      </c>
      <c r="AG74">
        <v>1.4741070000000001</v>
      </c>
      <c r="AH74">
        <v>1.456528</v>
      </c>
      <c r="AI74">
        <v>1.441832</v>
      </c>
      <c r="AJ74">
        <v>1.430569</v>
      </c>
      <c r="AK74">
        <v>1.4222919999999999</v>
      </c>
      <c r="AL74">
        <v>1.416682</v>
      </c>
      <c r="AM74">
        <v>1.4143829999999999</v>
      </c>
      <c r="AN74">
        <v>1.41364</v>
      </c>
      <c r="AO74">
        <v>1.4143079999999999</v>
      </c>
      <c r="AP74">
        <v>1.417826</v>
      </c>
      <c r="AQ74" s="6">
        <v>-1.4999999999999999E-2</v>
      </c>
    </row>
    <row r="75" spans="1:43" x14ac:dyDescent="0.25">
      <c r="A75" t="s">
        <v>95</v>
      </c>
      <c r="B75" t="s">
        <v>95</v>
      </c>
      <c r="C75" t="s">
        <v>139</v>
      </c>
      <c r="D75" t="s">
        <v>327</v>
      </c>
      <c r="E75" t="s">
        <v>41</v>
      </c>
      <c r="I75">
        <v>1.3619999999999999E-3</v>
      </c>
      <c r="J75">
        <v>8.8000000000000005E-3</v>
      </c>
      <c r="K75">
        <v>2.7130000000000001E-3</v>
      </c>
      <c r="L75">
        <v>2.3990000000000001E-3</v>
      </c>
      <c r="M75">
        <v>2.7780000000000001E-3</v>
      </c>
      <c r="N75">
        <v>2.4399999999999999E-3</v>
      </c>
      <c r="O75">
        <v>2.6700000000000001E-3</v>
      </c>
      <c r="P75">
        <v>2.441E-3</v>
      </c>
      <c r="Q75">
        <v>2.4680000000000001E-3</v>
      </c>
      <c r="R75">
        <v>2.441E-3</v>
      </c>
      <c r="S75">
        <v>2.405E-3</v>
      </c>
      <c r="T75">
        <v>2.3579999999999999E-3</v>
      </c>
      <c r="U75">
        <v>2.2989999999999998E-3</v>
      </c>
      <c r="V75">
        <v>2.235E-3</v>
      </c>
      <c r="W75">
        <v>2.1700000000000001E-3</v>
      </c>
      <c r="X75">
        <v>2.1059999999999998E-3</v>
      </c>
      <c r="Y75">
        <v>2.0470000000000002E-3</v>
      </c>
      <c r="Z75">
        <v>1.9959999999999999E-3</v>
      </c>
      <c r="AA75">
        <v>1.946E-3</v>
      </c>
      <c r="AB75">
        <v>1.902E-3</v>
      </c>
      <c r="AC75">
        <v>1.867E-3</v>
      </c>
      <c r="AD75">
        <v>1.8439999999999999E-3</v>
      </c>
      <c r="AE75">
        <v>1.8309999999999999E-3</v>
      </c>
      <c r="AF75">
        <v>1.8270000000000001E-3</v>
      </c>
      <c r="AG75">
        <v>1.828E-3</v>
      </c>
      <c r="AH75">
        <v>1.8370000000000001E-3</v>
      </c>
      <c r="AI75">
        <v>1.853E-3</v>
      </c>
      <c r="AJ75">
        <v>1.8699999999999999E-3</v>
      </c>
      <c r="AK75">
        <v>1.887E-3</v>
      </c>
      <c r="AL75">
        <v>1.9170000000000001E-3</v>
      </c>
      <c r="AM75">
        <v>1.944E-3</v>
      </c>
      <c r="AN75">
        <v>1.9710000000000001E-3</v>
      </c>
      <c r="AO75">
        <v>2.0019999999999999E-3</v>
      </c>
      <c r="AP75">
        <v>2.0349999999999999E-3</v>
      </c>
      <c r="AQ75" s="6">
        <v>3.9E-2</v>
      </c>
    </row>
    <row r="76" spans="1:43" x14ac:dyDescent="0.25">
      <c r="A76" t="s">
        <v>93</v>
      </c>
      <c r="B76" t="s">
        <v>93</v>
      </c>
      <c r="C76" t="s">
        <v>138</v>
      </c>
      <c r="D76" t="s">
        <v>326</v>
      </c>
      <c r="E76" t="s">
        <v>41</v>
      </c>
      <c r="I76">
        <v>1.037347</v>
      </c>
      <c r="J76">
        <v>1.0670120000000001</v>
      </c>
      <c r="K76">
        <v>1.065018</v>
      </c>
      <c r="L76">
        <v>0.65032999999999996</v>
      </c>
      <c r="M76">
        <v>0.7419</v>
      </c>
      <c r="N76">
        <v>0.83894999999999997</v>
      </c>
      <c r="O76">
        <v>0.89466599999999996</v>
      </c>
      <c r="P76">
        <v>0.90659500000000004</v>
      </c>
      <c r="Q76">
        <v>0.90826300000000004</v>
      </c>
      <c r="R76">
        <v>0.91877900000000001</v>
      </c>
      <c r="S76">
        <v>0.92924200000000001</v>
      </c>
      <c r="T76">
        <v>0.93742999999999999</v>
      </c>
      <c r="U76">
        <v>0.94345999999999997</v>
      </c>
      <c r="V76">
        <v>0.94797600000000004</v>
      </c>
      <c r="W76">
        <v>0.95223199999999997</v>
      </c>
      <c r="X76">
        <v>0.95898799999999995</v>
      </c>
      <c r="Y76">
        <v>0.96619600000000005</v>
      </c>
      <c r="Z76">
        <v>0.97272700000000001</v>
      </c>
      <c r="AA76">
        <v>0.98058199999999995</v>
      </c>
      <c r="AB76">
        <v>0.99069700000000005</v>
      </c>
      <c r="AC76">
        <v>1.00285</v>
      </c>
      <c r="AD76">
        <v>1.01546</v>
      </c>
      <c r="AE76">
        <v>1.0286649999999999</v>
      </c>
      <c r="AF76">
        <v>1.0443420000000001</v>
      </c>
      <c r="AG76">
        <v>1.0592550000000001</v>
      </c>
      <c r="AH76">
        <v>1.0744130000000001</v>
      </c>
      <c r="AI76">
        <v>1.089647</v>
      </c>
      <c r="AJ76">
        <v>1.1047039999999999</v>
      </c>
      <c r="AK76">
        <v>1.1195139999999999</v>
      </c>
      <c r="AL76">
        <v>1.134064</v>
      </c>
      <c r="AM76">
        <v>1.149332</v>
      </c>
      <c r="AN76">
        <v>1.1644680000000001</v>
      </c>
      <c r="AO76">
        <v>1.1794119999999999</v>
      </c>
      <c r="AP76">
        <v>1.1961360000000001</v>
      </c>
      <c r="AQ76" s="6">
        <v>8.9999999999999993E-3</v>
      </c>
    </row>
    <row r="77" spans="1:43" x14ac:dyDescent="0.25">
      <c r="A77" t="s">
        <v>20</v>
      </c>
      <c r="B77" t="s">
        <v>20</v>
      </c>
      <c r="C77" t="s">
        <v>137</v>
      </c>
      <c r="D77" t="s">
        <v>325</v>
      </c>
      <c r="E77" t="s">
        <v>41</v>
      </c>
      <c r="I77">
        <v>6.3E-5</v>
      </c>
      <c r="J77">
        <v>0</v>
      </c>
      <c r="K77">
        <v>9.2999999999999997E-5</v>
      </c>
      <c r="L77">
        <v>6.9999999999999994E-5</v>
      </c>
      <c r="M77">
        <v>7.7999999999999999E-5</v>
      </c>
      <c r="N77">
        <v>7.3999999999999996E-5</v>
      </c>
      <c r="O77">
        <v>8.1000000000000004E-5</v>
      </c>
      <c r="P77">
        <v>5.7000000000000003E-5</v>
      </c>
      <c r="Q77">
        <v>7.8999999999999996E-5</v>
      </c>
      <c r="R77">
        <v>8.5000000000000006E-5</v>
      </c>
      <c r="S77">
        <v>9.0000000000000006E-5</v>
      </c>
      <c r="T77">
        <v>9.5000000000000005E-5</v>
      </c>
      <c r="U77">
        <v>9.2999999999999997E-5</v>
      </c>
      <c r="V77">
        <v>9.2E-5</v>
      </c>
      <c r="W77">
        <v>8.8999999999999995E-5</v>
      </c>
      <c r="X77">
        <v>8.7000000000000001E-5</v>
      </c>
      <c r="Y77">
        <v>8.5000000000000006E-5</v>
      </c>
      <c r="Z77">
        <v>8.2999999999999998E-5</v>
      </c>
      <c r="AA77">
        <v>8.1000000000000004E-5</v>
      </c>
      <c r="AB77">
        <v>8.0000000000000007E-5</v>
      </c>
      <c r="AC77">
        <v>7.7999999999999999E-5</v>
      </c>
      <c r="AD77">
        <v>7.6000000000000004E-5</v>
      </c>
      <c r="AE77">
        <v>7.3999999999999996E-5</v>
      </c>
      <c r="AF77">
        <v>7.2999999999999999E-5</v>
      </c>
      <c r="AG77">
        <v>6.9999999999999994E-5</v>
      </c>
      <c r="AH77">
        <v>6.8999999999999997E-5</v>
      </c>
      <c r="AI77">
        <v>6.7000000000000002E-5</v>
      </c>
      <c r="AJ77">
        <v>6.7000000000000002E-5</v>
      </c>
      <c r="AK77">
        <v>6.3E-5</v>
      </c>
      <c r="AL77">
        <v>2.8E-5</v>
      </c>
      <c r="AM77">
        <v>2.8E-5</v>
      </c>
      <c r="AN77">
        <v>2.6999999999999999E-5</v>
      </c>
      <c r="AO77">
        <v>2.5999999999999998E-5</v>
      </c>
      <c r="AP77">
        <v>2.5999999999999998E-5</v>
      </c>
      <c r="AQ77" t="s">
        <v>0</v>
      </c>
    </row>
    <row r="78" spans="1:43" x14ac:dyDescent="0.25">
      <c r="A78" t="s">
        <v>90</v>
      </c>
      <c r="B78" t="s">
        <v>90</v>
      </c>
      <c r="C78" t="s">
        <v>136</v>
      </c>
      <c r="D78" t="s">
        <v>324</v>
      </c>
      <c r="E78" t="s">
        <v>41</v>
      </c>
      <c r="I78">
        <v>0.89347100000000002</v>
      </c>
      <c r="J78">
        <v>0.93144800000000005</v>
      </c>
      <c r="K78">
        <v>0.933365</v>
      </c>
      <c r="L78">
        <v>0.83880999999999994</v>
      </c>
      <c r="M78">
        <v>0.87844599999999995</v>
      </c>
      <c r="N78">
        <v>0.88134900000000005</v>
      </c>
      <c r="O78">
        <v>0.90556899999999996</v>
      </c>
      <c r="P78">
        <v>0.89127699999999999</v>
      </c>
      <c r="Q78">
        <v>0.88655799999999996</v>
      </c>
      <c r="R78">
        <v>0.88124599999999997</v>
      </c>
      <c r="S78">
        <v>0.87654799999999999</v>
      </c>
      <c r="T78">
        <v>0.87162300000000004</v>
      </c>
      <c r="U78">
        <v>0.86635700000000004</v>
      </c>
      <c r="V78">
        <v>0.86051599999999995</v>
      </c>
      <c r="W78">
        <v>0.855522</v>
      </c>
      <c r="X78">
        <v>0.85249399999999997</v>
      </c>
      <c r="Y78">
        <v>0.84987000000000001</v>
      </c>
      <c r="Z78">
        <v>0.84738899999999995</v>
      </c>
      <c r="AA78">
        <v>0.84546600000000005</v>
      </c>
      <c r="AB78">
        <v>0.84323700000000001</v>
      </c>
      <c r="AC78">
        <v>0.84219200000000005</v>
      </c>
      <c r="AD78">
        <v>0.84246299999999996</v>
      </c>
      <c r="AE78">
        <v>0.84255500000000005</v>
      </c>
      <c r="AF78">
        <v>0.84391700000000003</v>
      </c>
      <c r="AG78">
        <v>0.84562899999999996</v>
      </c>
      <c r="AH78">
        <v>0.847136</v>
      </c>
      <c r="AI78">
        <v>0.84837799999999997</v>
      </c>
      <c r="AJ78">
        <v>0.84928800000000004</v>
      </c>
      <c r="AK78">
        <v>0.85</v>
      </c>
      <c r="AL78">
        <v>0.85162800000000005</v>
      </c>
      <c r="AM78">
        <v>0.85247399999999995</v>
      </c>
      <c r="AN78">
        <v>0.852163</v>
      </c>
      <c r="AO78">
        <v>0.85174000000000005</v>
      </c>
      <c r="AP78">
        <v>0.85352499999999998</v>
      </c>
      <c r="AQ78" s="6">
        <v>3.0000000000000001E-3</v>
      </c>
    </row>
    <row r="79" spans="1:43" x14ac:dyDescent="0.25">
      <c r="A79" t="s">
        <v>88</v>
      </c>
      <c r="B79" t="s">
        <v>88</v>
      </c>
      <c r="C79" t="s">
        <v>135</v>
      </c>
      <c r="D79" t="s">
        <v>323</v>
      </c>
      <c r="E79" t="s">
        <v>41</v>
      </c>
      <c r="I79">
        <v>0.296404</v>
      </c>
      <c r="J79">
        <v>0.27533800000000003</v>
      </c>
      <c r="K79">
        <v>0.22050700000000001</v>
      </c>
      <c r="L79">
        <v>0.17265800000000001</v>
      </c>
      <c r="M79">
        <v>0.285862</v>
      </c>
      <c r="N79">
        <v>0.30149100000000001</v>
      </c>
      <c r="O79">
        <v>0.23377800000000001</v>
      </c>
      <c r="P79">
        <v>0.22792699999999999</v>
      </c>
      <c r="Q79">
        <v>0.22805800000000001</v>
      </c>
      <c r="R79">
        <v>0.217783</v>
      </c>
      <c r="S79">
        <v>0.21332100000000001</v>
      </c>
      <c r="T79">
        <v>0.205205</v>
      </c>
      <c r="U79">
        <v>0.199962</v>
      </c>
      <c r="V79">
        <v>0.196108</v>
      </c>
      <c r="W79">
        <v>0.19598299999999999</v>
      </c>
      <c r="X79">
        <v>0.19550999999999999</v>
      </c>
      <c r="Y79">
        <v>0.195405</v>
      </c>
      <c r="Z79">
        <v>0.19428300000000001</v>
      </c>
      <c r="AA79">
        <v>0.19403899999999999</v>
      </c>
      <c r="AB79">
        <v>0.192463</v>
      </c>
      <c r="AC79">
        <v>0.19182399999999999</v>
      </c>
      <c r="AD79">
        <v>0.191165</v>
      </c>
      <c r="AE79">
        <v>0.19007399999999999</v>
      </c>
      <c r="AF79">
        <v>0.18924299999999999</v>
      </c>
      <c r="AG79">
        <v>0.18862100000000001</v>
      </c>
      <c r="AH79">
        <v>0.188498</v>
      </c>
      <c r="AI79">
        <v>0.18765799999999999</v>
      </c>
      <c r="AJ79">
        <v>0.187079</v>
      </c>
      <c r="AK79">
        <v>0.18626200000000001</v>
      </c>
      <c r="AL79">
        <v>0.18862000000000001</v>
      </c>
      <c r="AM79">
        <v>0.18821499999999999</v>
      </c>
      <c r="AN79">
        <v>0.18607299999999999</v>
      </c>
      <c r="AO79">
        <v>0.18442700000000001</v>
      </c>
      <c r="AP79">
        <v>0.182361</v>
      </c>
      <c r="AQ79" s="6">
        <v>-8.9999999999999993E-3</v>
      </c>
    </row>
    <row r="80" spans="1:43" x14ac:dyDescent="0.25">
      <c r="A80" t="s">
        <v>86</v>
      </c>
      <c r="B80" t="s">
        <v>86</v>
      </c>
      <c r="C80" t="s">
        <v>134</v>
      </c>
      <c r="D80" t="s">
        <v>322</v>
      </c>
      <c r="E80" t="s">
        <v>41</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t="s">
        <v>0</v>
      </c>
    </row>
    <row r="81" spans="1:43" x14ac:dyDescent="0.25">
      <c r="A81" t="s">
        <v>84</v>
      </c>
      <c r="B81" t="s">
        <v>84</v>
      </c>
      <c r="C81" t="s">
        <v>133</v>
      </c>
      <c r="D81" t="s">
        <v>321</v>
      </c>
      <c r="E81" t="s">
        <v>41</v>
      </c>
      <c r="I81">
        <v>0.55424799999999996</v>
      </c>
      <c r="J81">
        <v>0.54416500000000001</v>
      </c>
      <c r="K81">
        <v>0.55160500000000001</v>
      </c>
      <c r="L81">
        <v>0.48769200000000001</v>
      </c>
      <c r="M81">
        <v>0.47777399999999998</v>
      </c>
      <c r="N81">
        <v>0.48330400000000001</v>
      </c>
      <c r="O81">
        <v>0.477802</v>
      </c>
      <c r="P81">
        <v>0.367309</v>
      </c>
      <c r="Q81">
        <v>0.36532199999999998</v>
      </c>
      <c r="R81">
        <v>0.36966700000000002</v>
      </c>
      <c r="S81">
        <v>0.37182399999999999</v>
      </c>
      <c r="T81">
        <v>0.37613000000000002</v>
      </c>
      <c r="U81">
        <v>0.37608399999999997</v>
      </c>
      <c r="V81">
        <v>0.37637700000000002</v>
      </c>
      <c r="W81">
        <v>0.37203599999999998</v>
      </c>
      <c r="X81">
        <v>0.378023</v>
      </c>
      <c r="Y81">
        <v>0.37360100000000002</v>
      </c>
      <c r="Z81">
        <v>0.38157099999999999</v>
      </c>
      <c r="AA81">
        <v>0.38255600000000001</v>
      </c>
      <c r="AB81">
        <v>0.38398300000000002</v>
      </c>
      <c r="AC81">
        <v>0.38072099999999998</v>
      </c>
      <c r="AD81">
        <v>0.384237</v>
      </c>
      <c r="AE81">
        <v>0.38776699999999997</v>
      </c>
      <c r="AF81">
        <v>0.39169999999999999</v>
      </c>
      <c r="AG81">
        <v>0.39439299999999999</v>
      </c>
      <c r="AH81">
        <v>0.396038</v>
      </c>
      <c r="AI81">
        <v>0.38963599999999998</v>
      </c>
      <c r="AJ81">
        <v>0.390963</v>
      </c>
      <c r="AK81">
        <v>0.39224100000000001</v>
      </c>
      <c r="AL81">
        <v>0.38308999999999999</v>
      </c>
      <c r="AM81">
        <v>0.38161400000000001</v>
      </c>
      <c r="AN81">
        <v>0.38750499999999999</v>
      </c>
      <c r="AO81">
        <v>0.38885900000000001</v>
      </c>
      <c r="AP81">
        <v>0.38862999999999998</v>
      </c>
      <c r="AQ81" s="6">
        <v>-5.0000000000000001E-3</v>
      </c>
    </row>
    <row r="82" spans="1:43" x14ac:dyDescent="0.25">
      <c r="A82" t="s">
        <v>82</v>
      </c>
      <c r="B82" t="s">
        <v>82</v>
      </c>
      <c r="C82" t="s">
        <v>132</v>
      </c>
      <c r="D82" t="s">
        <v>320</v>
      </c>
      <c r="E82" t="s">
        <v>41</v>
      </c>
      <c r="I82">
        <v>5.3286300000000004</v>
      </c>
      <c r="J82">
        <v>5.3773809999999997</v>
      </c>
      <c r="K82">
        <v>5.3467209999999996</v>
      </c>
      <c r="L82">
        <v>4.4448530000000002</v>
      </c>
      <c r="M82">
        <v>4.783436</v>
      </c>
      <c r="N82">
        <v>4.7338950000000004</v>
      </c>
      <c r="O82">
        <v>4.7548199999999996</v>
      </c>
      <c r="P82">
        <v>4.6150719999999996</v>
      </c>
      <c r="Q82">
        <v>4.5633939999999997</v>
      </c>
      <c r="R82">
        <v>4.5192480000000002</v>
      </c>
      <c r="S82">
        <v>4.4806499999999998</v>
      </c>
      <c r="T82">
        <v>4.4341299999999997</v>
      </c>
      <c r="U82">
        <v>4.3792450000000001</v>
      </c>
      <c r="V82">
        <v>4.3209819999999999</v>
      </c>
      <c r="W82">
        <v>4.2661059999999997</v>
      </c>
      <c r="X82">
        <v>4.2263440000000001</v>
      </c>
      <c r="Y82">
        <v>4.1829200000000002</v>
      </c>
      <c r="Z82">
        <v>4.1532650000000002</v>
      </c>
      <c r="AA82">
        <v>4.1201569999999998</v>
      </c>
      <c r="AB82">
        <v>4.0889160000000002</v>
      </c>
      <c r="AC82">
        <v>4.0611370000000004</v>
      </c>
      <c r="AD82">
        <v>4.0456960000000004</v>
      </c>
      <c r="AE82">
        <v>4.0330630000000003</v>
      </c>
      <c r="AF82">
        <v>4.0295550000000002</v>
      </c>
      <c r="AG82">
        <v>4.0274760000000001</v>
      </c>
      <c r="AH82">
        <v>4.0282039999999997</v>
      </c>
      <c r="AI82">
        <v>4.0228929999999998</v>
      </c>
      <c r="AJ82">
        <v>4.0285310000000001</v>
      </c>
      <c r="AK82">
        <v>4.036422</v>
      </c>
      <c r="AL82">
        <v>4.0401119999999997</v>
      </c>
      <c r="AM82">
        <v>4.0521729999999998</v>
      </c>
      <c r="AN82">
        <v>4.070201</v>
      </c>
      <c r="AO82">
        <v>4.0853630000000001</v>
      </c>
      <c r="AP82">
        <v>4.1053899999999999</v>
      </c>
      <c r="AQ82" s="6">
        <v>-4.0000000000000001E-3</v>
      </c>
    </row>
    <row r="83" spans="1:43" x14ac:dyDescent="0.25">
      <c r="A83" t="s">
        <v>10</v>
      </c>
      <c r="B83" t="s">
        <v>10</v>
      </c>
      <c r="C83" t="s">
        <v>131</v>
      </c>
      <c r="D83" t="s">
        <v>319</v>
      </c>
      <c r="E83" t="s">
        <v>41</v>
      </c>
      <c r="I83">
        <v>1.9867980000000001</v>
      </c>
      <c r="J83">
        <v>2.078811</v>
      </c>
      <c r="K83">
        <v>2.1153080000000002</v>
      </c>
      <c r="L83">
        <v>2.000038</v>
      </c>
      <c r="M83">
        <v>2.060038</v>
      </c>
      <c r="N83">
        <v>2.0020319999999998</v>
      </c>
      <c r="O83">
        <v>2.0796030000000001</v>
      </c>
      <c r="P83">
        <v>2.030805</v>
      </c>
      <c r="Q83">
        <v>2.0483910000000001</v>
      </c>
      <c r="R83">
        <v>2.0860979999999998</v>
      </c>
      <c r="S83">
        <v>2.1097260000000002</v>
      </c>
      <c r="T83">
        <v>2.1511469999999999</v>
      </c>
      <c r="U83">
        <v>2.1697890000000002</v>
      </c>
      <c r="V83">
        <v>2.1838860000000002</v>
      </c>
      <c r="W83">
        <v>2.1900390000000001</v>
      </c>
      <c r="X83">
        <v>2.199087</v>
      </c>
      <c r="Y83">
        <v>2.2047880000000002</v>
      </c>
      <c r="Z83">
        <v>2.2190799999999999</v>
      </c>
      <c r="AA83">
        <v>2.2237149999999999</v>
      </c>
      <c r="AB83">
        <v>2.2348300000000001</v>
      </c>
      <c r="AC83">
        <v>2.2484139999999999</v>
      </c>
      <c r="AD83">
        <v>2.2583340000000001</v>
      </c>
      <c r="AE83">
        <v>2.2779609999999999</v>
      </c>
      <c r="AF83">
        <v>2.2933140000000001</v>
      </c>
      <c r="AG83">
        <v>2.312999</v>
      </c>
      <c r="AH83">
        <v>2.3292079999999999</v>
      </c>
      <c r="AI83">
        <v>2.3460329999999998</v>
      </c>
      <c r="AJ83">
        <v>2.3651209999999998</v>
      </c>
      <c r="AK83">
        <v>2.3834740000000001</v>
      </c>
      <c r="AL83">
        <v>2.309231</v>
      </c>
      <c r="AM83">
        <v>2.3185959999999999</v>
      </c>
      <c r="AN83">
        <v>2.344741</v>
      </c>
      <c r="AO83">
        <v>2.3654359999999999</v>
      </c>
      <c r="AP83">
        <v>2.3889719999999999</v>
      </c>
      <c r="AQ83" s="6">
        <v>8.0000000000000002E-3</v>
      </c>
    </row>
    <row r="84" spans="1:43" x14ac:dyDescent="0.25">
      <c r="A84" t="s">
        <v>79</v>
      </c>
      <c r="B84" t="s">
        <v>79</v>
      </c>
      <c r="C84" t="s">
        <v>130</v>
      </c>
      <c r="D84" t="s">
        <v>318</v>
      </c>
      <c r="E84" t="s">
        <v>41</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t="s">
        <v>0</v>
      </c>
    </row>
    <row r="85" spans="1:43" x14ac:dyDescent="0.25">
      <c r="A85" t="s">
        <v>77</v>
      </c>
      <c r="B85" t="s">
        <v>77</v>
      </c>
      <c r="C85" t="s">
        <v>129</v>
      </c>
      <c r="D85" t="s">
        <v>317</v>
      </c>
      <c r="E85" t="s">
        <v>41</v>
      </c>
      <c r="I85">
        <v>0.283586</v>
      </c>
      <c r="J85">
        <v>0.29477799999999998</v>
      </c>
      <c r="K85">
        <v>0.29870200000000002</v>
      </c>
      <c r="L85">
        <v>0.28741899999999998</v>
      </c>
      <c r="M85">
        <v>0.28536099999999998</v>
      </c>
      <c r="N85">
        <v>0.30041600000000002</v>
      </c>
      <c r="O85">
        <v>0.26392500000000002</v>
      </c>
      <c r="P85">
        <v>0.26453599999999999</v>
      </c>
      <c r="Q85">
        <v>0.27270299999999997</v>
      </c>
      <c r="R85">
        <v>0.27039600000000003</v>
      </c>
      <c r="S85">
        <v>0.27348499999999998</v>
      </c>
      <c r="T85">
        <v>0.305282</v>
      </c>
      <c r="U85">
        <v>0.31772499999999998</v>
      </c>
      <c r="V85">
        <v>0.32852799999999999</v>
      </c>
      <c r="W85">
        <v>0.32819300000000001</v>
      </c>
      <c r="X85">
        <v>0.33440300000000001</v>
      </c>
      <c r="Y85">
        <v>0.33573500000000001</v>
      </c>
      <c r="Z85">
        <v>0.32615499999999997</v>
      </c>
      <c r="AA85">
        <v>0.31773499999999999</v>
      </c>
      <c r="AB85">
        <v>0.32038899999999998</v>
      </c>
      <c r="AC85">
        <v>0.32386900000000002</v>
      </c>
      <c r="AD85">
        <v>0.32331300000000002</v>
      </c>
      <c r="AE85">
        <v>0.32965100000000003</v>
      </c>
      <c r="AF85">
        <v>0.324882</v>
      </c>
      <c r="AG85">
        <v>0.32623200000000002</v>
      </c>
      <c r="AH85">
        <v>0.323824</v>
      </c>
      <c r="AI85">
        <v>0.31929400000000002</v>
      </c>
      <c r="AJ85">
        <v>0.33028200000000002</v>
      </c>
      <c r="AK85">
        <v>0.333422</v>
      </c>
      <c r="AL85">
        <v>0.33561400000000002</v>
      </c>
      <c r="AM85">
        <v>0.33097300000000002</v>
      </c>
      <c r="AN85">
        <v>0.34954099999999999</v>
      </c>
      <c r="AO85">
        <v>0.34683399999999998</v>
      </c>
      <c r="AP85">
        <v>0.33806599999999998</v>
      </c>
      <c r="AQ85" s="6">
        <v>0</v>
      </c>
    </row>
    <row r="86" spans="1:43" x14ac:dyDescent="0.25">
      <c r="A86" t="s">
        <v>75</v>
      </c>
      <c r="B86" t="s">
        <v>75</v>
      </c>
      <c r="C86" t="s">
        <v>128</v>
      </c>
      <c r="D86" t="s">
        <v>316</v>
      </c>
      <c r="E86" t="s">
        <v>41</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t="s">
        <v>0</v>
      </c>
    </row>
    <row r="87" spans="1:43" x14ac:dyDescent="0.25">
      <c r="A87" t="s">
        <v>73</v>
      </c>
      <c r="B87" t="s">
        <v>73</v>
      </c>
      <c r="C87" t="s">
        <v>127</v>
      </c>
      <c r="D87" t="s">
        <v>315</v>
      </c>
      <c r="E87" t="s">
        <v>41</v>
      </c>
      <c r="I87">
        <v>4.1980999999999997E-2</v>
      </c>
      <c r="J87">
        <v>4.3070999999999998E-2</v>
      </c>
      <c r="K87">
        <v>4.4200999999999997E-2</v>
      </c>
      <c r="L87">
        <v>4.6810999999999998E-2</v>
      </c>
      <c r="M87">
        <v>4.5700999999999999E-2</v>
      </c>
      <c r="N87">
        <v>4.8576000000000001E-2</v>
      </c>
      <c r="O87">
        <v>4.9717999999999998E-2</v>
      </c>
      <c r="P87">
        <v>4.3880000000000002E-2</v>
      </c>
      <c r="Q87">
        <v>4.3394000000000002E-2</v>
      </c>
      <c r="R87">
        <v>4.3471000000000003E-2</v>
      </c>
      <c r="S87">
        <v>4.2865E-2</v>
      </c>
      <c r="T87">
        <v>4.2166000000000002E-2</v>
      </c>
      <c r="U87">
        <v>4.2268E-2</v>
      </c>
      <c r="V87">
        <v>4.1966999999999997E-2</v>
      </c>
      <c r="W87">
        <v>4.1997E-2</v>
      </c>
      <c r="X87">
        <v>4.1984E-2</v>
      </c>
      <c r="Y87">
        <v>4.2289E-2</v>
      </c>
      <c r="Z87">
        <v>4.2318000000000001E-2</v>
      </c>
      <c r="AA87">
        <v>4.2449000000000001E-2</v>
      </c>
      <c r="AB87">
        <v>4.2548999999999997E-2</v>
      </c>
      <c r="AC87">
        <v>4.2715000000000003E-2</v>
      </c>
      <c r="AD87">
        <v>4.2813999999999998E-2</v>
      </c>
      <c r="AE87">
        <v>4.2923999999999997E-2</v>
      </c>
      <c r="AF87">
        <v>4.3159999999999997E-2</v>
      </c>
      <c r="AG87">
        <v>4.3334999999999999E-2</v>
      </c>
      <c r="AH87">
        <v>4.3499999999999997E-2</v>
      </c>
      <c r="AI87">
        <v>4.3796000000000002E-2</v>
      </c>
      <c r="AJ87">
        <v>4.4062999999999998E-2</v>
      </c>
      <c r="AK87">
        <v>4.4271999999999999E-2</v>
      </c>
      <c r="AL87">
        <v>4.3772999999999999E-2</v>
      </c>
      <c r="AM87">
        <v>4.3839999999999997E-2</v>
      </c>
      <c r="AN87">
        <v>4.4005000000000002E-2</v>
      </c>
      <c r="AO87">
        <v>4.4412E-2</v>
      </c>
      <c r="AP87">
        <v>4.4906000000000001E-2</v>
      </c>
      <c r="AQ87" s="6">
        <v>5.0000000000000001E-3</v>
      </c>
    </row>
    <row r="88" spans="1:43" x14ac:dyDescent="0.25">
      <c r="A88" t="s">
        <v>71</v>
      </c>
      <c r="B88" t="s">
        <v>71</v>
      </c>
      <c r="C88" t="s">
        <v>126</v>
      </c>
      <c r="D88" t="s">
        <v>314</v>
      </c>
      <c r="E88" t="s">
        <v>41</v>
      </c>
      <c r="I88">
        <v>2.3123649999999998</v>
      </c>
      <c r="J88">
        <v>2.4166609999999999</v>
      </c>
      <c r="K88">
        <v>2.4582099999999998</v>
      </c>
      <c r="L88">
        <v>2.3342679999999998</v>
      </c>
      <c r="M88">
        <v>2.3910990000000001</v>
      </c>
      <c r="N88">
        <v>2.3510239999999998</v>
      </c>
      <c r="O88">
        <v>2.393246</v>
      </c>
      <c r="P88">
        <v>2.3392210000000002</v>
      </c>
      <c r="Q88">
        <v>2.3644880000000001</v>
      </c>
      <c r="R88">
        <v>2.3999649999999999</v>
      </c>
      <c r="S88">
        <v>2.4260760000000001</v>
      </c>
      <c r="T88">
        <v>2.4985949999999999</v>
      </c>
      <c r="U88">
        <v>2.529782</v>
      </c>
      <c r="V88">
        <v>2.5543819999999999</v>
      </c>
      <c r="W88">
        <v>2.5602290000000001</v>
      </c>
      <c r="X88">
        <v>2.5754739999999998</v>
      </c>
      <c r="Y88">
        <v>2.5828120000000001</v>
      </c>
      <c r="Z88">
        <v>2.5875530000000002</v>
      </c>
      <c r="AA88">
        <v>2.583898</v>
      </c>
      <c r="AB88">
        <v>2.5977670000000002</v>
      </c>
      <c r="AC88">
        <v>2.6149979999999999</v>
      </c>
      <c r="AD88">
        <v>2.6244610000000002</v>
      </c>
      <c r="AE88">
        <v>2.6505359999999998</v>
      </c>
      <c r="AF88">
        <v>2.6613560000000001</v>
      </c>
      <c r="AG88">
        <v>2.682566</v>
      </c>
      <c r="AH88">
        <v>2.6965319999999999</v>
      </c>
      <c r="AI88">
        <v>2.7091219999999998</v>
      </c>
      <c r="AJ88">
        <v>2.7394660000000002</v>
      </c>
      <c r="AK88">
        <v>2.7611680000000001</v>
      </c>
      <c r="AL88">
        <v>2.6886190000000001</v>
      </c>
      <c r="AM88">
        <v>2.6934089999999999</v>
      </c>
      <c r="AN88">
        <v>2.7382870000000001</v>
      </c>
      <c r="AO88">
        <v>2.7566820000000001</v>
      </c>
      <c r="AP88">
        <v>2.771944</v>
      </c>
      <c r="AQ88" s="6">
        <v>7.0000000000000001E-3</v>
      </c>
    </row>
    <row r="89" spans="1:43" x14ac:dyDescent="0.25">
      <c r="A89" t="s">
        <v>69</v>
      </c>
      <c r="B89" t="s">
        <v>69</v>
      </c>
      <c r="C89" t="s">
        <v>125</v>
      </c>
      <c r="D89" t="s">
        <v>313</v>
      </c>
      <c r="E89" t="s">
        <v>41</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t="s">
        <v>0</v>
      </c>
    </row>
    <row r="90" spans="1:43" x14ac:dyDescent="0.25">
      <c r="A90" t="s">
        <v>67</v>
      </c>
      <c r="B90" t="s">
        <v>67</v>
      </c>
      <c r="C90" t="s">
        <v>124</v>
      </c>
      <c r="D90" t="s">
        <v>312</v>
      </c>
      <c r="E90" t="s">
        <v>41</v>
      </c>
      <c r="I90">
        <v>3.8213999999999998E-2</v>
      </c>
      <c r="J90">
        <v>3.4730999999999998E-2</v>
      </c>
      <c r="K90">
        <v>3.5930999999999998E-2</v>
      </c>
      <c r="L90">
        <v>3.5562999999999997E-2</v>
      </c>
      <c r="M90">
        <v>3.7589999999999998E-2</v>
      </c>
      <c r="N90">
        <v>3.7897E-2</v>
      </c>
      <c r="O90">
        <v>3.6366000000000002E-2</v>
      </c>
      <c r="P90">
        <v>3.5958999999999998E-2</v>
      </c>
      <c r="Q90">
        <v>3.5684E-2</v>
      </c>
      <c r="R90">
        <v>3.5527999999999997E-2</v>
      </c>
      <c r="S90">
        <v>3.5234000000000001E-2</v>
      </c>
      <c r="T90">
        <v>3.4891999999999999E-2</v>
      </c>
      <c r="U90">
        <v>3.4261E-2</v>
      </c>
      <c r="V90">
        <v>3.3591000000000003E-2</v>
      </c>
      <c r="W90">
        <v>3.2988000000000003E-2</v>
      </c>
      <c r="X90">
        <v>3.2342999999999997E-2</v>
      </c>
      <c r="Y90">
        <v>3.1694E-2</v>
      </c>
      <c r="Z90">
        <v>3.1095000000000001E-2</v>
      </c>
      <c r="AA90">
        <v>3.0523999999999999E-2</v>
      </c>
      <c r="AB90">
        <v>2.9878999999999999E-2</v>
      </c>
      <c r="AC90">
        <v>2.9264999999999999E-2</v>
      </c>
      <c r="AD90">
        <v>2.8743999999999999E-2</v>
      </c>
      <c r="AE90">
        <v>2.8351999999999999E-2</v>
      </c>
      <c r="AF90">
        <v>2.8049999999999999E-2</v>
      </c>
      <c r="AG90">
        <v>2.7747000000000001E-2</v>
      </c>
      <c r="AH90">
        <v>2.7408999999999999E-2</v>
      </c>
      <c r="AI90">
        <v>2.7043000000000001E-2</v>
      </c>
      <c r="AJ90">
        <v>2.6675000000000001E-2</v>
      </c>
      <c r="AK90">
        <v>2.6495999999999999E-2</v>
      </c>
      <c r="AL90">
        <v>2.6193999999999999E-2</v>
      </c>
      <c r="AM90">
        <v>2.5902999999999999E-2</v>
      </c>
      <c r="AN90">
        <v>2.5607000000000001E-2</v>
      </c>
      <c r="AO90">
        <v>2.5316999999999999E-2</v>
      </c>
      <c r="AP90">
        <v>2.5058E-2</v>
      </c>
      <c r="AQ90" s="6">
        <v>1E-3</v>
      </c>
    </row>
    <row r="91" spans="1:43" x14ac:dyDescent="0.25">
      <c r="A91" t="s">
        <v>65</v>
      </c>
      <c r="B91" t="s">
        <v>65</v>
      </c>
      <c r="C91" t="s">
        <v>123</v>
      </c>
      <c r="D91" t="s">
        <v>311</v>
      </c>
      <c r="E91" t="s">
        <v>41</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t="s">
        <v>0</v>
      </c>
    </row>
    <row r="92" spans="1:43" x14ac:dyDescent="0.25">
      <c r="A92" t="s">
        <v>63</v>
      </c>
      <c r="B92" t="s">
        <v>63</v>
      </c>
      <c r="C92" t="s">
        <v>122</v>
      </c>
      <c r="D92" t="s">
        <v>310</v>
      </c>
      <c r="E92" t="s">
        <v>41</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t="s">
        <v>0</v>
      </c>
    </row>
    <row r="93" spans="1:43" x14ac:dyDescent="0.25">
      <c r="A93" t="s">
        <v>61</v>
      </c>
      <c r="B93" t="s">
        <v>61</v>
      </c>
      <c r="C93" t="s">
        <v>121</v>
      </c>
      <c r="D93" t="s">
        <v>309</v>
      </c>
      <c r="E93" t="s">
        <v>41</v>
      </c>
      <c r="I93">
        <v>3.8213999999999998E-2</v>
      </c>
      <c r="J93">
        <v>3.4730999999999998E-2</v>
      </c>
      <c r="K93">
        <v>3.5930999999999998E-2</v>
      </c>
      <c r="L93">
        <v>3.5562999999999997E-2</v>
      </c>
      <c r="M93">
        <v>3.7589999999999998E-2</v>
      </c>
      <c r="N93">
        <v>3.7897E-2</v>
      </c>
      <c r="O93">
        <v>3.6366000000000002E-2</v>
      </c>
      <c r="P93">
        <v>3.5958999999999998E-2</v>
      </c>
      <c r="Q93">
        <v>3.5684E-2</v>
      </c>
      <c r="R93">
        <v>3.5527999999999997E-2</v>
      </c>
      <c r="S93">
        <v>3.5234000000000001E-2</v>
      </c>
      <c r="T93">
        <v>3.4891999999999999E-2</v>
      </c>
      <c r="U93">
        <v>3.4261E-2</v>
      </c>
      <c r="V93">
        <v>3.3591000000000003E-2</v>
      </c>
      <c r="W93">
        <v>3.2988000000000003E-2</v>
      </c>
      <c r="X93">
        <v>3.2342999999999997E-2</v>
      </c>
      <c r="Y93">
        <v>3.1694E-2</v>
      </c>
      <c r="Z93">
        <v>3.1095000000000001E-2</v>
      </c>
      <c r="AA93">
        <v>3.0523999999999999E-2</v>
      </c>
      <c r="AB93">
        <v>2.9878999999999999E-2</v>
      </c>
      <c r="AC93">
        <v>2.9264999999999999E-2</v>
      </c>
      <c r="AD93">
        <v>2.8743999999999999E-2</v>
      </c>
      <c r="AE93">
        <v>2.8351999999999999E-2</v>
      </c>
      <c r="AF93">
        <v>2.8049999999999999E-2</v>
      </c>
      <c r="AG93">
        <v>2.7747000000000001E-2</v>
      </c>
      <c r="AH93">
        <v>2.7408999999999999E-2</v>
      </c>
      <c r="AI93">
        <v>2.7043000000000001E-2</v>
      </c>
      <c r="AJ93">
        <v>2.6675000000000001E-2</v>
      </c>
      <c r="AK93">
        <v>2.6495999999999999E-2</v>
      </c>
      <c r="AL93">
        <v>2.6193999999999999E-2</v>
      </c>
      <c r="AM93">
        <v>2.5902999999999999E-2</v>
      </c>
      <c r="AN93">
        <v>2.5607000000000001E-2</v>
      </c>
      <c r="AO93">
        <v>2.5316999999999999E-2</v>
      </c>
      <c r="AP93">
        <v>2.5058E-2</v>
      </c>
      <c r="AQ93" s="6">
        <v>1E-3</v>
      </c>
    </row>
    <row r="94" spans="1:43" x14ac:dyDescent="0.25">
      <c r="A94" t="s">
        <v>57</v>
      </c>
      <c r="B94" t="s">
        <v>57</v>
      </c>
      <c r="C94" t="s">
        <v>120</v>
      </c>
      <c r="D94" t="s">
        <v>308</v>
      </c>
      <c r="E94" t="s">
        <v>41</v>
      </c>
      <c r="I94">
        <v>0.111349</v>
      </c>
      <c r="J94">
        <v>0.11107400000000001</v>
      </c>
      <c r="K94">
        <v>0.128689</v>
      </c>
      <c r="L94">
        <v>0.12955700000000001</v>
      </c>
      <c r="M94">
        <v>0.13327900000000001</v>
      </c>
      <c r="N94">
        <v>0.123927</v>
      </c>
      <c r="O94">
        <v>0.12903500000000001</v>
      </c>
      <c r="P94">
        <v>0.11941400000000001</v>
      </c>
      <c r="Q94">
        <v>0.118072</v>
      </c>
      <c r="R94">
        <v>0.11680400000000001</v>
      </c>
      <c r="S94">
        <v>0.115535</v>
      </c>
      <c r="T94">
        <v>0.114689</v>
      </c>
      <c r="U94">
        <v>0.112812</v>
      </c>
      <c r="V94">
        <v>0.110884</v>
      </c>
      <c r="W94">
        <v>0.10904700000000001</v>
      </c>
      <c r="X94">
        <v>0.10719099999999999</v>
      </c>
      <c r="Y94">
        <v>0.105591</v>
      </c>
      <c r="Z94">
        <v>0.104142</v>
      </c>
      <c r="AA94">
        <v>0.10351399999999999</v>
      </c>
      <c r="AB94">
        <v>0.102021</v>
      </c>
      <c r="AC94">
        <v>0.10073799999999999</v>
      </c>
      <c r="AD94">
        <v>9.9635000000000001E-2</v>
      </c>
      <c r="AE94">
        <v>9.8705000000000001E-2</v>
      </c>
      <c r="AF94">
        <v>9.8044000000000006E-2</v>
      </c>
      <c r="AG94">
        <v>9.8344000000000001E-2</v>
      </c>
      <c r="AH94">
        <v>9.8062999999999997E-2</v>
      </c>
      <c r="AI94">
        <v>9.7916000000000003E-2</v>
      </c>
      <c r="AJ94">
        <v>9.7237000000000004E-2</v>
      </c>
      <c r="AK94">
        <v>9.7264000000000003E-2</v>
      </c>
      <c r="AL94">
        <v>9.7540000000000002E-2</v>
      </c>
      <c r="AM94">
        <v>9.8091999999999999E-2</v>
      </c>
      <c r="AN94">
        <v>9.9629999999999996E-2</v>
      </c>
      <c r="AO94">
        <v>9.9969000000000002E-2</v>
      </c>
      <c r="AP94">
        <v>0.10008599999999999</v>
      </c>
      <c r="AQ94" s="6">
        <v>-5.0000000000000001E-3</v>
      </c>
    </row>
    <row r="95" spans="1:43" x14ac:dyDescent="0.25">
      <c r="A95" t="s">
        <v>55</v>
      </c>
      <c r="B95" t="s">
        <v>55</v>
      </c>
      <c r="C95" t="s">
        <v>119</v>
      </c>
      <c r="D95" t="s">
        <v>307</v>
      </c>
      <c r="E95" t="s">
        <v>41</v>
      </c>
      <c r="I95">
        <v>0.25097399999999997</v>
      </c>
      <c r="J95">
        <v>0.256025</v>
      </c>
      <c r="K95">
        <v>0.26167200000000002</v>
      </c>
      <c r="L95">
        <v>0.24692800000000001</v>
      </c>
      <c r="M95">
        <v>0.261961</v>
      </c>
      <c r="N95">
        <v>0.27161000000000002</v>
      </c>
      <c r="O95">
        <v>0.294375</v>
      </c>
      <c r="P95">
        <v>0.28204499999999999</v>
      </c>
      <c r="Q95">
        <v>0.281634</v>
      </c>
      <c r="R95">
        <v>0.27972599999999997</v>
      </c>
      <c r="S95">
        <v>0.27886</v>
      </c>
      <c r="T95">
        <v>0.27964499999999998</v>
      </c>
      <c r="U95">
        <v>0.28064899999999998</v>
      </c>
      <c r="V95">
        <v>0.28109400000000001</v>
      </c>
      <c r="W95">
        <v>0.28141699999999997</v>
      </c>
      <c r="X95">
        <v>0.28233799999999998</v>
      </c>
      <c r="Y95">
        <v>0.283611</v>
      </c>
      <c r="Z95">
        <v>0.28520499999999999</v>
      </c>
      <c r="AA95">
        <v>0.28606599999999999</v>
      </c>
      <c r="AB95">
        <v>0.28565800000000002</v>
      </c>
      <c r="AC95">
        <v>0.286082</v>
      </c>
      <c r="AD95">
        <v>0.28662500000000002</v>
      </c>
      <c r="AE95">
        <v>0.28753000000000001</v>
      </c>
      <c r="AF95">
        <v>0.28872999999999999</v>
      </c>
      <c r="AG95">
        <v>0.29042000000000001</v>
      </c>
      <c r="AH95">
        <v>0.291989</v>
      </c>
      <c r="AI95">
        <v>0.293296</v>
      </c>
      <c r="AJ95">
        <v>0.29402400000000001</v>
      </c>
      <c r="AK95">
        <v>0.29418499999999997</v>
      </c>
      <c r="AL95">
        <v>0.29460599999999998</v>
      </c>
      <c r="AM95">
        <v>0.295574</v>
      </c>
      <c r="AN95">
        <v>0.29621799999999998</v>
      </c>
      <c r="AO95">
        <v>0.29719899999999999</v>
      </c>
      <c r="AP95">
        <v>0.29929099999999997</v>
      </c>
      <c r="AQ95" s="6">
        <v>8.0000000000000002E-3</v>
      </c>
    </row>
    <row r="96" spans="1:43" x14ac:dyDescent="0.25">
      <c r="A96" t="s">
        <v>18</v>
      </c>
      <c r="B96" t="s">
        <v>18</v>
      </c>
      <c r="C96" t="s">
        <v>118</v>
      </c>
      <c r="D96" t="s">
        <v>306</v>
      </c>
      <c r="E96" t="s">
        <v>41</v>
      </c>
      <c r="I96">
        <v>9.2999999999999997E-5</v>
      </c>
      <c r="J96">
        <v>1.92E-4</v>
      </c>
      <c r="K96">
        <v>9.8999999999999994E-5</v>
      </c>
      <c r="L96">
        <v>2.2100000000000001E-4</v>
      </c>
      <c r="M96">
        <v>3.3199999999999999E-4</v>
      </c>
      <c r="N96">
        <v>4.4000000000000002E-4</v>
      </c>
      <c r="O96">
        <v>5.3399999999999997E-4</v>
      </c>
      <c r="P96">
        <v>6.1499999999999999E-4</v>
      </c>
      <c r="Q96">
        <v>6.8499999999999995E-4</v>
      </c>
      <c r="R96">
        <v>7.5699999999999997E-4</v>
      </c>
      <c r="S96">
        <v>8.25E-4</v>
      </c>
      <c r="T96">
        <v>8.9700000000000001E-4</v>
      </c>
      <c r="U96">
        <v>9.6400000000000001E-4</v>
      </c>
      <c r="V96">
        <v>1.034E-3</v>
      </c>
      <c r="W96">
        <v>1.1039999999999999E-3</v>
      </c>
      <c r="X96">
        <v>1.173E-3</v>
      </c>
      <c r="Y96">
        <v>1.2409999999999999E-3</v>
      </c>
      <c r="Z96">
        <v>1.31E-3</v>
      </c>
      <c r="AA96">
        <v>1.377E-3</v>
      </c>
      <c r="AB96">
        <v>1.439E-3</v>
      </c>
      <c r="AC96">
        <v>1.5E-3</v>
      </c>
      <c r="AD96">
        <v>1.5529999999999999E-3</v>
      </c>
      <c r="AE96">
        <v>1.601E-3</v>
      </c>
      <c r="AF96">
        <v>1.639E-3</v>
      </c>
      <c r="AG96">
        <v>1.6689999999999999E-3</v>
      </c>
      <c r="AH96">
        <v>1.696E-3</v>
      </c>
      <c r="AI96">
        <v>1.714E-3</v>
      </c>
      <c r="AJ96">
        <v>1.7260000000000001E-3</v>
      </c>
      <c r="AK96">
        <v>1.732E-3</v>
      </c>
      <c r="AL96">
        <v>1.738E-3</v>
      </c>
      <c r="AM96">
        <v>1.745E-3</v>
      </c>
      <c r="AN96">
        <v>1.7489999999999999E-3</v>
      </c>
      <c r="AO96">
        <v>1.751E-3</v>
      </c>
      <c r="AP96">
        <v>1.751E-3</v>
      </c>
      <c r="AQ96" s="6">
        <v>0.11</v>
      </c>
    </row>
    <row r="97" spans="1:43" x14ac:dyDescent="0.25">
      <c r="A97" t="s">
        <v>807</v>
      </c>
      <c r="B97" t="s">
        <v>8</v>
      </c>
      <c r="C97" t="s">
        <v>117</v>
      </c>
      <c r="D97" t="s">
        <v>305</v>
      </c>
      <c r="E97" t="s">
        <v>41</v>
      </c>
      <c r="I97">
        <v>1.416317</v>
      </c>
      <c r="J97">
        <v>1.405308</v>
      </c>
      <c r="K97">
        <v>1.3741989999999999</v>
      </c>
      <c r="L97">
        <v>1.376155</v>
      </c>
      <c r="M97">
        <v>1.3907020000000001</v>
      </c>
      <c r="N97">
        <v>1.4235329999999999</v>
      </c>
      <c r="O97">
        <v>1.3938280000000001</v>
      </c>
      <c r="P97">
        <v>1.395127</v>
      </c>
      <c r="Q97">
        <v>1.4150910000000001</v>
      </c>
      <c r="R97">
        <v>1.433797</v>
      </c>
      <c r="S97">
        <v>1.444321</v>
      </c>
      <c r="T97">
        <v>1.4590730000000001</v>
      </c>
      <c r="U97">
        <v>1.473055</v>
      </c>
      <c r="V97">
        <v>1.4840120000000001</v>
      </c>
      <c r="W97">
        <v>1.4930410000000001</v>
      </c>
      <c r="X97">
        <v>1.5041549999999999</v>
      </c>
      <c r="Y97">
        <v>1.5149090000000001</v>
      </c>
      <c r="Z97">
        <v>1.528715</v>
      </c>
      <c r="AA97">
        <v>1.542807</v>
      </c>
      <c r="AB97">
        <v>1.557634</v>
      </c>
      <c r="AC97">
        <v>1.573545</v>
      </c>
      <c r="AD97">
        <v>1.589763</v>
      </c>
      <c r="AE97">
        <v>1.6069100000000001</v>
      </c>
      <c r="AF97">
        <v>1.622198</v>
      </c>
      <c r="AG97">
        <v>1.637581</v>
      </c>
      <c r="AH97">
        <v>1.6518600000000001</v>
      </c>
      <c r="AI97">
        <v>1.6630229999999999</v>
      </c>
      <c r="AJ97">
        <v>1.6737960000000001</v>
      </c>
      <c r="AK97">
        <v>1.685154</v>
      </c>
      <c r="AL97">
        <v>1.7030799999999999</v>
      </c>
      <c r="AM97">
        <v>1.7174739999999999</v>
      </c>
      <c r="AN97">
        <v>1.731298</v>
      </c>
      <c r="AO97">
        <v>1.747304</v>
      </c>
      <c r="AP97">
        <v>1.7656810000000001</v>
      </c>
      <c r="AQ97" s="6">
        <v>3.0000000000000001E-3</v>
      </c>
    </row>
    <row r="98" spans="1:43" x14ac:dyDescent="0.25">
      <c r="A98" t="s">
        <v>116</v>
      </c>
      <c r="B98" t="s">
        <v>116</v>
      </c>
      <c r="C98" t="s">
        <v>115</v>
      </c>
      <c r="D98" t="s">
        <v>304</v>
      </c>
      <c r="E98" t="s">
        <v>41</v>
      </c>
      <c r="I98">
        <v>9.4579419999999992</v>
      </c>
      <c r="J98">
        <v>9.6013710000000003</v>
      </c>
      <c r="K98">
        <v>9.6055220000000006</v>
      </c>
      <c r="L98">
        <v>8.5675439999999998</v>
      </c>
      <c r="M98">
        <v>8.9983979999999999</v>
      </c>
      <c r="N98">
        <v>8.9423259999999996</v>
      </c>
      <c r="O98">
        <v>9.0022040000000008</v>
      </c>
      <c r="P98">
        <v>8.7874529999999993</v>
      </c>
      <c r="Q98">
        <v>8.7790459999999992</v>
      </c>
      <c r="R98">
        <v>8.7858260000000001</v>
      </c>
      <c r="S98">
        <v>8.7815010000000004</v>
      </c>
      <c r="T98">
        <v>8.8219209999999997</v>
      </c>
      <c r="U98">
        <v>8.8107670000000002</v>
      </c>
      <c r="V98">
        <v>8.7859780000000001</v>
      </c>
      <c r="W98">
        <v>8.7439330000000002</v>
      </c>
      <c r="X98">
        <v>8.7290170000000007</v>
      </c>
      <c r="Y98">
        <v>8.7027789999999996</v>
      </c>
      <c r="Z98">
        <v>8.6912850000000006</v>
      </c>
      <c r="AA98">
        <v>8.6683439999999994</v>
      </c>
      <c r="AB98">
        <v>8.6633139999999997</v>
      </c>
      <c r="AC98">
        <v>8.6672650000000004</v>
      </c>
      <c r="AD98">
        <v>8.6764770000000002</v>
      </c>
      <c r="AE98">
        <v>8.7066970000000001</v>
      </c>
      <c r="AF98">
        <v>8.729571</v>
      </c>
      <c r="AG98">
        <v>8.7658020000000008</v>
      </c>
      <c r="AH98">
        <v>8.7957529999999995</v>
      </c>
      <c r="AI98">
        <v>8.8150060000000003</v>
      </c>
      <c r="AJ98">
        <v>8.8614560000000004</v>
      </c>
      <c r="AK98">
        <v>8.9024199999999993</v>
      </c>
      <c r="AL98">
        <v>8.8518889999999999</v>
      </c>
      <c r="AM98">
        <v>8.8843709999999998</v>
      </c>
      <c r="AN98">
        <v>8.9629910000000006</v>
      </c>
      <c r="AO98">
        <v>9.0135860000000001</v>
      </c>
      <c r="AP98">
        <v>9.0692009999999996</v>
      </c>
      <c r="AQ98" s="6">
        <v>1E-3</v>
      </c>
    </row>
    <row r="99" spans="1:43" x14ac:dyDescent="0.25">
      <c r="A99" t="s">
        <v>114</v>
      </c>
      <c r="B99" t="s">
        <v>114</v>
      </c>
      <c r="C99" t="s">
        <v>113</v>
      </c>
      <c r="D99" t="s">
        <v>303</v>
      </c>
      <c r="E99" t="s">
        <v>41</v>
      </c>
      <c r="I99">
        <v>2.1446800000000001</v>
      </c>
      <c r="J99">
        <v>2.1816170000000001</v>
      </c>
      <c r="K99">
        <v>2.0417990000000001</v>
      </c>
      <c r="L99">
        <v>1.9491959999999999</v>
      </c>
      <c r="M99">
        <v>1.8659319999999999</v>
      </c>
      <c r="N99">
        <v>1.923923</v>
      </c>
      <c r="O99">
        <v>1.9789650000000001</v>
      </c>
      <c r="P99">
        <v>1.9855229999999999</v>
      </c>
      <c r="Q99">
        <v>2.0266860000000002</v>
      </c>
      <c r="R99">
        <v>1.956987</v>
      </c>
      <c r="S99">
        <v>1.951052</v>
      </c>
      <c r="T99">
        <v>1.9956160000000001</v>
      </c>
      <c r="U99">
        <v>2.009976</v>
      </c>
      <c r="V99">
        <v>1.9849410000000001</v>
      </c>
      <c r="W99">
        <v>1.992181</v>
      </c>
      <c r="X99">
        <v>2.0371160000000001</v>
      </c>
      <c r="Y99">
        <v>2.0731120000000001</v>
      </c>
      <c r="Z99">
        <v>2.086551</v>
      </c>
      <c r="AA99">
        <v>2.0893009999999999</v>
      </c>
      <c r="AB99">
        <v>2.1209600000000002</v>
      </c>
      <c r="AC99">
        <v>2.1534939999999998</v>
      </c>
      <c r="AD99">
        <v>2.2029809999999999</v>
      </c>
      <c r="AE99">
        <v>2.2207080000000001</v>
      </c>
      <c r="AF99">
        <v>2.3122590000000001</v>
      </c>
      <c r="AG99">
        <v>2.3213439999999999</v>
      </c>
      <c r="AH99">
        <v>2.3492820000000001</v>
      </c>
      <c r="AI99">
        <v>2.3612799999999998</v>
      </c>
      <c r="AJ99">
        <v>2.388468</v>
      </c>
      <c r="AK99">
        <v>2.4525320000000002</v>
      </c>
      <c r="AL99">
        <v>2.4279169999999999</v>
      </c>
      <c r="AM99">
        <v>2.439419</v>
      </c>
      <c r="AN99">
        <v>2.4576129999999998</v>
      </c>
      <c r="AO99">
        <v>2.4537</v>
      </c>
      <c r="AP99">
        <v>2.4896509999999998</v>
      </c>
      <c r="AQ99" s="6">
        <v>1E-3</v>
      </c>
    </row>
    <row r="100" spans="1:43" x14ac:dyDescent="0.25">
      <c r="A100" t="s">
        <v>28</v>
      </c>
      <c r="B100" t="s">
        <v>28</v>
      </c>
      <c r="C100" t="s">
        <v>112</v>
      </c>
      <c r="D100" t="s">
        <v>302</v>
      </c>
      <c r="E100" t="s">
        <v>41</v>
      </c>
      <c r="I100">
        <v>11.602620999999999</v>
      </c>
      <c r="J100">
        <v>11.782988</v>
      </c>
      <c r="K100">
        <v>11.647321</v>
      </c>
      <c r="L100">
        <v>10.51674</v>
      </c>
      <c r="M100">
        <v>10.864329</v>
      </c>
      <c r="N100">
        <v>10.866249</v>
      </c>
      <c r="O100">
        <v>10.981169</v>
      </c>
      <c r="P100">
        <v>10.772976</v>
      </c>
      <c r="Q100">
        <v>10.805732000000001</v>
      </c>
      <c r="R100">
        <v>10.742813</v>
      </c>
      <c r="S100">
        <v>10.732552999999999</v>
      </c>
      <c r="T100">
        <v>10.817537</v>
      </c>
      <c r="U100">
        <v>10.820743999999999</v>
      </c>
      <c r="V100">
        <v>10.77092</v>
      </c>
      <c r="W100">
        <v>10.736114000000001</v>
      </c>
      <c r="X100">
        <v>10.766133</v>
      </c>
      <c r="Y100">
        <v>10.775891</v>
      </c>
      <c r="Z100">
        <v>10.777836000000001</v>
      </c>
      <c r="AA100">
        <v>10.757645</v>
      </c>
      <c r="AB100">
        <v>10.784274</v>
      </c>
      <c r="AC100">
        <v>10.820759000000001</v>
      </c>
      <c r="AD100">
        <v>10.879459000000001</v>
      </c>
      <c r="AE100">
        <v>10.927405</v>
      </c>
      <c r="AF100">
        <v>11.041829999999999</v>
      </c>
      <c r="AG100">
        <v>11.087146000000001</v>
      </c>
      <c r="AH100">
        <v>11.145035999999999</v>
      </c>
      <c r="AI100">
        <v>11.176287</v>
      </c>
      <c r="AJ100">
        <v>11.249924</v>
      </c>
      <c r="AK100">
        <v>11.354952000000001</v>
      </c>
      <c r="AL100">
        <v>11.279806000000001</v>
      </c>
      <c r="AM100">
        <v>11.323790000000001</v>
      </c>
      <c r="AN100">
        <v>11.420603</v>
      </c>
      <c r="AO100">
        <v>11.467286</v>
      </c>
      <c r="AP100">
        <v>11.558851000000001</v>
      </c>
      <c r="AQ100" s="6">
        <v>1E-3</v>
      </c>
    </row>
    <row r="101" spans="1:43" x14ac:dyDescent="0.25">
      <c r="A101" t="s">
        <v>111</v>
      </c>
      <c r="B101" t="s">
        <v>111</v>
      </c>
      <c r="D101" t="s">
        <v>301</v>
      </c>
    </row>
    <row r="102" spans="1:43" x14ac:dyDescent="0.25">
      <c r="A102" t="s">
        <v>90</v>
      </c>
      <c r="B102" t="s">
        <v>90</v>
      </c>
      <c r="C102" t="s">
        <v>110</v>
      </c>
      <c r="D102" t="s">
        <v>300</v>
      </c>
      <c r="E102" t="s">
        <v>41</v>
      </c>
      <c r="I102">
        <v>1.772E-2</v>
      </c>
      <c r="J102">
        <v>1.7597000000000002E-2</v>
      </c>
      <c r="K102">
        <v>1.7128999999999998E-2</v>
      </c>
      <c r="L102">
        <v>1.7680999999999999E-2</v>
      </c>
      <c r="M102">
        <v>1.8733E-2</v>
      </c>
      <c r="N102">
        <v>1.772E-2</v>
      </c>
      <c r="O102">
        <v>1.6638E-2</v>
      </c>
      <c r="P102">
        <v>1.6513E-2</v>
      </c>
      <c r="Q102">
        <v>1.6552000000000001E-2</v>
      </c>
      <c r="R102">
        <v>1.6433E-2</v>
      </c>
      <c r="S102">
        <v>1.6407000000000001E-2</v>
      </c>
      <c r="T102">
        <v>1.6374E-2</v>
      </c>
      <c r="U102">
        <v>1.6254999999999999E-2</v>
      </c>
      <c r="V102">
        <v>1.6129999999999999E-2</v>
      </c>
      <c r="W102">
        <v>1.6083E-2</v>
      </c>
      <c r="X102">
        <v>1.6080000000000001E-2</v>
      </c>
      <c r="Y102">
        <v>1.6077000000000001E-2</v>
      </c>
      <c r="Z102">
        <v>1.6084999999999999E-2</v>
      </c>
      <c r="AA102">
        <v>1.6105999999999999E-2</v>
      </c>
      <c r="AB102">
        <v>1.5980999999999999E-2</v>
      </c>
      <c r="AC102">
        <v>1.5833E-2</v>
      </c>
      <c r="AD102">
        <v>1.5717999999999999E-2</v>
      </c>
      <c r="AE102">
        <v>1.5649E-2</v>
      </c>
      <c r="AF102">
        <v>1.5626999999999999E-2</v>
      </c>
      <c r="AG102">
        <v>1.5073E-2</v>
      </c>
      <c r="AH102">
        <v>1.4487E-2</v>
      </c>
      <c r="AI102">
        <v>1.3913999999999999E-2</v>
      </c>
      <c r="AJ102">
        <v>1.3270000000000001E-2</v>
      </c>
      <c r="AK102">
        <v>1.2678999999999999E-2</v>
      </c>
      <c r="AL102">
        <v>1.2796E-2</v>
      </c>
      <c r="AM102">
        <v>1.2906000000000001E-2</v>
      </c>
      <c r="AN102">
        <v>1.2965000000000001E-2</v>
      </c>
      <c r="AO102">
        <v>1.3084999999999999E-2</v>
      </c>
      <c r="AP102">
        <v>1.3176999999999999E-2</v>
      </c>
      <c r="AQ102" s="6">
        <v>-1.4E-2</v>
      </c>
    </row>
    <row r="103" spans="1:43" x14ac:dyDescent="0.25">
      <c r="A103" t="s">
        <v>88</v>
      </c>
      <c r="B103" t="s">
        <v>88</v>
      </c>
      <c r="C103" t="s">
        <v>109</v>
      </c>
      <c r="D103" t="s">
        <v>299</v>
      </c>
      <c r="E103" t="s">
        <v>41</v>
      </c>
      <c r="I103">
        <v>5.6840000000000002E-2</v>
      </c>
      <c r="J103">
        <v>3.9690999999999997E-2</v>
      </c>
      <c r="K103">
        <v>3.7597999999999999E-2</v>
      </c>
      <c r="L103">
        <v>2.8072E-2</v>
      </c>
      <c r="M103">
        <v>2.6745000000000001E-2</v>
      </c>
      <c r="N103">
        <v>2.6945E-2</v>
      </c>
      <c r="O103">
        <v>2.5763999999999999E-2</v>
      </c>
      <c r="P103">
        <v>2.5177999999999999E-2</v>
      </c>
      <c r="Q103">
        <v>2.4924000000000002E-2</v>
      </c>
      <c r="R103">
        <v>2.4631E-2</v>
      </c>
      <c r="S103">
        <v>2.4188999999999999E-2</v>
      </c>
      <c r="T103">
        <v>2.3799000000000001E-2</v>
      </c>
      <c r="U103">
        <v>2.3385E-2</v>
      </c>
      <c r="V103">
        <v>2.2911000000000001E-2</v>
      </c>
      <c r="W103">
        <v>2.2692E-2</v>
      </c>
      <c r="X103">
        <v>2.2498000000000001E-2</v>
      </c>
      <c r="Y103">
        <v>2.2304000000000001E-2</v>
      </c>
      <c r="Z103">
        <v>2.213E-2</v>
      </c>
      <c r="AA103">
        <v>2.1957999999999998E-2</v>
      </c>
      <c r="AB103">
        <v>2.1363E-2</v>
      </c>
      <c r="AC103">
        <v>2.0754999999999999E-2</v>
      </c>
      <c r="AD103">
        <v>2.0136999999999999E-2</v>
      </c>
      <c r="AE103">
        <v>1.9511000000000001E-2</v>
      </c>
      <c r="AF103">
        <v>1.8858E-2</v>
      </c>
      <c r="AG103">
        <v>1.6808E-2</v>
      </c>
      <c r="AH103">
        <v>1.4699E-2</v>
      </c>
      <c r="AI103">
        <v>1.2541999999999999E-2</v>
      </c>
      <c r="AJ103">
        <v>1.0343E-2</v>
      </c>
      <c r="AK103">
        <v>8.1560000000000001E-3</v>
      </c>
      <c r="AL103">
        <v>8.2120000000000005E-3</v>
      </c>
      <c r="AM103">
        <v>8.2810000000000002E-3</v>
      </c>
      <c r="AN103">
        <v>8.3490000000000005E-3</v>
      </c>
      <c r="AO103">
        <v>8.4250000000000002E-3</v>
      </c>
      <c r="AP103">
        <v>8.5100000000000002E-3</v>
      </c>
      <c r="AQ103" s="6">
        <v>-4.3999999999999997E-2</v>
      </c>
    </row>
    <row r="104" spans="1:43" x14ac:dyDescent="0.25">
      <c r="A104" t="s">
        <v>82</v>
      </c>
      <c r="B104" t="s">
        <v>82</v>
      </c>
      <c r="C104" t="s">
        <v>108</v>
      </c>
      <c r="D104" t="s">
        <v>298</v>
      </c>
      <c r="E104" t="s">
        <v>41</v>
      </c>
      <c r="I104">
        <v>7.4560000000000001E-2</v>
      </c>
      <c r="J104">
        <v>5.7287999999999999E-2</v>
      </c>
      <c r="K104">
        <v>5.4725999999999997E-2</v>
      </c>
      <c r="L104">
        <v>4.5753000000000002E-2</v>
      </c>
      <c r="M104">
        <v>4.5477999999999998E-2</v>
      </c>
      <c r="N104">
        <v>4.4664000000000002E-2</v>
      </c>
      <c r="O104">
        <v>4.2402000000000002E-2</v>
      </c>
      <c r="P104">
        <v>4.1690999999999999E-2</v>
      </c>
      <c r="Q104">
        <v>4.1475999999999999E-2</v>
      </c>
      <c r="R104">
        <v>4.1064000000000003E-2</v>
      </c>
      <c r="S104">
        <v>4.0596E-2</v>
      </c>
      <c r="T104">
        <v>4.0171999999999999E-2</v>
      </c>
      <c r="U104">
        <v>3.9640000000000002E-2</v>
      </c>
      <c r="V104">
        <v>3.9039999999999998E-2</v>
      </c>
      <c r="W104">
        <v>3.8774999999999997E-2</v>
      </c>
      <c r="X104">
        <v>3.8578000000000001E-2</v>
      </c>
      <c r="Y104">
        <v>3.8380999999999998E-2</v>
      </c>
      <c r="Z104">
        <v>3.8214999999999999E-2</v>
      </c>
      <c r="AA104">
        <v>3.8064000000000001E-2</v>
      </c>
      <c r="AB104">
        <v>3.7344000000000002E-2</v>
      </c>
      <c r="AC104">
        <v>3.6588000000000002E-2</v>
      </c>
      <c r="AD104">
        <v>3.5854999999999998E-2</v>
      </c>
      <c r="AE104">
        <v>3.5159999999999997E-2</v>
      </c>
      <c r="AF104">
        <v>3.4485000000000002E-2</v>
      </c>
      <c r="AG104">
        <v>3.1881E-2</v>
      </c>
      <c r="AH104">
        <v>2.9186E-2</v>
      </c>
      <c r="AI104">
        <v>2.6456E-2</v>
      </c>
      <c r="AJ104">
        <v>2.3612999999999999E-2</v>
      </c>
      <c r="AK104">
        <v>2.0834999999999999E-2</v>
      </c>
      <c r="AL104">
        <v>2.1007999999999999E-2</v>
      </c>
      <c r="AM104">
        <v>2.1187999999999999E-2</v>
      </c>
      <c r="AN104">
        <v>2.1314E-2</v>
      </c>
      <c r="AO104">
        <v>2.1510000000000001E-2</v>
      </c>
      <c r="AP104">
        <v>2.1687000000000001E-2</v>
      </c>
      <c r="AQ104" s="6">
        <v>-3.1E-2</v>
      </c>
    </row>
    <row r="105" spans="1:43" x14ac:dyDescent="0.25">
      <c r="A105" t="s">
        <v>10</v>
      </c>
      <c r="B105" t="s">
        <v>10</v>
      </c>
      <c r="C105" t="s">
        <v>107</v>
      </c>
      <c r="D105" t="s">
        <v>297</v>
      </c>
      <c r="E105" t="s">
        <v>41</v>
      </c>
      <c r="I105">
        <v>0.84089999999999998</v>
      </c>
      <c r="J105">
        <v>0.87354200000000004</v>
      </c>
      <c r="K105">
        <v>0.83400300000000005</v>
      </c>
      <c r="L105">
        <v>0.84768100000000002</v>
      </c>
      <c r="M105">
        <v>0.88740699999999995</v>
      </c>
      <c r="N105">
        <v>0.85511999999999999</v>
      </c>
      <c r="O105">
        <v>0.78984699999999997</v>
      </c>
      <c r="P105">
        <v>0.70012300000000005</v>
      </c>
      <c r="Q105">
        <v>0.75787599999999999</v>
      </c>
      <c r="R105">
        <v>0.798458</v>
      </c>
      <c r="S105">
        <v>0.76760099999999998</v>
      </c>
      <c r="T105">
        <v>0.77502000000000004</v>
      </c>
      <c r="U105">
        <v>0.74612400000000001</v>
      </c>
      <c r="V105">
        <v>0.69690799999999997</v>
      </c>
      <c r="W105">
        <v>0.65097700000000003</v>
      </c>
      <c r="X105">
        <v>0.59682100000000005</v>
      </c>
      <c r="Y105">
        <v>0.59724299999999997</v>
      </c>
      <c r="Z105">
        <v>0.58222099999999999</v>
      </c>
      <c r="AA105">
        <v>0.56239600000000001</v>
      </c>
      <c r="AB105">
        <v>0.56262500000000004</v>
      </c>
      <c r="AC105">
        <v>0.547651</v>
      </c>
      <c r="AD105">
        <v>0.54393199999999997</v>
      </c>
      <c r="AE105">
        <v>0.53771599999999997</v>
      </c>
      <c r="AF105">
        <v>0.53517899999999996</v>
      </c>
      <c r="AG105">
        <v>0.53153499999999998</v>
      </c>
      <c r="AH105">
        <v>0.52762299999999995</v>
      </c>
      <c r="AI105">
        <v>0.51273100000000005</v>
      </c>
      <c r="AJ105">
        <v>0.49928299999999998</v>
      </c>
      <c r="AK105">
        <v>0.50127600000000005</v>
      </c>
      <c r="AL105">
        <v>0.45646900000000001</v>
      </c>
      <c r="AM105">
        <v>0.47373100000000001</v>
      </c>
      <c r="AN105">
        <v>0.49574299999999999</v>
      </c>
      <c r="AO105">
        <v>0.49352000000000001</v>
      </c>
      <c r="AP105">
        <v>0.49263499999999999</v>
      </c>
      <c r="AQ105" s="6">
        <v>-0.01</v>
      </c>
    </row>
    <row r="106" spans="1:43" x14ac:dyDescent="0.25">
      <c r="A106" t="s">
        <v>106</v>
      </c>
      <c r="B106" t="s">
        <v>106</v>
      </c>
      <c r="C106" t="s">
        <v>105</v>
      </c>
      <c r="D106" t="s">
        <v>296</v>
      </c>
      <c r="E106" t="s">
        <v>41</v>
      </c>
      <c r="I106">
        <v>0.10199999999999999</v>
      </c>
      <c r="J106">
        <v>0.13295299999999999</v>
      </c>
      <c r="K106">
        <v>0.10713</v>
      </c>
      <c r="L106">
        <v>8.1876000000000004E-2</v>
      </c>
      <c r="M106">
        <v>5.3372000000000003E-2</v>
      </c>
      <c r="N106">
        <v>4.3713000000000002E-2</v>
      </c>
      <c r="O106">
        <v>4.6685999999999998E-2</v>
      </c>
      <c r="P106">
        <v>5.7228000000000001E-2</v>
      </c>
      <c r="Q106">
        <v>4.9255E-2</v>
      </c>
      <c r="R106">
        <v>1.9369999999999998E-2</v>
      </c>
      <c r="S106">
        <v>1.9316E-2</v>
      </c>
      <c r="T106">
        <v>1.9310999999999998E-2</v>
      </c>
      <c r="U106">
        <v>1.9290000000000002E-2</v>
      </c>
      <c r="V106">
        <v>1.9227999999999999E-2</v>
      </c>
      <c r="W106">
        <v>1.9231000000000002E-2</v>
      </c>
      <c r="X106">
        <v>1.9257E-2</v>
      </c>
      <c r="Y106">
        <v>1.9283000000000002E-2</v>
      </c>
      <c r="Z106">
        <v>1.9332999999999999E-2</v>
      </c>
      <c r="AA106">
        <v>1.9387000000000001E-2</v>
      </c>
      <c r="AB106">
        <v>1.9321000000000001E-2</v>
      </c>
      <c r="AC106">
        <v>1.9255000000000001E-2</v>
      </c>
      <c r="AD106">
        <v>1.9188E-2</v>
      </c>
      <c r="AE106">
        <v>1.9123000000000001E-2</v>
      </c>
      <c r="AF106">
        <v>1.9043999999999998E-2</v>
      </c>
      <c r="AG106">
        <v>1.8516000000000001E-2</v>
      </c>
      <c r="AH106">
        <v>1.796E-2</v>
      </c>
      <c r="AI106">
        <v>1.737E-2</v>
      </c>
      <c r="AJ106">
        <v>1.6760000000000001E-2</v>
      </c>
      <c r="AK106">
        <v>1.6201E-2</v>
      </c>
      <c r="AL106">
        <v>1.6320999999999999E-2</v>
      </c>
      <c r="AM106">
        <v>1.6459000000000001E-2</v>
      </c>
      <c r="AN106">
        <v>1.6591999999999999E-2</v>
      </c>
      <c r="AO106">
        <v>1.6743999999999998E-2</v>
      </c>
      <c r="AP106">
        <v>1.6913000000000001E-2</v>
      </c>
      <c r="AQ106" s="6">
        <v>-7.0999999999999994E-2</v>
      </c>
    </row>
    <row r="107" spans="1:43" x14ac:dyDescent="0.25">
      <c r="A107" t="s">
        <v>59</v>
      </c>
      <c r="B107" t="s">
        <v>59</v>
      </c>
      <c r="C107" t="s">
        <v>104</v>
      </c>
      <c r="D107" t="s">
        <v>295</v>
      </c>
      <c r="E107" t="s">
        <v>41</v>
      </c>
      <c r="I107">
        <v>0.28512100000000001</v>
      </c>
      <c r="J107">
        <v>0.28783300000000001</v>
      </c>
      <c r="K107">
        <v>0.28642200000000001</v>
      </c>
      <c r="L107">
        <v>0.27961599999999998</v>
      </c>
      <c r="M107">
        <v>0.280111</v>
      </c>
      <c r="N107">
        <v>0.27493800000000002</v>
      </c>
      <c r="O107">
        <v>0.27768199999999998</v>
      </c>
      <c r="P107">
        <v>0.27744000000000002</v>
      </c>
      <c r="Q107">
        <v>0.18232400000000001</v>
      </c>
      <c r="R107">
        <v>9.5559000000000005E-2</v>
      </c>
      <c r="S107">
        <v>9.5559000000000005E-2</v>
      </c>
      <c r="T107">
        <v>9.5559000000000005E-2</v>
      </c>
      <c r="U107">
        <v>9.5559000000000005E-2</v>
      </c>
      <c r="V107">
        <v>9.5559000000000005E-2</v>
      </c>
      <c r="W107">
        <v>9.5559000000000005E-2</v>
      </c>
      <c r="X107">
        <v>9.5559000000000005E-2</v>
      </c>
      <c r="Y107">
        <v>9.5559000000000005E-2</v>
      </c>
      <c r="Z107">
        <v>9.5559000000000005E-2</v>
      </c>
      <c r="AA107">
        <v>9.5559000000000005E-2</v>
      </c>
      <c r="AB107">
        <v>9.5559000000000005E-2</v>
      </c>
      <c r="AC107">
        <v>9.5559000000000005E-2</v>
      </c>
      <c r="AD107">
        <v>9.5559000000000005E-2</v>
      </c>
      <c r="AE107">
        <v>9.5559000000000005E-2</v>
      </c>
      <c r="AF107">
        <v>9.5559000000000005E-2</v>
      </c>
      <c r="AG107">
        <v>9.5559000000000005E-2</v>
      </c>
      <c r="AH107">
        <v>9.5559000000000005E-2</v>
      </c>
      <c r="AI107">
        <v>9.5559000000000005E-2</v>
      </c>
      <c r="AJ107">
        <v>9.5559000000000005E-2</v>
      </c>
      <c r="AK107">
        <v>9.5559000000000005E-2</v>
      </c>
      <c r="AL107">
        <v>9.4083E-2</v>
      </c>
      <c r="AM107">
        <v>9.3961000000000003E-2</v>
      </c>
      <c r="AN107">
        <v>9.3601000000000004E-2</v>
      </c>
      <c r="AO107">
        <v>9.3484999999999999E-2</v>
      </c>
      <c r="AP107">
        <v>9.3354000000000006E-2</v>
      </c>
      <c r="AQ107" s="6">
        <v>-3.2000000000000001E-2</v>
      </c>
    </row>
    <row r="108" spans="1:43" x14ac:dyDescent="0.25">
      <c r="A108" t="s">
        <v>55</v>
      </c>
      <c r="B108" t="s">
        <v>55</v>
      </c>
      <c r="C108" t="s">
        <v>103</v>
      </c>
      <c r="D108" t="s">
        <v>294</v>
      </c>
      <c r="E108" t="s">
        <v>41</v>
      </c>
      <c r="I108">
        <v>2.237088</v>
      </c>
      <c r="J108">
        <v>2.2146520000000001</v>
      </c>
      <c r="K108">
        <v>2.1159949999999998</v>
      </c>
      <c r="L108">
        <v>2.0615480000000002</v>
      </c>
      <c r="M108">
        <v>1.9482409999999999</v>
      </c>
      <c r="N108">
        <v>2.095062</v>
      </c>
      <c r="O108">
        <v>2.1766649999999998</v>
      </c>
      <c r="P108">
        <v>2.2695970000000001</v>
      </c>
      <c r="Q108">
        <v>2.3795609999999998</v>
      </c>
      <c r="R108">
        <v>2.404299</v>
      </c>
      <c r="S108">
        <v>2.4376479999999998</v>
      </c>
      <c r="T108">
        <v>2.4883690000000001</v>
      </c>
      <c r="U108">
        <v>2.5476169999999998</v>
      </c>
      <c r="V108">
        <v>2.5819209999999999</v>
      </c>
      <c r="W108">
        <v>2.6460569999999999</v>
      </c>
      <c r="X108">
        <v>2.7557299999999998</v>
      </c>
      <c r="Y108">
        <v>2.8018990000000001</v>
      </c>
      <c r="Z108">
        <v>2.8440219999999998</v>
      </c>
      <c r="AA108">
        <v>2.881551</v>
      </c>
      <c r="AB108">
        <v>2.9288449999999999</v>
      </c>
      <c r="AC108">
        <v>2.9931049999999999</v>
      </c>
      <c r="AD108">
        <v>3.0628289999999998</v>
      </c>
      <c r="AE108">
        <v>3.1042610000000002</v>
      </c>
      <c r="AF108">
        <v>3.214051</v>
      </c>
      <c r="AG108">
        <v>3.2462230000000001</v>
      </c>
      <c r="AH108">
        <v>3.29562</v>
      </c>
      <c r="AI108">
        <v>3.3374410000000001</v>
      </c>
      <c r="AJ108">
        <v>3.3928370000000001</v>
      </c>
      <c r="AK108">
        <v>3.470135</v>
      </c>
      <c r="AL108">
        <v>3.5100440000000002</v>
      </c>
      <c r="AM108">
        <v>3.5185789999999999</v>
      </c>
      <c r="AN108">
        <v>3.5284170000000001</v>
      </c>
      <c r="AO108">
        <v>3.5427940000000002</v>
      </c>
      <c r="AP108">
        <v>3.5981839999999998</v>
      </c>
      <c r="AQ108" s="6">
        <v>0.01</v>
      </c>
    </row>
    <row r="109" spans="1:43" x14ac:dyDescent="0.25">
      <c r="A109" t="s">
        <v>52</v>
      </c>
      <c r="B109" t="s">
        <v>52</v>
      </c>
      <c r="C109" t="s">
        <v>102</v>
      </c>
      <c r="D109" t="s">
        <v>293</v>
      </c>
      <c r="E109" t="s">
        <v>41</v>
      </c>
      <c r="I109">
        <v>5.5599999999999998E-3</v>
      </c>
      <c r="J109">
        <v>5.5599999999999998E-3</v>
      </c>
      <c r="K109">
        <v>5.2700000000000004E-3</v>
      </c>
      <c r="L109">
        <v>5.5420000000000001E-3</v>
      </c>
      <c r="M109">
        <v>5.6769999999999998E-3</v>
      </c>
      <c r="N109">
        <v>5.8609999999999999E-3</v>
      </c>
      <c r="O109">
        <v>5.8609999999999999E-3</v>
      </c>
      <c r="P109">
        <v>5.8609999999999999E-3</v>
      </c>
      <c r="Q109">
        <v>5.8609999999999999E-3</v>
      </c>
      <c r="R109">
        <v>5.8609999999999999E-3</v>
      </c>
      <c r="S109">
        <v>5.8609999999999999E-3</v>
      </c>
      <c r="T109">
        <v>5.8609999999999999E-3</v>
      </c>
      <c r="U109">
        <v>5.8609999999999999E-3</v>
      </c>
      <c r="V109">
        <v>5.8609999999999999E-3</v>
      </c>
      <c r="W109">
        <v>5.8609999999999999E-3</v>
      </c>
      <c r="X109">
        <v>5.8609999999999999E-3</v>
      </c>
      <c r="Y109">
        <v>5.8609999999999999E-3</v>
      </c>
      <c r="Z109">
        <v>5.8609999999999999E-3</v>
      </c>
      <c r="AA109">
        <v>5.8609999999999999E-3</v>
      </c>
      <c r="AB109">
        <v>5.8609999999999999E-3</v>
      </c>
      <c r="AC109">
        <v>5.8609999999999999E-3</v>
      </c>
      <c r="AD109">
        <v>5.8609999999999999E-3</v>
      </c>
      <c r="AE109">
        <v>5.8609999999999999E-3</v>
      </c>
      <c r="AF109">
        <v>5.8609999999999999E-3</v>
      </c>
      <c r="AG109">
        <v>5.8609999999999999E-3</v>
      </c>
      <c r="AH109">
        <v>5.8609999999999999E-3</v>
      </c>
      <c r="AI109">
        <v>5.8609999999999999E-3</v>
      </c>
      <c r="AJ109">
        <v>5.8609999999999999E-3</v>
      </c>
      <c r="AK109">
        <v>5.8609999999999999E-3</v>
      </c>
      <c r="AL109">
        <v>5.8609999999999999E-3</v>
      </c>
      <c r="AM109">
        <v>5.8609999999999999E-3</v>
      </c>
      <c r="AN109">
        <v>5.8609999999999999E-3</v>
      </c>
      <c r="AO109">
        <v>5.8609999999999999E-3</v>
      </c>
      <c r="AP109">
        <v>5.8609999999999999E-3</v>
      </c>
      <c r="AQ109" s="6">
        <v>0</v>
      </c>
    </row>
    <row r="110" spans="1:43" x14ac:dyDescent="0.25">
      <c r="A110" t="s">
        <v>50</v>
      </c>
      <c r="B110" t="s">
        <v>50</v>
      </c>
      <c r="C110" t="s">
        <v>101</v>
      </c>
      <c r="D110" t="s">
        <v>292</v>
      </c>
      <c r="E110" t="s">
        <v>41</v>
      </c>
      <c r="I110">
        <v>1.5768999999999998E-2</v>
      </c>
      <c r="J110">
        <v>1.5095000000000001E-2</v>
      </c>
      <c r="K110">
        <v>1.2452E-2</v>
      </c>
      <c r="L110">
        <v>3.336E-3</v>
      </c>
      <c r="M110">
        <v>3.6347999999999998E-2</v>
      </c>
      <c r="N110">
        <v>2.8097E-2</v>
      </c>
      <c r="O110">
        <v>3.3648999999999998E-2</v>
      </c>
      <c r="P110">
        <v>2.8708999999999998E-2</v>
      </c>
      <c r="Q110">
        <v>2.5423999999999999E-2</v>
      </c>
      <c r="R110">
        <v>2.6173999999999999E-2</v>
      </c>
      <c r="S110">
        <v>2.8792999999999999E-2</v>
      </c>
      <c r="T110">
        <v>3.0395999999999999E-2</v>
      </c>
      <c r="U110">
        <v>2.894E-2</v>
      </c>
      <c r="V110">
        <v>3.0436000000000001E-2</v>
      </c>
      <c r="W110">
        <v>2.8761999999999999E-2</v>
      </c>
      <c r="X110">
        <v>2.9464000000000001E-2</v>
      </c>
      <c r="Y110">
        <v>2.9794000000000001E-2</v>
      </c>
      <c r="Z110">
        <v>3.0054999999999998E-2</v>
      </c>
      <c r="AA110">
        <v>2.9288999999999999E-2</v>
      </c>
      <c r="AB110">
        <v>2.904E-2</v>
      </c>
      <c r="AC110">
        <v>2.9019E-2</v>
      </c>
      <c r="AD110">
        <v>2.9519E-2</v>
      </c>
      <c r="AE110">
        <v>2.9936999999999998E-2</v>
      </c>
      <c r="AF110">
        <v>3.0276000000000001E-2</v>
      </c>
      <c r="AG110">
        <v>2.9350000000000001E-2</v>
      </c>
      <c r="AH110">
        <v>2.9333000000000001E-2</v>
      </c>
      <c r="AI110">
        <v>2.8884E-2</v>
      </c>
      <c r="AJ110">
        <v>2.8348999999999999E-2</v>
      </c>
      <c r="AK110">
        <v>2.7817999999999999E-2</v>
      </c>
      <c r="AL110">
        <v>2.7212E-2</v>
      </c>
      <c r="AM110">
        <v>2.7113999999999999E-2</v>
      </c>
      <c r="AN110">
        <v>2.7382E-2</v>
      </c>
      <c r="AO110">
        <v>2.7088999999999998E-2</v>
      </c>
      <c r="AP110">
        <v>2.6698E-2</v>
      </c>
      <c r="AQ110" s="6">
        <v>2E-3</v>
      </c>
    </row>
    <row r="111" spans="1:43" x14ac:dyDescent="0.25">
      <c r="A111" t="s">
        <v>28</v>
      </c>
      <c r="B111" t="s">
        <v>28</v>
      </c>
      <c r="C111" t="s">
        <v>100</v>
      </c>
      <c r="D111" t="s">
        <v>291</v>
      </c>
      <c r="E111" t="s">
        <v>41</v>
      </c>
      <c r="I111">
        <v>3.560997</v>
      </c>
      <c r="J111">
        <v>3.5869249999999999</v>
      </c>
      <c r="K111">
        <v>3.4159980000000001</v>
      </c>
      <c r="L111">
        <v>3.3253509999999999</v>
      </c>
      <c r="M111">
        <v>3.256634</v>
      </c>
      <c r="N111">
        <v>3.3474560000000002</v>
      </c>
      <c r="O111">
        <v>3.3727930000000002</v>
      </c>
      <c r="P111">
        <v>3.3806500000000002</v>
      </c>
      <c r="Q111">
        <v>3.4417770000000001</v>
      </c>
      <c r="R111">
        <v>3.3907850000000002</v>
      </c>
      <c r="S111">
        <v>3.3953739999999999</v>
      </c>
      <c r="T111">
        <v>3.4546890000000001</v>
      </c>
      <c r="U111">
        <v>3.483031</v>
      </c>
      <c r="V111">
        <v>3.468953</v>
      </c>
      <c r="W111">
        <v>3.4852219999999998</v>
      </c>
      <c r="X111">
        <v>3.5412710000000001</v>
      </c>
      <c r="Y111">
        <v>3.5880209999999999</v>
      </c>
      <c r="Z111">
        <v>3.6152660000000001</v>
      </c>
      <c r="AA111">
        <v>3.6321080000000001</v>
      </c>
      <c r="AB111">
        <v>3.6785950000000001</v>
      </c>
      <c r="AC111">
        <v>3.727039</v>
      </c>
      <c r="AD111">
        <v>3.7927439999999999</v>
      </c>
      <c r="AE111">
        <v>3.8276180000000002</v>
      </c>
      <c r="AF111">
        <v>3.9344570000000001</v>
      </c>
      <c r="AG111">
        <v>3.9589249999999998</v>
      </c>
      <c r="AH111">
        <v>4.0011429999999999</v>
      </c>
      <c r="AI111">
        <v>4.0243029999999997</v>
      </c>
      <c r="AJ111">
        <v>4.0622629999999997</v>
      </c>
      <c r="AK111">
        <v>4.1376860000000004</v>
      </c>
      <c r="AL111">
        <v>4.1309969999999998</v>
      </c>
      <c r="AM111">
        <v>4.1568930000000002</v>
      </c>
      <c r="AN111">
        <v>4.1889099999999999</v>
      </c>
      <c r="AO111">
        <v>4.2010040000000002</v>
      </c>
      <c r="AP111">
        <v>4.2553320000000001</v>
      </c>
      <c r="AQ111" s="6">
        <v>2E-3</v>
      </c>
    </row>
    <row r="112" spans="1:43" x14ac:dyDescent="0.25">
      <c r="A112" t="s">
        <v>99</v>
      </c>
      <c r="B112" t="s">
        <v>99</v>
      </c>
      <c r="D112" t="s">
        <v>290</v>
      </c>
    </row>
    <row r="113" spans="1:43" x14ac:dyDescent="0.25">
      <c r="A113" t="s">
        <v>98</v>
      </c>
      <c r="B113" t="s">
        <v>98</v>
      </c>
      <c r="C113" t="s">
        <v>97</v>
      </c>
      <c r="D113" t="s">
        <v>289</v>
      </c>
      <c r="E113" t="s">
        <v>41</v>
      </c>
      <c r="I113">
        <v>8.4312999999999999E-2</v>
      </c>
      <c r="J113">
        <v>9.3257999999999994E-2</v>
      </c>
      <c r="K113">
        <v>0.104336</v>
      </c>
      <c r="L113">
        <v>9.8833000000000004E-2</v>
      </c>
      <c r="M113">
        <v>8.4875000000000006E-2</v>
      </c>
      <c r="N113">
        <v>7.4788999999999994E-2</v>
      </c>
      <c r="O113">
        <v>7.6537999999999995E-2</v>
      </c>
      <c r="P113">
        <v>6.3779000000000002E-2</v>
      </c>
      <c r="Q113">
        <v>6.4024999999999999E-2</v>
      </c>
      <c r="R113">
        <v>6.4373E-2</v>
      </c>
      <c r="S113">
        <v>6.4734E-2</v>
      </c>
      <c r="T113">
        <v>6.4837000000000006E-2</v>
      </c>
      <c r="U113">
        <v>6.497E-2</v>
      </c>
      <c r="V113">
        <v>6.5069000000000002E-2</v>
      </c>
      <c r="W113">
        <v>6.5095E-2</v>
      </c>
      <c r="X113">
        <v>6.5076999999999996E-2</v>
      </c>
      <c r="Y113">
        <v>6.5060999999999994E-2</v>
      </c>
      <c r="Z113">
        <v>6.5028000000000002E-2</v>
      </c>
      <c r="AA113">
        <v>6.5014000000000002E-2</v>
      </c>
      <c r="AB113">
        <v>6.5031000000000005E-2</v>
      </c>
      <c r="AC113">
        <v>6.5079999999999999E-2</v>
      </c>
      <c r="AD113">
        <v>6.5121999999999999E-2</v>
      </c>
      <c r="AE113">
        <v>6.5204999999999999E-2</v>
      </c>
      <c r="AF113">
        <v>6.5290000000000001E-2</v>
      </c>
      <c r="AG113">
        <v>6.5401000000000001E-2</v>
      </c>
      <c r="AH113">
        <v>6.5520999999999996E-2</v>
      </c>
      <c r="AI113">
        <v>6.5672999999999995E-2</v>
      </c>
      <c r="AJ113">
        <v>6.5860000000000002E-2</v>
      </c>
      <c r="AK113">
        <v>6.6049999999999998E-2</v>
      </c>
      <c r="AL113">
        <v>6.5999000000000002E-2</v>
      </c>
      <c r="AM113">
        <v>6.6126000000000004E-2</v>
      </c>
      <c r="AN113">
        <v>6.6324999999999995E-2</v>
      </c>
      <c r="AO113">
        <v>6.6590999999999997E-2</v>
      </c>
      <c r="AP113">
        <v>6.6887000000000002E-2</v>
      </c>
      <c r="AQ113" s="6">
        <v>-8.0000000000000002E-3</v>
      </c>
    </row>
    <row r="114" spans="1:43" x14ac:dyDescent="0.25">
      <c r="A114" t="s">
        <v>2</v>
      </c>
      <c r="B114" t="s">
        <v>2</v>
      </c>
      <c r="C114" t="s">
        <v>96</v>
      </c>
      <c r="D114" t="s">
        <v>288</v>
      </c>
      <c r="E114" t="s">
        <v>41</v>
      </c>
      <c r="I114">
        <v>2.4627849999999998</v>
      </c>
      <c r="J114">
        <v>2.4661580000000001</v>
      </c>
      <c r="K114">
        <v>2.471797</v>
      </c>
      <c r="L114">
        <v>2.1964589999999999</v>
      </c>
      <c r="M114">
        <v>2.3145009999999999</v>
      </c>
      <c r="N114">
        <v>2.1539389999999998</v>
      </c>
      <c r="O114">
        <v>2.1663869999999998</v>
      </c>
      <c r="P114">
        <v>2.158128</v>
      </c>
      <c r="Q114">
        <v>2.1110899999999999</v>
      </c>
      <c r="R114">
        <v>2.0673159999999999</v>
      </c>
      <c r="S114">
        <v>2.0248900000000001</v>
      </c>
      <c r="T114">
        <v>1.9788110000000001</v>
      </c>
      <c r="U114">
        <v>1.9283189999999999</v>
      </c>
      <c r="V114">
        <v>1.8748450000000001</v>
      </c>
      <c r="W114">
        <v>1.825148</v>
      </c>
      <c r="X114">
        <v>1.776165</v>
      </c>
      <c r="Y114">
        <v>1.732702</v>
      </c>
      <c r="Z114">
        <v>1.692183</v>
      </c>
      <c r="AA114">
        <v>1.6524190000000001</v>
      </c>
      <c r="AB114">
        <v>1.6134250000000001</v>
      </c>
      <c r="AC114">
        <v>1.578392</v>
      </c>
      <c r="AD114">
        <v>1.547174</v>
      </c>
      <c r="AE114">
        <v>1.518723</v>
      </c>
      <c r="AF114">
        <v>1.49499</v>
      </c>
      <c r="AG114">
        <v>1.4741070000000001</v>
      </c>
      <c r="AH114">
        <v>1.456528</v>
      </c>
      <c r="AI114">
        <v>1.441832</v>
      </c>
      <c r="AJ114">
        <v>1.430569</v>
      </c>
      <c r="AK114">
        <v>1.4222919999999999</v>
      </c>
      <c r="AL114">
        <v>1.416682</v>
      </c>
      <c r="AM114">
        <v>1.4143829999999999</v>
      </c>
      <c r="AN114">
        <v>1.41364</v>
      </c>
      <c r="AO114">
        <v>1.4143079999999999</v>
      </c>
      <c r="AP114">
        <v>1.417826</v>
      </c>
      <c r="AQ114" s="6">
        <v>-1.4999999999999999E-2</v>
      </c>
    </row>
    <row r="115" spans="1:43" x14ac:dyDescent="0.25">
      <c r="A115" t="s">
        <v>95</v>
      </c>
      <c r="B115" t="s">
        <v>95</v>
      </c>
      <c r="C115" t="s">
        <v>94</v>
      </c>
      <c r="D115" t="s">
        <v>287</v>
      </c>
      <c r="E115" t="s">
        <v>41</v>
      </c>
      <c r="I115">
        <v>1.3619999999999999E-3</v>
      </c>
      <c r="J115">
        <v>8.8000000000000005E-3</v>
      </c>
      <c r="K115">
        <v>2.7130000000000001E-3</v>
      </c>
      <c r="L115">
        <v>2.3990000000000001E-3</v>
      </c>
      <c r="M115">
        <v>2.7780000000000001E-3</v>
      </c>
      <c r="N115">
        <v>2.4399999999999999E-3</v>
      </c>
      <c r="O115">
        <v>2.6700000000000001E-3</v>
      </c>
      <c r="P115">
        <v>2.441E-3</v>
      </c>
      <c r="Q115">
        <v>2.4680000000000001E-3</v>
      </c>
      <c r="R115">
        <v>2.441E-3</v>
      </c>
      <c r="S115">
        <v>2.405E-3</v>
      </c>
      <c r="T115">
        <v>2.3579999999999999E-3</v>
      </c>
      <c r="U115">
        <v>2.2989999999999998E-3</v>
      </c>
      <c r="V115">
        <v>2.235E-3</v>
      </c>
      <c r="W115">
        <v>2.1700000000000001E-3</v>
      </c>
      <c r="X115">
        <v>2.1059999999999998E-3</v>
      </c>
      <c r="Y115">
        <v>2.0470000000000002E-3</v>
      </c>
      <c r="Z115">
        <v>1.9959999999999999E-3</v>
      </c>
      <c r="AA115">
        <v>1.946E-3</v>
      </c>
      <c r="AB115">
        <v>1.902E-3</v>
      </c>
      <c r="AC115">
        <v>1.867E-3</v>
      </c>
      <c r="AD115">
        <v>1.8439999999999999E-3</v>
      </c>
      <c r="AE115">
        <v>1.8309999999999999E-3</v>
      </c>
      <c r="AF115">
        <v>1.8270000000000001E-3</v>
      </c>
      <c r="AG115">
        <v>1.828E-3</v>
      </c>
      <c r="AH115">
        <v>1.8370000000000001E-3</v>
      </c>
      <c r="AI115">
        <v>1.853E-3</v>
      </c>
      <c r="AJ115">
        <v>1.8699999999999999E-3</v>
      </c>
      <c r="AK115">
        <v>1.887E-3</v>
      </c>
      <c r="AL115">
        <v>1.9170000000000001E-3</v>
      </c>
      <c r="AM115">
        <v>1.944E-3</v>
      </c>
      <c r="AN115">
        <v>1.9710000000000001E-3</v>
      </c>
      <c r="AO115">
        <v>2.0019999999999999E-3</v>
      </c>
      <c r="AP115">
        <v>2.0349999999999999E-3</v>
      </c>
      <c r="AQ115" s="6">
        <v>3.9E-2</v>
      </c>
    </row>
    <row r="116" spans="1:43" x14ac:dyDescent="0.25">
      <c r="A116" t="s">
        <v>93</v>
      </c>
      <c r="B116" t="s">
        <v>93</v>
      </c>
      <c r="C116" t="s">
        <v>92</v>
      </c>
      <c r="D116" t="s">
        <v>286</v>
      </c>
      <c r="E116" t="s">
        <v>41</v>
      </c>
      <c r="I116">
        <v>1.037347</v>
      </c>
      <c r="J116">
        <v>1.0670120000000001</v>
      </c>
      <c r="K116">
        <v>1.065018</v>
      </c>
      <c r="L116">
        <v>0.65032999999999996</v>
      </c>
      <c r="M116">
        <v>0.7419</v>
      </c>
      <c r="N116">
        <v>0.83894999999999997</v>
      </c>
      <c r="O116">
        <v>0.89466599999999996</v>
      </c>
      <c r="P116">
        <v>0.90659500000000004</v>
      </c>
      <c r="Q116">
        <v>0.90826300000000004</v>
      </c>
      <c r="R116">
        <v>0.91877900000000001</v>
      </c>
      <c r="S116">
        <v>0.92924200000000001</v>
      </c>
      <c r="T116">
        <v>0.93742999999999999</v>
      </c>
      <c r="U116">
        <v>0.94345999999999997</v>
      </c>
      <c r="V116">
        <v>0.94797600000000004</v>
      </c>
      <c r="W116">
        <v>0.95223199999999997</v>
      </c>
      <c r="X116">
        <v>0.95898799999999995</v>
      </c>
      <c r="Y116">
        <v>0.96619600000000005</v>
      </c>
      <c r="Z116">
        <v>0.97272700000000001</v>
      </c>
      <c r="AA116">
        <v>0.98058199999999995</v>
      </c>
      <c r="AB116">
        <v>0.99069700000000005</v>
      </c>
      <c r="AC116">
        <v>1.00285</v>
      </c>
      <c r="AD116">
        <v>1.01546</v>
      </c>
      <c r="AE116">
        <v>1.0286649999999999</v>
      </c>
      <c r="AF116">
        <v>1.0443420000000001</v>
      </c>
      <c r="AG116">
        <v>1.0592550000000001</v>
      </c>
      <c r="AH116">
        <v>1.0744130000000001</v>
      </c>
      <c r="AI116">
        <v>1.089647</v>
      </c>
      <c r="AJ116">
        <v>1.1047039999999999</v>
      </c>
      <c r="AK116">
        <v>1.1195139999999999</v>
      </c>
      <c r="AL116">
        <v>1.134064</v>
      </c>
      <c r="AM116">
        <v>1.149332</v>
      </c>
      <c r="AN116">
        <v>1.1644680000000001</v>
      </c>
      <c r="AO116">
        <v>1.1794119999999999</v>
      </c>
      <c r="AP116">
        <v>1.1961360000000001</v>
      </c>
      <c r="AQ116" s="6">
        <v>8.9999999999999993E-3</v>
      </c>
    </row>
    <row r="117" spans="1:43" x14ac:dyDescent="0.25">
      <c r="A117" t="s">
        <v>20</v>
      </c>
      <c r="B117" t="s">
        <v>20</v>
      </c>
      <c r="C117" t="s">
        <v>91</v>
      </c>
      <c r="D117" t="s">
        <v>285</v>
      </c>
      <c r="E117" t="s">
        <v>41</v>
      </c>
      <c r="I117">
        <v>6.3E-5</v>
      </c>
      <c r="J117">
        <v>0</v>
      </c>
      <c r="K117">
        <v>9.2999999999999997E-5</v>
      </c>
      <c r="L117">
        <v>6.9999999999999994E-5</v>
      </c>
      <c r="M117">
        <v>7.7999999999999999E-5</v>
      </c>
      <c r="N117">
        <v>7.3999999999999996E-5</v>
      </c>
      <c r="O117">
        <v>8.1000000000000004E-5</v>
      </c>
      <c r="P117">
        <v>5.7000000000000003E-5</v>
      </c>
      <c r="Q117">
        <v>7.8999999999999996E-5</v>
      </c>
      <c r="R117">
        <v>8.5000000000000006E-5</v>
      </c>
      <c r="S117">
        <v>9.0000000000000006E-5</v>
      </c>
      <c r="T117">
        <v>9.5000000000000005E-5</v>
      </c>
      <c r="U117">
        <v>9.2999999999999997E-5</v>
      </c>
      <c r="V117">
        <v>9.2E-5</v>
      </c>
      <c r="W117">
        <v>8.8999999999999995E-5</v>
      </c>
      <c r="X117">
        <v>8.7000000000000001E-5</v>
      </c>
      <c r="Y117">
        <v>8.5000000000000006E-5</v>
      </c>
      <c r="Z117">
        <v>8.2999999999999998E-5</v>
      </c>
      <c r="AA117">
        <v>8.1000000000000004E-5</v>
      </c>
      <c r="AB117">
        <v>8.0000000000000007E-5</v>
      </c>
      <c r="AC117">
        <v>7.7999999999999999E-5</v>
      </c>
      <c r="AD117">
        <v>7.6000000000000004E-5</v>
      </c>
      <c r="AE117">
        <v>7.3999999999999996E-5</v>
      </c>
      <c r="AF117">
        <v>7.2999999999999999E-5</v>
      </c>
      <c r="AG117">
        <v>6.9999999999999994E-5</v>
      </c>
      <c r="AH117">
        <v>6.8999999999999997E-5</v>
      </c>
      <c r="AI117">
        <v>6.7000000000000002E-5</v>
      </c>
      <c r="AJ117">
        <v>6.7000000000000002E-5</v>
      </c>
      <c r="AK117">
        <v>6.3E-5</v>
      </c>
      <c r="AL117">
        <v>2.8E-5</v>
      </c>
      <c r="AM117">
        <v>2.8E-5</v>
      </c>
      <c r="AN117">
        <v>2.6999999999999999E-5</v>
      </c>
      <c r="AO117">
        <v>2.5999999999999998E-5</v>
      </c>
      <c r="AP117">
        <v>2.5999999999999998E-5</v>
      </c>
      <c r="AQ117" t="s">
        <v>0</v>
      </c>
    </row>
    <row r="118" spans="1:43" x14ac:dyDescent="0.25">
      <c r="A118" t="s">
        <v>90</v>
      </c>
      <c r="B118" t="s">
        <v>90</v>
      </c>
      <c r="C118" t="s">
        <v>89</v>
      </c>
      <c r="D118" t="s">
        <v>284</v>
      </c>
      <c r="E118" t="s">
        <v>41</v>
      </c>
      <c r="I118">
        <v>0.91119099999999997</v>
      </c>
      <c r="J118">
        <v>0.94904500000000003</v>
      </c>
      <c r="K118">
        <v>0.95049399999999995</v>
      </c>
      <c r="L118">
        <v>0.856491</v>
      </c>
      <c r="M118">
        <v>0.89717899999999995</v>
      </c>
      <c r="N118">
        <v>0.89906799999999998</v>
      </c>
      <c r="O118">
        <v>0.922207</v>
      </c>
      <c r="P118">
        <v>0.90778999999999999</v>
      </c>
      <c r="Q118">
        <v>0.90310999999999997</v>
      </c>
      <c r="R118">
        <v>0.897679</v>
      </c>
      <c r="S118">
        <v>0.89295500000000005</v>
      </c>
      <c r="T118">
        <v>0.88799700000000004</v>
      </c>
      <c r="U118">
        <v>0.88261100000000003</v>
      </c>
      <c r="V118">
        <v>0.87664500000000001</v>
      </c>
      <c r="W118">
        <v>0.87160499999999996</v>
      </c>
      <c r="X118">
        <v>0.86857300000000004</v>
      </c>
      <c r="Y118">
        <v>0.86594700000000002</v>
      </c>
      <c r="Z118">
        <v>0.86347399999999996</v>
      </c>
      <c r="AA118">
        <v>0.861572</v>
      </c>
      <c r="AB118">
        <v>0.85921800000000004</v>
      </c>
      <c r="AC118">
        <v>0.85802400000000001</v>
      </c>
      <c r="AD118">
        <v>0.85818099999999997</v>
      </c>
      <c r="AE118">
        <v>0.85820399999999997</v>
      </c>
      <c r="AF118">
        <v>0.85954399999999997</v>
      </c>
      <c r="AG118">
        <v>0.86070199999999997</v>
      </c>
      <c r="AH118">
        <v>0.86162300000000003</v>
      </c>
      <c r="AI118">
        <v>0.86229299999999998</v>
      </c>
      <c r="AJ118">
        <v>0.86255899999999996</v>
      </c>
      <c r="AK118">
        <v>0.86267899999999997</v>
      </c>
      <c r="AL118">
        <v>0.86442399999999997</v>
      </c>
      <c r="AM118">
        <v>0.86538000000000004</v>
      </c>
      <c r="AN118">
        <v>0.86512800000000001</v>
      </c>
      <c r="AO118">
        <v>0.86482499999999995</v>
      </c>
      <c r="AP118">
        <v>0.86670199999999997</v>
      </c>
      <c r="AQ118" s="6">
        <v>3.0000000000000001E-3</v>
      </c>
    </row>
    <row r="119" spans="1:43" x14ac:dyDescent="0.25">
      <c r="A119" t="s">
        <v>88</v>
      </c>
      <c r="B119" t="s">
        <v>88</v>
      </c>
      <c r="C119" t="s">
        <v>87</v>
      </c>
      <c r="D119" t="s">
        <v>283</v>
      </c>
      <c r="E119" t="s">
        <v>41</v>
      </c>
      <c r="I119">
        <v>0.353244</v>
      </c>
      <c r="J119">
        <v>0.31502999999999998</v>
      </c>
      <c r="K119">
        <v>0.25810499999999997</v>
      </c>
      <c r="L119">
        <v>0.20072999999999999</v>
      </c>
      <c r="M119">
        <v>0.31260700000000002</v>
      </c>
      <c r="N119">
        <v>0.32843600000000001</v>
      </c>
      <c r="O119">
        <v>0.25954199999999999</v>
      </c>
      <c r="P119">
        <v>0.25310500000000002</v>
      </c>
      <c r="Q119">
        <v>0.25298199999999998</v>
      </c>
      <c r="R119">
        <v>0.24241399999999999</v>
      </c>
      <c r="S119">
        <v>0.23751</v>
      </c>
      <c r="T119">
        <v>0.22900300000000001</v>
      </c>
      <c r="U119">
        <v>0.22334699999999999</v>
      </c>
      <c r="V119">
        <v>0.21901799999999999</v>
      </c>
      <c r="W119">
        <v>0.21867600000000001</v>
      </c>
      <c r="X119">
        <v>0.21800800000000001</v>
      </c>
      <c r="Y119">
        <v>0.21770900000000001</v>
      </c>
      <c r="Z119">
        <v>0.216414</v>
      </c>
      <c r="AA119">
        <v>0.21599699999999999</v>
      </c>
      <c r="AB119">
        <v>0.21382599999999999</v>
      </c>
      <c r="AC119">
        <v>0.21257999999999999</v>
      </c>
      <c r="AD119">
        <v>0.21130199999999999</v>
      </c>
      <c r="AE119">
        <v>0.20958499999999999</v>
      </c>
      <c r="AF119">
        <v>0.20810100000000001</v>
      </c>
      <c r="AG119">
        <v>0.205429</v>
      </c>
      <c r="AH119">
        <v>0.20319699999999999</v>
      </c>
      <c r="AI119">
        <v>0.20019999999999999</v>
      </c>
      <c r="AJ119">
        <v>0.19742199999999999</v>
      </c>
      <c r="AK119">
        <v>0.19441700000000001</v>
      </c>
      <c r="AL119">
        <v>0.19683200000000001</v>
      </c>
      <c r="AM119">
        <v>0.196496</v>
      </c>
      <c r="AN119">
        <v>0.19442200000000001</v>
      </c>
      <c r="AO119">
        <v>0.192852</v>
      </c>
      <c r="AP119">
        <v>0.19087100000000001</v>
      </c>
      <c r="AQ119" s="6">
        <v>-1.0999999999999999E-2</v>
      </c>
    </row>
    <row r="120" spans="1:43" x14ac:dyDescent="0.25">
      <c r="A120" t="s">
        <v>86</v>
      </c>
      <c r="B120" t="s">
        <v>86</v>
      </c>
      <c r="C120" t="s">
        <v>85</v>
      </c>
      <c r="D120" t="s">
        <v>282</v>
      </c>
      <c r="E120" t="s">
        <v>41</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t="s">
        <v>0</v>
      </c>
    </row>
    <row r="121" spans="1:43" x14ac:dyDescent="0.25">
      <c r="A121" t="s">
        <v>84</v>
      </c>
      <c r="B121" t="s">
        <v>84</v>
      </c>
      <c r="C121" t="s">
        <v>83</v>
      </c>
      <c r="D121" t="s">
        <v>281</v>
      </c>
      <c r="E121" t="s">
        <v>41</v>
      </c>
      <c r="I121">
        <v>0.55424799999999996</v>
      </c>
      <c r="J121">
        <v>0.54416500000000001</v>
      </c>
      <c r="K121">
        <v>0.55160500000000001</v>
      </c>
      <c r="L121">
        <v>0.48769200000000001</v>
      </c>
      <c r="M121">
        <v>0.47777399999999998</v>
      </c>
      <c r="N121">
        <v>0.48330400000000001</v>
      </c>
      <c r="O121">
        <v>0.477802</v>
      </c>
      <c r="P121">
        <v>0.367309</v>
      </c>
      <c r="Q121">
        <v>0.36532199999999998</v>
      </c>
      <c r="R121">
        <v>0.36966700000000002</v>
      </c>
      <c r="S121">
        <v>0.37182399999999999</v>
      </c>
      <c r="T121">
        <v>0.37613000000000002</v>
      </c>
      <c r="U121">
        <v>0.37608399999999997</v>
      </c>
      <c r="V121">
        <v>0.37637700000000002</v>
      </c>
      <c r="W121">
        <v>0.37203599999999998</v>
      </c>
      <c r="X121">
        <v>0.378023</v>
      </c>
      <c r="Y121">
        <v>0.37360100000000002</v>
      </c>
      <c r="Z121">
        <v>0.38157099999999999</v>
      </c>
      <c r="AA121">
        <v>0.38255600000000001</v>
      </c>
      <c r="AB121">
        <v>0.38398300000000002</v>
      </c>
      <c r="AC121">
        <v>0.38072099999999998</v>
      </c>
      <c r="AD121">
        <v>0.384237</v>
      </c>
      <c r="AE121">
        <v>0.38776699999999997</v>
      </c>
      <c r="AF121">
        <v>0.39169999999999999</v>
      </c>
      <c r="AG121">
        <v>0.39439299999999999</v>
      </c>
      <c r="AH121">
        <v>0.396038</v>
      </c>
      <c r="AI121">
        <v>0.38963599999999998</v>
      </c>
      <c r="AJ121">
        <v>0.390963</v>
      </c>
      <c r="AK121">
        <v>0.39224100000000001</v>
      </c>
      <c r="AL121">
        <v>0.38308999999999999</v>
      </c>
      <c r="AM121">
        <v>0.38161400000000001</v>
      </c>
      <c r="AN121">
        <v>0.38750499999999999</v>
      </c>
      <c r="AO121">
        <v>0.38885900000000001</v>
      </c>
      <c r="AP121">
        <v>0.38862999999999998</v>
      </c>
      <c r="AQ121" s="6">
        <v>-5.0000000000000001E-3</v>
      </c>
    </row>
    <row r="122" spans="1:43" x14ac:dyDescent="0.25">
      <c r="A122" t="s">
        <v>82</v>
      </c>
      <c r="B122" t="s">
        <v>82</v>
      </c>
      <c r="C122" t="s">
        <v>81</v>
      </c>
      <c r="D122" t="s">
        <v>280</v>
      </c>
      <c r="E122" t="s">
        <v>41</v>
      </c>
      <c r="I122">
        <v>5.4031909999999996</v>
      </c>
      <c r="J122">
        <v>5.4346690000000004</v>
      </c>
      <c r="K122">
        <v>5.4014470000000001</v>
      </c>
      <c r="L122">
        <v>4.4906050000000004</v>
      </c>
      <c r="M122">
        <v>4.8289140000000002</v>
      </c>
      <c r="N122">
        <v>4.7785589999999996</v>
      </c>
      <c r="O122">
        <v>4.7972229999999998</v>
      </c>
      <c r="P122">
        <v>4.6567629999999998</v>
      </c>
      <c r="Q122">
        <v>4.60487</v>
      </c>
      <c r="R122">
        <v>4.5603129999999998</v>
      </c>
      <c r="S122">
        <v>4.5212459999999997</v>
      </c>
      <c r="T122">
        <v>4.4743029999999999</v>
      </c>
      <c r="U122">
        <v>4.4188840000000003</v>
      </c>
      <c r="V122">
        <v>4.360023</v>
      </c>
      <c r="W122">
        <v>4.304881</v>
      </c>
      <c r="X122">
        <v>4.2649210000000002</v>
      </c>
      <c r="Y122">
        <v>4.2213019999999997</v>
      </c>
      <c r="Z122">
        <v>4.1914800000000003</v>
      </c>
      <c r="AA122">
        <v>4.1582210000000002</v>
      </c>
      <c r="AB122">
        <v>4.1262590000000001</v>
      </c>
      <c r="AC122">
        <v>4.0977249999999996</v>
      </c>
      <c r="AD122">
        <v>4.0815510000000002</v>
      </c>
      <c r="AE122">
        <v>4.0682229999999997</v>
      </c>
      <c r="AF122">
        <v>4.0640390000000002</v>
      </c>
      <c r="AG122">
        <v>4.0593570000000003</v>
      </c>
      <c r="AH122">
        <v>4.057391</v>
      </c>
      <c r="AI122">
        <v>4.0493490000000003</v>
      </c>
      <c r="AJ122">
        <v>4.0521440000000002</v>
      </c>
      <c r="AK122">
        <v>4.0572559999999998</v>
      </c>
      <c r="AL122">
        <v>4.0611199999999998</v>
      </c>
      <c r="AM122">
        <v>4.0733600000000001</v>
      </c>
      <c r="AN122">
        <v>4.0915150000000002</v>
      </c>
      <c r="AO122">
        <v>4.1068730000000002</v>
      </c>
      <c r="AP122">
        <v>4.1270769999999999</v>
      </c>
      <c r="AQ122" s="6">
        <v>-4.0000000000000001E-3</v>
      </c>
    </row>
    <row r="123" spans="1:43" x14ac:dyDescent="0.25">
      <c r="A123" t="s">
        <v>10</v>
      </c>
      <c r="B123" t="s">
        <v>10</v>
      </c>
      <c r="C123" t="s">
        <v>80</v>
      </c>
      <c r="D123" t="s">
        <v>279</v>
      </c>
      <c r="E123" t="s">
        <v>41</v>
      </c>
      <c r="I123">
        <v>2.8276979999999998</v>
      </c>
      <c r="J123">
        <v>2.952353</v>
      </c>
      <c r="K123">
        <v>2.9493109999999998</v>
      </c>
      <c r="L123">
        <v>2.8477190000000001</v>
      </c>
      <c r="M123">
        <v>2.9474450000000001</v>
      </c>
      <c r="N123">
        <v>2.8571520000000001</v>
      </c>
      <c r="O123">
        <v>2.8694500000000001</v>
      </c>
      <c r="P123">
        <v>2.730928</v>
      </c>
      <c r="Q123">
        <v>2.8062670000000001</v>
      </c>
      <c r="R123">
        <v>2.8845559999999999</v>
      </c>
      <c r="S123">
        <v>2.8773270000000002</v>
      </c>
      <c r="T123">
        <v>2.926167</v>
      </c>
      <c r="U123">
        <v>2.9159130000000002</v>
      </c>
      <c r="V123">
        <v>2.8807939999999999</v>
      </c>
      <c r="W123">
        <v>2.8410160000000002</v>
      </c>
      <c r="X123">
        <v>2.7959079999999998</v>
      </c>
      <c r="Y123">
        <v>2.8020309999999999</v>
      </c>
      <c r="Z123">
        <v>2.801301</v>
      </c>
      <c r="AA123">
        <v>2.7861120000000001</v>
      </c>
      <c r="AB123">
        <v>2.7974549999999998</v>
      </c>
      <c r="AC123">
        <v>2.7960660000000002</v>
      </c>
      <c r="AD123">
        <v>2.8022670000000001</v>
      </c>
      <c r="AE123">
        <v>2.815677</v>
      </c>
      <c r="AF123">
        <v>2.8284940000000001</v>
      </c>
      <c r="AG123">
        <v>2.8445330000000002</v>
      </c>
      <c r="AH123">
        <v>2.8568310000000001</v>
      </c>
      <c r="AI123">
        <v>2.8587630000000002</v>
      </c>
      <c r="AJ123">
        <v>2.864404</v>
      </c>
      <c r="AK123">
        <v>2.8847499999999999</v>
      </c>
      <c r="AL123">
        <v>2.7656999999999998</v>
      </c>
      <c r="AM123">
        <v>2.7923269999999998</v>
      </c>
      <c r="AN123">
        <v>2.840484</v>
      </c>
      <c r="AO123">
        <v>2.8589560000000001</v>
      </c>
      <c r="AP123">
        <v>2.8816069999999998</v>
      </c>
      <c r="AQ123" s="6">
        <v>3.0000000000000001E-3</v>
      </c>
    </row>
    <row r="124" spans="1:43" x14ac:dyDescent="0.25">
      <c r="A124" t="s">
        <v>79</v>
      </c>
      <c r="B124" t="s">
        <v>79</v>
      </c>
      <c r="C124" t="s">
        <v>78</v>
      </c>
      <c r="D124" t="s">
        <v>278</v>
      </c>
      <c r="E124" t="s">
        <v>41</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t="s">
        <v>0</v>
      </c>
    </row>
    <row r="125" spans="1:43" x14ac:dyDescent="0.25">
      <c r="A125" t="s">
        <v>77</v>
      </c>
      <c r="B125" t="s">
        <v>77</v>
      </c>
      <c r="C125" t="s">
        <v>76</v>
      </c>
      <c r="D125" t="s">
        <v>277</v>
      </c>
      <c r="E125" t="s">
        <v>41</v>
      </c>
      <c r="I125">
        <v>0.283586</v>
      </c>
      <c r="J125">
        <v>0.29477799999999998</v>
      </c>
      <c r="K125">
        <v>0.29870200000000002</v>
      </c>
      <c r="L125">
        <v>0.28741899999999998</v>
      </c>
      <c r="M125">
        <v>0.28536099999999998</v>
      </c>
      <c r="N125">
        <v>0.30041600000000002</v>
      </c>
      <c r="O125">
        <v>0.26392500000000002</v>
      </c>
      <c r="P125">
        <v>0.26453599999999999</v>
      </c>
      <c r="Q125">
        <v>0.27270299999999997</v>
      </c>
      <c r="R125">
        <v>0.27039600000000003</v>
      </c>
      <c r="S125">
        <v>0.27348499999999998</v>
      </c>
      <c r="T125">
        <v>0.305282</v>
      </c>
      <c r="U125">
        <v>0.31772499999999998</v>
      </c>
      <c r="V125">
        <v>0.32852799999999999</v>
      </c>
      <c r="W125">
        <v>0.32819300000000001</v>
      </c>
      <c r="X125">
        <v>0.33440300000000001</v>
      </c>
      <c r="Y125">
        <v>0.33573500000000001</v>
      </c>
      <c r="Z125">
        <v>0.32615499999999997</v>
      </c>
      <c r="AA125">
        <v>0.31773499999999999</v>
      </c>
      <c r="AB125">
        <v>0.32038899999999998</v>
      </c>
      <c r="AC125">
        <v>0.32386900000000002</v>
      </c>
      <c r="AD125">
        <v>0.32331300000000002</v>
      </c>
      <c r="AE125">
        <v>0.32965100000000003</v>
      </c>
      <c r="AF125">
        <v>0.324882</v>
      </c>
      <c r="AG125">
        <v>0.32623200000000002</v>
      </c>
      <c r="AH125">
        <v>0.323824</v>
      </c>
      <c r="AI125">
        <v>0.31929400000000002</v>
      </c>
      <c r="AJ125">
        <v>0.33028200000000002</v>
      </c>
      <c r="AK125">
        <v>0.333422</v>
      </c>
      <c r="AL125">
        <v>0.33561400000000002</v>
      </c>
      <c r="AM125">
        <v>0.33097300000000002</v>
      </c>
      <c r="AN125">
        <v>0.34954099999999999</v>
      </c>
      <c r="AO125">
        <v>0.34683399999999998</v>
      </c>
      <c r="AP125">
        <v>0.33806599999999998</v>
      </c>
      <c r="AQ125" s="6">
        <v>0</v>
      </c>
    </row>
    <row r="126" spans="1:43" x14ac:dyDescent="0.25">
      <c r="A126" t="s">
        <v>75</v>
      </c>
      <c r="B126" t="s">
        <v>75</v>
      </c>
      <c r="C126" t="s">
        <v>74</v>
      </c>
      <c r="D126" t="s">
        <v>276</v>
      </c>
      <c r="E126" t="s">
        <v>41</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t="s">
        <v>0</v>
      </c>
    </row>
    <row r="127" spans="1:43" x14ac:dyDescent="0.25">
      <c r="A127" t="s">
        <v>73</v>
      </c>
      <c r="B127" t="s">
        <v>73</v>
      </c>
      <c r="C127" t="s">
        <v>72</v>
      </c>
      <c r="D127" t="s">
        <v>275</v>
      </c>
      <c r="E127" t="s">
        <v>41</v>
      </c>
      <c r="I127">
        <v>4.1980999999999997E-2</v>
      </c>
      <c r="J127">
        <v>4.3070999999999998E-2</v>
      </c>
      <c r="K127">
        <v>4.4200999999999997E-2</v>
      </c>
      <c r="L127">
        <v>4.6810999999999998E-2</v>
      </c>
      <c r="M127">
        <v>4.5700999999999999E-2</v>
      </c>
      <c r="N127">
        <v>4.8576000000000001E-2</v>
      </c>
      <c r="O127">
        <v>4.9717999999999998E-2</v>
      </c>
      <c r="P127">
        <v>4.3880000000000002E-2</v>
      </c>
      <c r="Q127">
        <v>4.3394000000000002E-2</v>
      </c>
      <c r="R127">
        <v>4.3471000000000003E-2</v>
      </c>
      <c r="S127">
        <v>4.2865E-2</v>
      </c>
      <c r="T127">
        <v>4.2166000000000002E-2</v>
      </c>
      <c r="U127">
        <v>4.2268E-2</v>
      </c>
      <c r="V127">
        <v>4.1966999999999997E-2</v>
      </c>
      <c r="W127">
        <v>4.1997E-2</v>
      </c>
      <c r="X127">
        <v>4.1984E-2</v>
      </c>
      <c r="Y127">
        <v>4.2289E-2</v>
      </c>
      <c r="Z127">
        <v>4.2318000000000001E-2</v>
      </c>
      <c r="AA127">
        <v>4.2449000000000001E-2</v>
      </c>
      <c r="AB127">
        <v>4.2548999999999997E-2</v>
      </c>
      <c r="AC127">
        <v>4.2715000000000003E-2</v>
      </c>
      <c r="AD127">
        <v>4.2813999999999998E-2</v>
      </c>
      <c r="AE127">
        <v>4.2923999999999997E-2</v>
      </c>
      <c r="AF127">
        <v>4.3159999999999997E-2</v>
      </c>
      <c r="AG127">
        <v>4.3334999999999999E-2</v>
      </c>
      <c r="AH127">
        <v>4.3499999999999997E-2</v>
      </c>
      <c r="AI127">
        <v>4.3796000000000002E-2</v>
      </c>
      <c r="AJ127">
        <v>4.4062999999999998E-2</v>
      </c>
      <c r="AK127">
        <v>4.4271999999999999E-2</v>
      </c>
      <c r="AL127">
        <v>4.3772999999999999E-2</v>
      </c>
      <c r="AM127">
        <v>4.3839999999999997E-2</v>
      </c>
      <c r="AN127">
        <v>4.4005000000000002E-2</v>
      </c>
      <c r="AO127">
        <v>4.4412E-2</v>
      </c>
      <c r="AP127">
        <v>4.4906000000000001E-2</v>
      </c>
      <c r="AQ127" s="6">
        <v>5.0000000000000001E-3</v>
      </c>
    </row>
    <row r="128" spans="1:43" x14ac:dyDescent="0.25">
      <c r="A128" t="s">
        <v>71</v>
      </c>
      <c r="B128" t="s">
        <v>71</v>
      </c>
      <c r="C128" t="s">
        <v>70</v>
      </c>
      <c r="D128" t="s">
        <v>274</v>
      </c>
      <c r="E128" t="s">
        <v>41</v>
      </c>
      <c r="I128">
        <v>3.1532650000000002</v>
      </c>
      <c r="J128">
        <v>3.290203</v>
      </c>
      <c r="K128">
        <v>3.2922129999999998</v>
      </c>
      <c r="L128">
        <v>3.1819489999999999</v>
      </c>
      <c r="M128">
        <v>3.2785069999999998</v>
      </c>
      <c r="N128">
        <v>3.2061440000000001</v>
      </c>
      <c r="O128">
        <v>3.183093</v>
      </c>
      <c r="P128">
        <v>3.0393439999999998</v>
      </c>
      <c r="Q128">
        <v>3.1223640000000001</v>
      </c>
      <c r="R128">
        <v>3.198423</v>
      </c>
      <c r="S128">
        <v>3.1936770000000001</v>
      </c>
      <c r="T128">
        <v>3.2736149999999999</v>
      </c>
      <c r="U128">
        <v>3.275906</v>
      </c>
      <c r="V128">
        <v>3.2512889999999999</v>
      </c>
      <c r="W128">
        <v>3.2112059999999998</v>
      </c>
      <c r="X128">
        <v>3.1722950000000001</v>
      </c>
      <c r="Y128">
        <v>3.1800549999999999</v>
      </c>
      <c r="Z128">
        <v>3.1697739999999999</v>
      </c>
      <c r="AA128">
        <v>3.1462949999999998</v>
      </c>
      <c r="AB128">
        <v>3.1603919999999999</v>
      </c>
      <c r="AC128">
        <v>3.162649</v>
      </c>
      <c r="AD128">
        <v>3.168393</v>
      </c>
      <c r="AE128">
        <v>3.1882510000000002</v>
      </c>
      <c r="AF128">
        <v>3.1965349999999999</v>
      </c>
      <c r="AG128">
        <v>3.2141000000000002</v>
      </c>
      <c r="AH128">
        <v>3.2241550000000001</v>
      </c>
      <c r="AI128">
        <v>3.2218529999999999</v>
      </c>
      <c r="AJ128">
        <v>3.23875</v>
      </c>
      <c r="AK128">
        <v>3.2624439999999999</v>
      </c>
      <c r="AL128">
        <v>3.1450870000000002</v>
      </c>
      <c r="AM128">
        <v>3.1671399999999998</v>
      </c>
      <c r="AN128">
        <v>3.2340300000000002</v>
      </c>
      <c r="AO128">
        <v>3.2502019999999998</v>
      </c>
      <c r="AP128">
        <v>3.2645789999999999</v>
      </c>
      <c r="AQ128" s="6">
        <v>3.0000000000000001E-3</v>
      </c>
    </row>
    <row r="129" spans="1:43" x14ac:dyDescent="0.25">
      <c r="A129" t="s">
        <v>69</v>
      </c>
      <c r="B129" t="s">
        <v>69</v>
      </c>
      <c r="C129" t="s">
        <v>68</v>
      </c>
      <c r="D129" t="s">
        <v>273</v>
      </c>
      <c r="E129" t="s">
        <v>41</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t="s">
        <v>0</v>
      </c>
    </row>
    <row r="130" spans="1:43" x14ac:dyDescent="0.25">
      <c r="A130" t="s">
        <v>67</v>
      </c>
      <c r="B130" t="s">
        <v>67</v>
      </c>
      <c r="C130" t="s">
        <v>66</v>
      </c>
      <c r="D130" t="s">
        <v>272</v>
      </c>
      <c r="E130" t="s">
        <v>41</v>
      </c>
      <c r="I130">
        <v>0.14021400000000001</v>
      </c>
      <c r="J130">
        <v>0.167684</v>
      </c>
      <c r="K130">
        <v>0.14306099999999999</v>
      </c>
      <c r="L130">
        <v>0.117439</v>
      </c>
      <c r="M130">
        <v>9.0961E-2</v>
      </c>
      <c r="N130">
        <v>8.1609000000000001E-2</v>
      </c>
      <c r="O130">
        <v>8.3052000000000001E-2</v>
      </c>
      <c r="P130">
        <v>9.3186000000000005E-2</v>
      </c>
      <c r="Q130">
        <v>8.4939000000000001E-2</v>
      </c>
      <c r="R130">
        <v>5.4897000000000001E-2</v>
      </c>
      <c r="S130">
        <v>5.4549E-2</v>
      </c>
      <c r="T130">
        <v>5.4203000000000001E-2</v>
      </c>
      <c r="U130">
        <v>5.3551000000000001E-2</v>
      </c>
      <c r="V130">
        <v>5.2818999999999998E-2</v>
      </c>
      <c r="W130">
        <v>5.2219000000000002E-2</v>
      </c>
      <c r="X130">
        <v>5.16E-2</v>
      </c>
      <c r="Y130">
        <v>5.0978000000000002E-2</v>
      </c>
      <c r="Z130">
        <v>5.0428000000000001E-2</v>
      </c>
      <c r="AA130">
        <v>4.9910999999999997E-2</v>
      </c>
      <c r="AB130">
        <v>4.9200000000000001E-2</v>
      </c>
      <c r="AC130">
        <v>4.8519E-2</v>
      </c>
      <c r="AD130">
        <v>4.7932000000000002E-2</v>
      </c>
      <c r="AE130">
        <v>4.7475000000000003E-2</v>
      </c>
      <c r="AF130">
        <v>4.7093999999999997E-2</v>
      </c>
      <c r="AG130">
        <v>4.6262999999999999E-2</v>
      </c>
      <c r="AH130">
        <v>4.5369E-2</v>
      </c>
      <c r="AI130">
        <v>4.4413000000000001E-2</v>
      </c>
      <c r="AJ130">
        <v>4.3435000000000001E-2</v>
      </c>
      <c r="AK130">
        <v>4.2696999999999999E-2</v>
      </c>
      <c r="AL130">
        <v>4.2515999999999998E-2</v>
      </c>
      <c r="AM130">
        <v>4.2361999999999997E-2</v>
      </c>
      <c r="AN130">
        <v>4.2199E-2</v>
      </c>
      <c r="AO130">
        <v>4.2061000000000001E-2</v>
      </c>
      <c r="AP130">
        <v>4.1971000000000001E-2</v>
      </c>
      <c r="AQ130" s="6">
        <v>-3.7999999999999999E-2</v>
      </c>
    </row>
    <row r="131" spans="1:43" x14ac:dyDescent="0.25">
      <c r="A131" t="s">
        <v>65</v>
      </c>
      <c r="B131" t="s">
        <v>65</v>
      </c>
      <c r="C131" t="s">
        <v>64</v>
      </c>
      <c r="D131" t="s">
        <v>271</v>
      </c>
      <c r="E131" t="s">
        <v>41</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t="s">
        <v>0</v>
      </c>
    </row>
    <row r="132" spans="1:43" x14ac:dyDescent="0.25">
      <c r="A132" t="s">
        <v>63</v>
      </c>
      <c r="B132" t="s">
        <v>63</v>
      </c>
      <c r="C132" t="s">
        <v>62</v>
      </c>
      <c r="D132" t="s">
        <v>270</v>
      </c>
      <c r="E132" t="s">
        <v>41</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t="s">
        <v>0</v>
      </c>
    </row>
    <row r="133" spans="1:43" x14ac:dyDescent="0.25">
      <c r="A133" t="s">
        <v>61</v>
      </c>
      <c r="B133" t="s">
        <v>61</v>
      </c>
      <c r="C133" t="s">
        <v>60</v>
      </c>
      <c r="D133" t="s">
        <v>269</v>
      </c>
      <c r="E133" t="s">
        <v>41</v>
      </c>
      <c r="I133">
        <v>0.14021400000000001</v>
      </c>
      <c r="J133">
        <v>0.167684</v>
      </c>
      <c r="K133">
        <v>0.14306099999999999</v>
      </c>
      <c r="L133">
        <v>0.117439</v>
      </c>
      <c r="M133">
        <v>9.0961E-2</v>
      </c>
      <c r="N133">
        <v>8.1609000000000001E-2</v>
      </c>
      <c r="O133">
        <v>8.3052000000000001E-2</v>
      </c>
      <c r="P133">
        <v>9.3186000000000005E-2</v>
      </c>
      <c r="Q133">
        <v>8.4939000000000001E-2</v>
      </c>
      <c r="R133">
        <v>5.4897000000000001E-2</v>
      </c>
      <c r="S133">
        <v>5.4549E-2</v>
      </c>
      <c r="T133">
        <v>5.4203000000000001E-2</v>
      </c>
      <c r="U133">
        <v>5.3551000000000001E-2</v>
      </c>
      <c r="V133">
        <v>5.2818999999999998E-2</v>
      </c>
      <c r="W133">
        <v>5.2219000000000002E-2</v>
      </c>
      <c r="X133">
        <v>5.16E-2</v>
      </c>
      <c r="Y133">
        <v>5.0978000000000002E-2</v>
      </c>
      <c r="Z133">
        <v>5.0428000000000001E-2</v>
      </c>
      <c r="AA133">
        <v>4.9910999999999997E-2</v>
      </c>
      <c r="AB133">
        <v>4.9200000000000001E-2</v>
      </c>
      <c r="AC133">
        <v>4.8519E-2</v>
      </c>
      <c r="AD133">
        <v>4.7932000000000002E-2</v>
      </c>
      <c r="AE133">
        <v>4.7475000000000003E-2</v>
      </c>
      <c r="AF133">
        <v>4.7093999999999997E-2</v>
      </c>
      <c r="AG133">
        <v>4.6262999999999999E-2</v>
      </c>
      <c r="AH133">
        <v>4.5369E-2</v>
      </c>
      <c r="AI133">
        <v>4.4413000000000001E-2</v>
      </c>
      <c r="AJ133">
        <v>4.3435000000000001E-2</v>
      </c>
      <c r="AK133">
        <v>4.2696999999999999E-2</v>
      </c>
      <c r="AL133">
        <v>4.2515999999999998E-2</v>
      </c>
      <c r="AM133">
        <v>4.2361999999999997E-2</v>
      </c>
      <c r="AN133">
        <v>4.2199E-2</v>
      </c>
      <c r="AO133">
        <v>4.2061000000000001E-2</v>
      </c>
      <c r="AP133">
        <v>4.1971000000000001E-2</v>
      </c>
      <c r="AQ133" s="6">
        <v>-3.7999999999999999E-2</v>
      </c>
    </row>
    <row r="134" spans="1:43" x14ac:dyDescent="0.25">
      <c r="A134" t="s">
        <v>59</v>
      </c>
      <c r="B134" t="s">
        <v>59</v>
      </c>
      <c r="C134" t="s">
        <v>58</v>
      </c>
      <c r="D134" t="s">
        <v>268</v>
      </c>
      <c r="E134" t="s">
        <v>41</v>
      </c>
      <c r="I134">
        <v>0.28512100000000001</v>
      </c>
      <c r="J134">
        <v>0.28783300000000001</v>
      </c>
      <c r="K134">
        <v>0.28642200000000001</v>
      </c>
      <c r="L134">
        <v>0.27961599999999998</v>
      </c>
      <c r="M134">
        <v>0.280111</v>
      </c>
      <c r="N134">
        <v>0.27493800000000002</v>
      </c>
      <c r="O134">
        <v>0.27768199999999998</v>
      </c>
      <c r="P134">
        <v>0.27744000000000002</v>
      </c>
      <c r="Q134">
        <v>0.18232400000000001</v>
      </c>
      <c r="R134">
        <v>9.5559000000000005E-2</v>
      </c>
      <c r="S134">
        <v>9.5559000000000005E-2</v>
      </c>
      <c r="T134">
        <v>9.5559000000000005E-2</v>
      </c>
      <c r="U134">
        <v>9.5559000000000005E-2</v>
      </c>
      <c r="V134">
        <v>9.5559000000000005E-2</v>
      </c>
      <c r="W134">
        <v>9.5559000000000005E-2</v>
      </c>
      <c r="X134">
        <v>9.5559000000000005E-2</v>
      </c>
      <c r="Y134">
        <v>9.5559000000000005E-2</v>
      </c>
      <c r="Z134">
        <v>9.5559000000000005E-2</v>
      </c>
      <c r="AA134">
        <v>9.5559000000000005E-2</v>
      </c>
      <c r="AB134">
        <v>9.5559000000000005E-2</v>
      </c>
      <c r="AC134">
        <v>9.5559000000000005E-2</v>
      </c>
      <c r="AD134">
        <v>9.5559000000000005E-2</v>
      </c>
      <c r="AE134">
        <v>9.5559000000000005E-2</v>
      </c>
      <c r="AF134">
        <v>9.5559000000000005E-2</v>
      </c>
      <c r="AG134">
        <v>9.5559000000000005E-2</v>
      </c>
      <c r="AH134">
        <v>9.5559000000000005E-2</v>
      </c>
      <c r="AI134">
        <v>9.5559000000000005E-2</v>
      </c>
      <c r="AJ134">
        <v>9.5559000000000005E-2</v>
      </c>
      <c r="AK134">
        <v>9.5559000000000005E-2</v>
      </c>
      <c r="AL134">
        <v>9.4083E-2</v>
      </c>
      <c r="AM134">
        <v>9.3961000000000003E-2</v>
      </c>
      <c r="AN134">
        <v>9.3601000000000004E-2</v>
      </c>
      <c r="AO134">
        <v>9.3484999999999999E-2</v>
      </c>
      <c r="AP134">
        <v>9.3354000000000006E-2</v>
      </c>
      <c r="AQ134" s="6">
        <v>-3.2000000000000001E-2</v>
      </c>
    </row>
    <row r="135" spans="1:43" x14ac:dyDescent="0.25">
      <c r="A135" t="s">
        <v>57</v>
      </c>
      <c r="B135" t="s">
        <v>57</v>
      </c>
      <c r="C135" t="s">
        <v>56</v>
      </c>
      <c r="D135" t="s">
        <v>267</v>
      </c>
      <c r="E135" t="s">
        <v>41</v>
      </c>
      <c r="I135">
        <v>0.111349</v>
      </c>
      <c r="J135">
        <v>0.11107400000000001</v>
      </c>
      <c r="K135">
        <v>0.128689</v>
      </c>
      <c r="L135">
        <v>0.12955700000000001</v>
      </c>
      <c r="M135">
        <v>0.13327900000000001</v>
      </c>
      <c r="N135">
        <v>0.123927</v>
      </c>
      <c r="O135">
        <v>0.12903500000000001</v>
      </c>
      <c r="P135">
        <v>0.11941400000000001</v>
      </c>
      <c r="Q135">
        <v>0.118072</v>
      </c>
      <c r="R135">
        <v>0.11680400000000001</v>
      </c>
      <c r="S135">
        <v>0.115535</v>
      </c>
      <c r="T135">
        <v>0.114689</v>
      </c>
      <c r="U135">
        <v>0.112812</v>
      </c>
      <c r="V135">
        <v>0.110884</v>
      </c>
      <c r="W135">
        <v>0.10904700000000001</v>
      </c>
      <c r="X135">
        <v>0.10719099999999999</v>
      </c>
      <c r="Y135">
        <v>0.105591</v>
      </c>
      <c r="Z135">
        <v>0.104142</v>
      </c>
      <c r="AA135">
        <v>0.10351399999999999</v>
      </c>
      <c r="AB135">
        <v>0.102021</v>
      </c>
      <c r="AC135">
        <v>0.10073799999999999</v>
      </c>
      <c r="AD135">
        <v>9.9635000000000001E-2</v>
      </c>
      <c r="AE135">
        <v>9.8705000000000001E-2</v>
      </c>
      <c r="AF135">
        <v>9.8044000000000006E-2</v>
      </c>
      <c r="AG135">
        <v>9.8344000000000001E-2</v>
      </c>
      <c r="AH135">
        <v>9.8062999999999997E-2</v>
      </c>
      <c r="AI135">
        <v>9.7916000000000003E-2</v>
      </c>
      <c r="AJ135">
        <v>9.7237000000000004E-2</v>
      </c>
      <c r="AK135">
        <v>9.7264000000000003E-2</v>
      </c>
      <c r="AL135">
        <v>9.7540000000000002E-2</v>
      </c>
      <c r="AM135">
        <v>9.8091999999999999E-2</v>
      </c>
      <c r="AN135">
        <v>9.9629999999999996E-2</v>
      </c>
      <c r="AO135">
        <v>9.9969000000000002E-2</v>
      </c>
      <c r="AP135">
        <v>0.10008599999999999</v>
      </c>
      <c r="AQ135" s="6">
        <v>-5.0000000000000001E-3</v>
      </c>
    </row>
    <row r="136" spans="1:43" x14ac:dyDescent="0.25">
      <c r="A136" t="s">
        <v>55</v>
      </c>
      <c r="B136" t="s">
        <v>55</v>
      </c>
      <c r="C136" t="s">
        <v>54</v>
      </c>
      <c r="D136" t="s">
        <v>266</v>
      </c>
      <c r="E136" t="s">
        <v>41</v>
      </c>
      <c r="I136">
        <v>2.4880620000000002</v>
      </c>
      <c r="J136">
        <v>2.4706769999999998</v>
      </c>
      <c r="K136">
        <v>2.3776670000000002</v>
      </c>
      <c r="L136">
        <v>2.3084750000000001</v>
      </c>
      <c r="M136">
        <v>2.2102010000000001</v>
      </c>
      <c r="N136">
        <v>2.3666719999999999</v>
      </c>
      <c r="O136">
        <v>2.4710399999999999</v>
      </c>
      <c r="P136">
        <v>2.5516420000000002</v>
      </c>
      <c r="Q136">
        <v>2.6611950000000002</v>
      </c>
      <c r="R136">
        <v>2.6840250000000001</v>
      </c>
      <c r="S136">
        <v>2.716507</v>
      </c>
      <c r="T136">
        <v>2.768014</v>
      </c>
      <c r="U136">
        <v>2.8282660000000002</v>
      </c>
      <c r="V136">
        <v>2.8630149999999999</v>
      </c>
      <c r="W136">
        <v>2.9274740000000001</v>
      </c>
      <c r="X136">
        <v>3.0380690000000001</v>
      </c>
      <c r="Y136">
        <v>3.0855100000000002</v>
      </c>
      <c r="Z136">
        <v>3.1292270000000002</v>
      </c>
      <c r="AA136">
        <v>3.1676169999999999</v>
      </c>
      <c r="AB136">
        <v>3.2145030000000001</v>
      </c>
      <c r="AC136">
        <v>3.2791869999999999</v>
      </c>
      <c r="AD136">
        <v>3.3494540000000002</v>
      </c>
      <c r="AE136">
        <v>3.391791</v>
      </c>
      <c r="AF136">
        <v>3.5027810000000001</v>
      </c>
      <c r="AG136">
        <v>3.5366430000000002</v>
      </c>
      <c r="AH136">
        <v>3.587609</v>
      </c>
      <c r="AI136">
        <v>3.6307369999999999</v>
      </c>
      <c r="AJ136">
        <v>3.6868609999999999</v>
      </c>
      <c r="AK136">
        <v>3.7643209999999998</v>
      </c>
      <c r="AL136">
        <v>3.8046489999999999</v>
      </c>
      <c r="AM136">
        <v>3.8141530000000001</v>
      </c>
      <c r="AN136">
        <v>3.8246359999999999</v>
      </c>
      <c r="AO136">
        <v>3.8399930000000002</v>
      </c>
      <c r="AP136">
        <v>3.897475</v>
      </c>
      <c r="AQ136" s="6">
        <v>0.01</v>
      </c>
    </row>
    <row r="137" spans="1:43" x14ac:dyDescent="0.25">
      <c r="A137" t="s">
        <v>18</v>
      </c>
      <c r="B137" t="s">
        <v>18</v>
      </c>
      <c r="C137" t="s">
        <v>53</v>
      </c>
      <c r="D137" t="s">
        <v>265</v>
      </c>
      <c r="E137" t="s">
        <v>41</v>
      </c>
      <c r="I137">
        <v>9.2999999999999997E-5</v>
      </c>
      <c r="J137">
        <v>1.92E-4</v>
      </c>
      <c r="K137">
        <v>9.8999999999999994E-5</v>
      </c>
      <c r="L137">
        <v>2.2100000000000001E-4</v>
      </c>
      <c r="M137">
        <v>3.3199999999999999E-4</v>
      </c>
      <c r="N137">
        <v>4.4000000000000002E-4</v>
      </c>
      <c r="O137">
        <v>5.3399999999999997E-4</v>
      </c>
      <c r="P137">
        <v>6.1499999999999999E-4</v>
      </c>
      <c r="Q137">
        <v>6.8499999999999995E-4</v>
      </c>
      <c r="R137">
        <v>7.5699999999999997E-4</v>
      </c>
      <c r="S137">
        <v>8.25E-4</v>
      </c>
      <c r="T137">
        <v>8.9700000000000001E-4</v>
      </c>
      <c r="U137">
        <v>9.6400000000000001E-4</v>
      </c>
      <c r="V137">
        <v>1.034E-3</v>
      </c>
      <c r="W137">
        <v>1.1039999999999999E-3</v>
      </c>
      <c r="X137">
        <v>1.173E-3</v>
      </c>
      <c r="Y137">
        <v>1.2409999999999999E-3</v>
      </c>
      <c r="Z137">
        <v>1.31E-3</v>
      </c>
      <c r="AA137">
        <v>1.377E-3</v>
      </c>
      <c r="AB137">
        <v>1.439E-3</v>
      </c>
      <c r="AC137">
        <v>1.5E-3</v>
      </c>
      <c r="AD137">
        <v>1.5529999999999999E-3</v>
      </c>
      <c r="AE137">
        <v>1.601E-3</v>
      </c>
      <c r="AF137">
        <v>1.639E-3</v>
      </c>
      <c r="AG137">
        <v>1.6689999999999999E-3</v>
      </c>
      <c r="AH137">
        <v>1.696E-3</v>
      </c>
      <c r="AI137">
        <v>1.714E-3</v>
      </c>
      <c r="AJ137">
        <v>1.7260000000000001E-3</v>
      </c>
      <c r="AK137">
        <v>1.732E-3</v>
      </c>
      <c r="AL137">
        <v>1.738E-3</v>
      </c>
      <c r="AM137">
        <v>1.745E-3</v>
      </c>
      <c r="AN137">
        <v>1.7489999999999999E-3</v>
      </c>
      <c r="AO137">
        <v>1.751E-3</v>
      </c>
      <c r="AP137">
        <v>1.751E-3</v>
      </c>
      <c r="AQ137" s="6">
        <v>0.11</v>
      </c>
    </row>
    <row r="138" spans="1:43" x14ac:dyDescent="0.25">
      <c r="A138" t="s">
        <v>52</v>
      </c>
      <c r="B138" t="s">
        <v>52</v>
      </c>
      <c r="C138" t="s">
        <v>51</v>
      </c>
      <c r="D138" t="s">
        <v>264</v>
      </c>
      <c r="E138" t="s">
        <v>41</v>
      </c>
      <c r="I138">
        <v>5.5599999999999998E-3</v>
      </c>
      <c r="J138">
        <v>5.5599999999999998E-3</v>
      </c>
      <c r="K138">
        <v>5.2700000000000004E-3</v>
      </c>
      <c r="L138">
        <v>5.5420000000000001E-3</v>
      </c>
      <c r="M138">
        <v>5.6769999999999998E-3</v>
      </c>
      <c r="N138">
        <v>5.8609999999999999E-3</v>
      </c>
      <c r="O138">
        <v>5.8609999999999999E-3</v>
      </c>
      <c r="P138">
        <v>5.8609999999999999E-3</v>
      </c>
      <c r="Q138">
        <v>5.8609999999999999E-3</v>
      </c>
      <c r="R138">
        <v>5.8609999999999999E-3</v>
      </c>
      <c r="S138">
        <v>5.8609999999999999E-3</v>
      </c>
      <c r="T138">
        <v>5.8609999999999999E-3</v>
      </c>
      <c r="U138">
        <v>5.8609999999999999E-3</v>
      </c>
      <c r="V138">
        <v>5.8609999999999999E-3</v>
      </c>
      <c r="W138">
        <v>5.8609999999999999E-3</v>
      </c>
      <c r="X138">
        <v>5.8609999999999999E-3</v>
      </c>
      <c r="Y138">
        <v>5.8609999999999999E-3</v>
      </c>
      <c r="Z138">
        <v>5.8609999999999999E-3</v>
      </c>
      <c r="AA138">
        <v>5.8609999999999999E-3</v>
      </c>
      <c r="AB138">
        <v>5.8609999999999999E-3</v>
      </c>
      <c r="AC138">
        <v>5.8609999999999999E-3</v>
      </c>
      <c r="AD138">
        <v>5.8609999999999999E-3</v>
      </c>
      <c r="AE138">
        <v>5.8609999999999999E-3</v>
      </c>
      <c r="AF138">
        <v>5.8609999999999999E-3</v>
      </c>
      <c r="AG138">
        <v>5.8609999999999999E-3</v>
      </c>
      <c r="AH138">
        <v>5.8609999999999999E-3</v>
      </c>
      <c r="AI138">
        <v>5.8609999999999999E-3</v>
      </c>
      <c r="AJ138">
        <v>5.8609999999999999E-3</v>
      </c>
      <c r="AK138">
        <v>5.8609999999999999E-3</v>
      </c>
      <c r="AL138">
        <v>5.8609999999999999E-3</v>
      </c>
      <c r="AM138">
        <v>5.8609999999999999E-3</v>
      </c>
      <c r="AN138">
        <v>5.8609999999999999E-3</v>
      </c>
      <c r="AO138">
        <v>5.8609999999999999E-3</v>
      </c>
      <c r="AP138">
        <v>5.8609999999999999E-3</v>
      </c>
      <c r="AQ138" s="6">
        <v>0</v>
      </c>
    </row>
    <row r="139" spans="1:43" x14ac:dyDescent="0.25">
      <c r="A139" t="s">
        <v>50</v>
      </c>
      <c r="B139" t="s">
        <v>50</v>
      </c>
      <c r="C139" t="s">
        <v>49</v>
      </c>
      <c r="D139" t="s">
        <v>263</v>
      </c>
      <c r="E139" t="s">
        <v>41</v>
      </c>
      <c r="I139">
        <v>1.5768999999999998E-2</v>
      </c>
      <c r="J139">
        <v>1.5095000000000001E-2</v>
      </c>
      <c r="K139">
        <v>1.2452E-2</v>
      </c>
      <c r="L139">
        <v>3.336E-3</v>
      </c>
      <c r="M139">
        <v>3.6347999999999998E-2</v>
      </c>
      <c r="N139">
        <v>2.8097E-2</v>
      </c>
      <c r="O139">
        <v>3.3648999999999998E-2</v>
      </c>
      <c r="P139">
        <v>2.8708999999999998E-2</v>
      </c>
      <c r="Q139">
        <v>2.5423999999999999E-2</v>
      </c>
      <c r="R139">
        <v>2.6173999999999999E-2</v>
      </c>
      <c r="S139">
        <v>2.8792999999999999E-2</v>
      </c>
      <c r="T139">
        <v>3.0395999999999999E-2</v>
      </c>
      <c r="U139">
        <v>2.894E-2</v>
      </c>
      <c r="V139">
        <v>3.0436000000000001E-2</v>
      </c>
      <c r="W139">
        <v>2.8761999999999999E-2</v>
      </c>
      <c r="X139">
        <v>2.9464000000000001E-2</v>
      </c>
      <c r="Y139">
        <v>2.9794000000000001E-2</v>
      </c>
      <c r="Z139">
        <v>3.0054999999999998E-2</v>
      </c>
      <c r="AA139">
        <v>2.9288999999999999E-2</v>
      </c>
      <c r="AB139">
        <v>2.904E-2</v>
      </c>
      <c r="AC139">
        <v>2.9019E-2</v>
      </c>
      <c r="AD139">
        <v>2.9519E-2</v>
      </c>
      <c r="AE139">
        <v>2.9936999999999998E-2</v>
      </c>
      <c r="AF139">
        <v>3.0276000000000001E-2</v>
      </c>
      <c r="AG139">
        <v>2.9350000000000001E-2</v>
      </c>
      <c r="AH139">
        <v>2.9333000000000001E-2</v>
      </c>
      <c r="AI139">
        <v>2.8884E-2</v>
      </c>
      <c r="AJ139">
        <v>2.8348999999999999E-2</v>
      </c>
      <c r="AK139">
        <v>2.7817999999999999E-2</v>
      </c>
      <c r="AL139">
        <v>2.7212E-2</v>
      </c>
      <c r="AM139">
        <v>2.7113999999999999E-2</v>
      </c>
      <c r="AN139">
        <v>2.7382E-2</v>
      </c>
      <c r="AO139">
        <v>2.7088999999999998E-2</v>
      </c>
      <c r="AP139">
        <v>2.6698E-2</v>
      </c>
      <c r="AQ139" s="6">
        <v>2E-3</v>
      </c>
    </row>
    <row r="140" spans="1:43" x14ac:dyDescent="0.25">
      <c r="A140" t="s">
        <v>28</v>
      </c>
      <c r="B140" t="s">
        <v>28</v>
      </c>
      <c r="C140" t="s">
        <v>48</v>
      </c>
      <c r="D140" t="s">
        <v>262</v>
      </c>
      <c r="E140" t="s">
        <v>41</v>
      </c>
      <c r="I140">
        <v>11.602622999999999</v>
      </c>
      <c r="J140">
        <v>11.782988</v>
      </c>
      <c r="K140">
        <v>11.647322000000001</v>
      </c>
      <c r="L140">
        <v>10.51674</v>
      </c>
      <c r="M140">
        <v>10.864329</v>
      </c>
      <c r="N140">
        <v>10.866248000000001</v>
      </c>
      <c r="O140">
        <v>10.981170000000001</v>
      </c>
      <c r="P140">
        <v>10.772975000000001</v>
      </c>
      <c r="Q140">
        <v>10.805732000000001</v>
      </c>
      <c r="R140">
        <v>10.742813</v>
      </c>
      <c r="S140">
        <v>10.732552999999999</v>
      </c>
      <c r="T140">
        <v>10.817537</v>
      </c>
      <c r="U140">
        <v>10.820743999999999</v>
      </c>
      <c r="V140">
        <v>10.770921</v>
      </c>
      <c r="W140">
        <v>10.736113</v>
      </c>
      <c r="X140">
        <v>10.766133999999999</v>
      </c>
      <c r="Y140">
        <v>10.775891</v>
      </c>
      <c r="Z140">
        <v>10.777837</v>
      </c>
      <c r="AA140">
        <v>10.757645</v>
      </c>
      <c r="AB140">
        <v>10.784274</v>
      </c>
      <c r="AC140">
        <v>10.820758</v>
      </c>
      <c r="AD140">
        <v>10.879458</v>
      </c>
      <c r="AE140">
        <v>10.927405</v>
      </c>
      <c r="AF140">
        <v>11.041829</v>
      </c>
      <c r="AG140">
        <v>11.087146000000001</v>
      </c>
      <c r="AH140">
        <v>11.145037</v>
      </c>
      <c r="AI140">
        <v>11.176287</v>
      </c>
      <c r="AJ140">
        <v>11.249923000000001</v>
      </c>
      <c r="AK140">
        <v>11.354952000000001</v>
      </c>
      <c r="AL140">
        <v>11.279806000000001</v>
      </c>
      <c r="AM140">
        <v>11.323789</v>
      </c>
      <c r="AN140">
        <v>11.420603</v>
      </c>
      <c r="AO140">
        <v>11.467283999999999</v>
      </c>
      <c r="AP140">
        <v>11.558851000000001</v>
      </c>
      <c r="AQ140" s="6">
        <v>1E-3</v>
      </c>
    </row>
    <row r="141" spans="1:43" x14ac:dyDescent="0.25">
      <c r="A141" t="s">
        <v>1</v>
      </c>
      <c r="B141" t="s">
        <v>1</v>
      </c>
      <c r="D141" t="s">
        <v>261</v>
      </c>
    </row>
    <row r="142" spans="1:43" x14ac:dyDescent="0.25">
      <c r="A142" t="s">
        <v>47</v>
      </c>
      <c r="B142" t="s">
        <v>47</v>
      </c>
      <c r="C142" t="s">
        <v>46</v>
      </c>
      <c r="D142" t="s">
        <v>260</v>
      </c>
      <c r="E142" t="s">
        <v>41</v>
      </c>
      <c r="I142">
        <v>9.4579419999999992</v>
      </c>
      <c r="J142">
        <v>9.6013710000000003</v>
      </c>
      <c r="K142">
        <v>9.6055220000000006</v>
      </c>
      <c r="L142">
        <v>8.5675439999999998</v>
      </c>
      <c r="M142">
        <v>8.9983979999999999</v>
      </c>
      <c r="N142">
        <v>8.9423259999999996</v>
      </c>
      <c r="O142">
        <v>9.0022040000000008</v>
      </c>
      <c r="P142">
        <v>8.7874529999999993</v>
      </c>
      <c r="Q142">
        <v>8.7790459999999992</v>
      </c>
      <c r="R142">
        <v>8.7858260000000001</v>
      </c>
      <c r="S142">
        <v>8.7815010000000004</v>
      </c>
      <c r="T142">
        <v>8.8219209999999997</v>
      </c>
      <c r="U142">
        <v>8.8107670000000002</v>
      </c>
      <c r="V142">
        <v>8.7859780000000001</v>
      </c>
      <c r="W142">
        <v>8.7439330000000002</v>
      </c>
      <c r="X142">
        <v>8.7290170000000007</v>
      </c>
      <c r="Y142">
        <v>8.7027789999999996</v>
      </c>
      <c r="Z142">
        <v>8.6912850000000006</v>
      </c>
      <c r="AA142">
        <v>8.6683439999999994</v>
      </c>
      <c r="AB142">
        <v>8.6633139999999997</v>
      </c>
      <c r="AC142">
        <v>8.6672650000000004</v>
      </c>
      <c r="AD142">
        <v>8.6764770000000002</v>
      </c>
      <c r="AE142">
        <v>8.7066970000000001</v>
      </c>
      <c r="AF142">
        <v>8.729571</v>
      </c>
      <c r="AG142">
        <v>8.7658020000000008</v>
      </c>
      <c r="AH142">
        <v>8.7957529999999995</v>
      </c>
      <c r="AI142">
        <v>8.8150060000000003</v>
      </c>
      <c r="AJ142">
        <v>8.8614560000000004</v>
      </c>
      <c r="AK142">
        <v>8.9024199999999993</v>
      </c>
      <c r="AL142">
        <v>8.8518889999999999</v>
      </c>
      <c r="AM142">
        <v>8.8843709999999998</v>
      </c>
      <c r="AN142">
        <v>8.9629910000000006</v>
      </c>
      <c r="AO142">
        <v>9.0135860000000001</v>
      </c>
      <c r="AP142">
        <v>9.0692009999999996</v>
      </c>
      <c r="AQ142" s="6">
        <v>1E-3</v>
      </c>
    </row>
    <row r="143" spans="1:43" x14ac:dyDescent="0.25">
      <c r="A143" t="s">
        <v>45</v>
      </c>
      <c r="B143" t="s">
        <v>45</v>
      </c>
      <c r="C143" t="s">
        <v>44</v>
      </c>
      <c r="D143" t="s">
        <v>259</v>
      </c>
      <c r="E143" t="s">
        <v>41</v>
      </c>
      <c r="I143">
        <v>11.602622999999999</v>
      </c>
      <c r="J143">
        <v>11.782988</v>
      </c>
      <c r="K143">
        <v>11.647322000000001</v>
      </c>
      <c r="L143">
        <v>10.51674</v>
      </c>
      <c r="M143">
        <v>10.864329</v>
      </c>
      <c r="N143">
        <v>10.866248000000001</v>
      </c>
      <c r="O143">
        <v>10.981170000000001</v>
      </c>
      <c r="P143">
        <v>10.772975000000001</v>
      </c>
      <c r="Q143">
        <v>10.805732000000001</v>
      </c>
      <c r="R143">
        <v>10.742813</v>
      </c>
      <c r="S143">
        <v>10.732552999999999</v>
      </c>
      <c r="T143">
        <v>10.817537</v>
      </c>
      <c r="U143">
        <v>10.820743999999999</v>
      </c>
      <c r="V143">
        <v>10.770921</v>
      </c>
      <c r="W143">
        <v>10.736113</v>
      </c>
      <c r="X143">
        <v>10.766133999999999</v>
      </c>
      <c r="Y143">
        <v>10.775891</v>
      </c>
      <c r="Z143">
        <v>10.777837</v>
      </c>
      <c r="AA143">
        <v>10.757645</v>
      </c>
      <c r="AB143">
        <v>10.784274</v>
      </c>
      <c r="AC143">
        <v>10.820758</v>
      </c>
      <c r="AD143">
        <v>10.879458</v>
      </c>
      <c r="AE143">
        <v>10.927405</v>
      </c>
      <c r="AF143">
        <v>11.041829</v>
      </c>
      <c r="AG143">
        <v>11.087146000000001</v>
      </c>
      <c r="AH143">
        <v>11.145037</v>
      </c>
      <c r="AI143">
        <v>11.176287</v>
      </c>
      <c r="AJ143">
        <v>11.249923000000001</v>
      </c>
      <c r="AK143">
        <v>11.354952000000001</v>
      </c>
      <c r="AL143">
        <v>11.279806000000001</v>
      </c>
      <c r="AM143">
        <v>11.323789</v>
      </c>
      <c r="AN143">
        <v>11.420603</v>
      </c>
      <c r="AO143">
        <v>11.467283999999999</v>
      </c>
      <c r="AP143">
        <v>11.558851000000001</v>
      </c>
      <c r="AQ143" s="6">
        <v>1E-3</v>
      </c>
    </row>
    <row r="144" spans="1:43" x14ac:dyDescent="0.25">
      <c r="A144" t="s">
        <v>809</v>
      </c>
      <c r="B144" t="s">
        <v>43</v>
      </c>
      <c r="C144" t="s">
        <v>42</v>
      </c>
      <c r="D144" t="s">
        <v>258</v>
      </c>
      <c r="E144" t="s">
        <v>41</v>
      </c>
      <c r="I144">
        <v>0.17319100000000001</v>
      </c>
      <c r="J144">
        <v>0.18026500000000001</v>
      </c>
      <c r="K144">
        <v>0.176757</v>
      </c>
      <c r="L144">
        <v>0.15634000000000001</v>
      </c>
      <c r="M144">
        <v>0.16456599999999999</v>
      </c>
      <c r="N144">
        <v>0.153201</v>
      </c>
      <c r="O144">
        <v>0.15414700000000001</v>
      </c>
      <c r="P144">
        <v>0.153558</v>
      </c>
      <c r="Q144">
        <v>0.15026900000000001</v>
      </c>
      <c r="R144">
        <v>0.147177</v>
      </c>
      <c r="S144">
        <v>0.144175</v>
      </c>
      <c r="T144">
        <v>0.14090800000000001</v>
      </c>
      <c r="U144">
        <v>0.137322</v>
      </c>
      <c r="V144">
        <v>0.133522</v>
      </c>
      <c r="W144">
        <v>0.12998799999999999</v>
      </c>
      <c r="X144">
        <v>0.12650400000000001</v>
      </c>
      <c r="Y144">
        <v>0.12341199999999999</v>
      </c>
      <c r="Z144">
        <v>0.120532</v>
      </c>
      <c r="AA144">
        <v>0.11770600000000001</v>
      </c>
      <c r="AB144">
        <v>0.114935</v>
      </c>
      <c r="AC144">
        <v>0.11244999999999999</v>
      </c>
      <c r="AD144">
        <v>0.11024</v>
      </c>
      <c r="AE144">
        <v>0.10823099999999999</v>
      </c>
      <c r="AF144">
        <v>0.106559</v>
      </c>
      <c r="AG144">
        <v>0.105092</v>
      </c>
      <c r="AH144">
        <v>0.10386099999999999</v>
      </c>
      <c r="AI144">
        <v>0.102839</v>
      </c>
      <c r="AJ144">
        <v>0.102058</v>
      </c>
      <c r="AK144">
        <v>0.101491</v>
      </c>
      <c r="AL144">
        <v>0.101101</v>
      </c>
      <c r="AM144">
        <v>0.10095999999999999</v>
      </c>
      <c r="AN144">
        <v>0.100927</v>
      </c>
      <c r="AO144">
        <v>0.100997</v>
      </c>
      <c r="AP144">
        <v>0.101268</v>
      </c>
      <c r="AQ144" s="6">
        <v>-1.2E-2</v>
      </c>
    </row>
    <row r="145" spans="1:43" x14ac:dyDescent="0.25">
      <c r="A145" t="s">
        <v>40</v>
      </c>
      <c r="B145" t="s">
        <v>40</v>
      </c>
      <c r="C145" t="s">
        <v>39</v>
      </c>
      <c r="D145" t="s">
        <v>257</v>
      </c>
      <c r="E145" t="s">
        <v>38</v>
      </c>
      <c r="I145">
        <v>53.473274000000004</v>
      </c>
      <c r="J145">
        <v>53.976073999999997</v>
      </c>
      <c r="K145">
        <v>54.506439</v>
      </c>
      <c r="L145">
        <v>54.504367999999999</v>
      </c>
      <c r="M145">
        <v>54.851779999999998</v>
      </c>
      <c r="N145">
        <v>55.109805999999999</v>
      </c>
      <c r="O145">
        <v>55.405033000000003</v>
      </c>
      <c r="P145">
        <v>55.734596000000003</v>
      </c>
      <c r="Q145">
        <v>56.068306</v>
      </c>
      <c r="R145">
        <v>56.400547000000003</v>
      </c>
      <c r="S145">
        <v>56.733761000000001</v>
      </c>
      <c r="T145">
        <v>57.067005000000002</v>
      </c>
      <c r="U145">
        <v>57.400013000000001</v>
      </c>
      <c r="V145">
        <v>57.732944000000003</v>
      </c>
      <c r="W145">
        <v>58.059967</v>
      </c>
      <c r="X145">
        <v>58.379508999999999</v>
      </c>
      <c r="Y145">
        <v>58.691082000000002</v>
      </c>
      <c r="Z145">
        <v>58.992924000000002</v>
      </c>
      <c r="AA145">
        <v>59.284641000000001</v>
      </c>
      <c r="AB145">
        <v>59.567055000000003</v>
      </c>
      <c r="AC145">
        <v>59.842094000000003</v>
      </c>
      <c r="AD145">
        <v>60.110984999999999</v>
      </c>
      <c r="AE145">
        <v>60.374592</v>
      </c>
      <c r="AF145">
        <v>60.634369</v>
      </c>
      <c r="AG145">
        <v>60.891468000000003</v>
      </c>
      <c r="AH145">
        <v>61.147086999999999</v>
      </c>
      <c r="AI145">
        <v>61.401691</v>
      </c>
      <c r="AJ145">
        <v>61.655707999999997</v>
      </c>
      <c r="AK145">
        <v>61.908855000000003</v>
      </c>
      <c r="AL145">
        <v>62.158408999999999</v>
      </c>
      <c r="AM145">
        <v>62.400348999999999</v>
      </c>
      <c r="AN145">
        <v>62.635508999999999</v>
      </c>
      <c r="AO145">
        <v>62.871361</v>
      </c>
      <c r="AP145">
        <v>63.113171000000001</v>
      </c>
      <c r="AQ145" s="6">
        <v>6.0000000000000001E-3</v>
      </c>
    </row>
    <row r="146" spans="1:43" x14ac:dyDescent="0.25">
      <c r="A146" t="s">
        <v>810</v>
      </c>
      <c r="B146" t="s">
        <v>37</v>
      </c>
      <c r="C146" t="s">
        <v>36</v>
      </c>
      <c r="D146" t="s">
        <v>256</v>
      </c>
      <c r="E146" t="s">
        <v>35</v>
      </c>
      <c r="I146">
        <v>17096.179688</v>
      </c>
      <c r="J146">
        <v>17581.587890999999</v>
      </c>
      <c r="K146">
        <v>19061.34375</v>
      </c>
      <c r="L146">
        <v>18171.386718999998</v>
      </c>
      <c r="M146">
        <v>19438.871093999998</v>
      </c>
      <c r="N146">
        <v>19750.261718999998</v>
      </c>
      <c r="O146">
        <v>19903.289062</v>
      </c>
      <c r="P146">
        <v>20095.435547000001</v>
      </c>
      <c r="Q146">
        <v>20409.421875</v>
      </c>
      <c r="R146">
        <v>20840.714843999998</v>
      </c>
      <c r="S146">
        <v>21273.421875</v>
      </c>
      <c r="T146">
        <v>21681.255859000001</v>
      </c>
      <c r="U146">
        <v>22051.705077999999</v>
      </c>
      <c r="V146">
        <v>22391.814452999999</v>
      </c>
      <c r="W146">
        <v>22742.044922000001</v>
      </c>
      <c r="X146">
        <v>23153.001952999999</v>
      </c>
      <c r="Y146">
        <v>23603.867188</v>
      </c>
      <c r="Z146">
        <v>24055.123047000001</v>
      </c>
      <c r="AA146">
        <v>24510.957031000002</v>
      </c>
      <c r="AB146">
        <v>24995.804688</v>
      </c>
      <c r="AC146">
        <v>25506.921875</v>
      </c>
      <c r="AD146">
        <v>26032.332031000002</v>
      </c>
      <c r="AE146">
        <v>26566.107422000001</v>
      </c>
      <c r="AF146">
        <v>27148.945312</v>
      </c>
      <c r="AG146">
        <v>27734.087890999999</v>
      </c>
      <c r="AH146">
        <v>28324.492188</v>
      </c>
      <c r="AI146">
        <v>28926.738281000002</v>
      </c>
      <c r="AJ146">
        <v>29527.414062</v>
      </c>
      <c r="AK146">
        <v>30130</v>
      </c>
      <c r="AL146">
        <v>30747.568359000001</v>
      </c>
      <c r="AM146">
        <v>31389.150390999999</v>
      </c>
      <c r="AN146">
        <v>32039.970702999999</v>
      </c>
      <c r="AO146">
        <v>32698.533202999999</v>
      </c>
      <c r="AP146">
        <v>33404.984375</v>
      </c>
      <c r="AQ146" s="6">
        <v>1.9E-2</v>
      </c>
    </row>
    <row r="147" spans="1:43" x14ac:dyDescent="0.25">
      <c r="A147" t="s">
        <v>34</v>
      </c>
      <c r="B147" t="s">
        <v>34</v>
      </c>
      <c r="D147" t="s">
        <v>255</v>
      </c>
    </row>
    <row r="148" spans="1:43" x14ac:dyDescent="0.25">
      <c r="A148" t="s">
        <v>33</v>
      </c>
      <c r="B148" t="s">
        <v>33</v>
      </c>
      <c r="C148" t="s">
        <v>32</v>
      </c>
      <c r="D148" t="s">
        <v>254</v>
      </c>
      <c r="E148" t="s">
        <v>31</v>
      </c>
      <c r="I148">
        <v>548.44409199999996</v>
      </c>
      <c r="J148">
        <v>558.13116500000001</v>
      </c>
      <c r="K148">
        <v>552.03271500000005</v>
      </c>
      <c r="L148">
        <v>468.78430200000003</v>
      </c>
      <c r="M148">
        <v>486.764771</v>
      </c>
      <c r="N148">
        <v>489.35961900000001</v>
      </c>
      <c r="O148">
        <v>481.50314300000002</v>
      </c>
      <c r="P148">
        <v>465.44329800000003</v>
      </c>
      <c r="Q148">
        <v>465.56774899999999</v>
      </c>
      <c r="R148">
        <v>464.371216</v>
      </c>
      <c r="S148">
        <v>461.67245500000001</v>
      </c>
      <c r="T148">
        <v>464.09643599999998</v>
      </c>
      <c r="U148">
        <v>460.59042399999998</v>
      </c>
      <c r="V148">
        <v>455.278076</v>
      </c>
      <c r="W148">
        <v>449.09970099999998</v>
      </c>
      <c r="X148">
        <v>444.22909499999997</v>
      </c>
      <c r="Y148">
        <v>441.48614500000002</v>
      </c>
      <c r="Z148">
        <v>438.809662</v>
      </c>
      <c r="AA148">
        <v>435.20541400000002</v>
      </c>
      <c r="AB148">
        <v>433.80676299999999</v>
      </c>
      <c r="AC148">
        <v>431.906586</v>
      </c>
      <c r="AD148">
        <v>431.09899899999999</v>
      </c>
      <c r="AE148">
        <v>431.34011800000002</v>
      </c>
      <c r="AF148">
        <v>431.51733400000001</v>
      </c>
      <c r="AG148">
        <v>432.05664100000001</v>
      </c>
      <c r="AH148">
        <v>432.41473400000001</v>
      </c>
      <c r="AI148">
        <v>431.70916699999998</v>
      </c>
      <c r="AJ148">
        <v>432.716431</v>
      </c>
      <c r="AK148">
        <v>434.25363199999998</v>
      </c>
      <c r="AL148">
        <v>428.03173800000002</v>
      </c>
      <c r="AM148">
        <v>429.86303700000002</v>
      </c>
      <c r="AN148">
        <v>434.42923000000002</v>
      </c>
      <c r="AO148">
        <v>436.21435500000001</v>
      </c>
      <c r="AP148">
        <v>438.34979199999998</v>
      </c>
      <c r="AQ148" s="6">
        <v>-3.0000000000000001E-3</v>
      </c>
    </row>
  </sheetData>
  <hyperlinks>
    <hyperlink ref="B2" r:id="rId1" location="/?id=2-AEO2020&amp;region=1-9&amp;cases=ref2020&amp;start=2018&amp;end=2050&amp;f=A&amp;linechart=ref2020-d112119a.3-2-AEO2020.1-9&amp;map=ref2020-d112119a.5-2-AEO2020.1-9&amp;sourcekey=0" xr:uid="{00000000-0004-0000-06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48"/>
  <sheetViews>
    <sheetView zoomScale="75" zoomScaleNormal="75" workbookViewId="0">
      <selection activeCell="N8" sqref="N8:AP48"/>
    </sheetView>
  </sheetViews>
  <sheetFormatPr defaultRowHeight="15" x14ac:dyDescent="0.25"/>
  <cols>
    <col min="1" max="1" width="38.28515625" customWidth="1"/>
    <col min="2" max="2" width="43.28515625" customWidth="1"/>
    <col min="3" max="3" width="94.85546875" bestFit="1" customWidth="1"/>
  </cols>
  <sheetData>
    <row r="1" spans="1:42" x14ac:dyDescent="0.25">
      <c r="A1" t="s">
        <v>591</v>
      </c>
      <c r="B1" t="s">
        <v>591</v>
      </c>
    </row>
    <row r="2" spans="1:42" x14ac:dyDescent="0.25">
      <c r="A2" t="s">
        <v>811</v>
      </c>
      <c r="B2" s="70" t="s">
        <v>592</v>
      </c>
    </row>
    <row r="3" spans="1:42" x14ac:dyDescent="0.25">
      <c r="A3" t="s">
        <v>812</v>
      </c>
      <c r="B3" t="s">
        <v>593</v>
      </c>
    </row>
    <row r="4" spans="1:42" x14ac:dyDescent="0.25">
      <c r="A4" t="s">
        <v>214</v>
      </c>
      <c r="B4" t="s">
        <v>214</v>
      </c>
    </row>
    <row r="5" spans="1:42" x14ac:dyDescent="0.25">
      <c r="C5" t="s">
        <v>213</v>
      </c>
      <c r="D5" t="s">
        <v>212</v>
      </c>
      <c r="E5" t="s">
        <v>9</v>
      </c>
      <c r="F5">
        <v>2014</v>
      </c>
      <c r="G5">
        <v>2015</v>
      </c>
      <c r="H5">
        <v>2016</v>
      </c>
      <c r="I5">
        <v>2017</v>
      </c>
      <c r="J5">
        <v>2018</v>
      </c>
      <c r="K5">
        <v>2019</v>
      </c>
      <c r="L5">
        <v>2020</v>
      </c>
      <c r="M5">
        <v>2021</v>
      </c>
      <c r="N5">
        <v>2022</v>
      </c>
      <c r="O5">
        <v>2023</v>
      </c>
      <c r="P5">
        <v>2024</v>
      </c>
      <c r="Q5">
        <v>2025</v>
      </c>
      <c r="R5">
        <v>2026</v>
      </c>
      <c r="S5">
        <v>2027</v>
      </c>
      <c r="T5">
        <v>2028</v>
      </c>
      <c r="U5">
        <v>2029</v>
      </c>
      <c r="V5">
        <v>2030</v>
      </c>
      <c r="W5">
        <v>2031</v>
      </c>
      <c r="X5">
        <v>2032</v>
      </c>
      <c r="Y5">
        <v>2033</v>
      </c>
      <c r="Z5">
        <v>2034</v>
      </c>
      <c r="AA5">
        <v>2035</v>
      </c>
      <c r="AB5">
        <v>2036</v>
      </c>
      <c r="AC5">
        <v>2037</v>
      </c>
      <c r="AD5">
        <v>2038</v>
      </c>
      <c r="AE5">
        <v>2039</v>
      </c>
      <c r="AF5">
        <v>2040</v>
      </c>
      <c r="AG5">
        <v>2041</v>
      </c>
      <c r="AH5">
        <v>2042</v>
      </c>
      <c r="AI5">
        <v>2043</v>
      </c>
      <c r="AJ5">
        <v>2044</v>
      </c>
      <c r="AK5">
        <v>2045</v>
      </c>
      <c r="AL5">
        <v>2046</v>
      </c>
      <c r="AM5">
        <v>2047</v>
      </c>
      <c r="AN5">
        <v>2048</v>
      </c>
      <c r="AO5">
        <v>2049</v>
      </c>
      <c r="AP5">
        <v>2050</v>
      </c>
    </row>
    <row r="6" spans="1:42" x14ac:dyDescent="0.25">
      <c r="A6" t="s">
        <v>813</v>
      </c>
      <c r="B6" t="s">
        <v>506</v>
      </c>
    </row>
    <row r="7" spans="1:42" x14ac:dyDescent="0.25">
      <c r="B7" t="s">
        <v>505</v>
      </c>
      <c r="D7" t="s">
        <v>504</v>
      </c>
    </row>
    <row r="8" spans="1:42" x14ac:dyDescent="0.25">
      <c r="A8" t="s">
        <v>503</v>
      </c>
      <c r="B8" t="s">
        <v>503</v>
      </c>
      <c r="C8" t="s">
        <v>502</v>
      </c>
      <c r="D8" t="s">
        <v>501</v>
      </c>
      <c r="E8" t="s">
        <v>41</v>
      </c>
      <c r="I8">
        <v>0.36779099999999998</v>
      </c>
      <c r="J8">
        <v>0.43935099999999999</v>
      </c>
      <c r="K8">
        <v>0.52879799999999999</v>
      </c>
      <c r="L8">
        <v>0.45751199999999997</v>
      </c>
      <c r="M8">
        <v>0.46377800000000002</v>
      </c>
      <c r="N8">
        <v>0.53893199999999997</v>
      </c>
      <c r="O8">
        <v>0.57440999999999998</v>
      </c>
      <c r="P8">
        <v>0.51306799999999997</v>
      </c>
      <c r="Q8">
        <v>0.48986400000000002</v>
      </c>
      <c r="R8">
        <v>0.47216399999999997</v>
      </c>
      <c r="S8">
        <v>0.45763999999999999</v>
      </c>
      <c r="T8">
        <v>0.44519999999999998</v>
      </c>
      <c r="U8">
        <v>0.435137</v>
      </c>
      <c r="V8">
        <v>0.42601699999999998</v>
      </c>
      <c r="W8">
        <v>0.41791</v>
      </c>
      <c r="X8">
        <v>0.409804</v>
      </c>
      <c r="Y8">
        <v>0.40263100000000002</v>
      </c>
      <c r="Z8">
        <v>0.39503899999999997</v>
      </c>
      <c r="AA8">
        <v>0.38751400000000003</v>
      </c>
      <c r="AB8">
        <v>0.37993500000000002</v>
      </c>
      <c r="AC8">
        <v>0.37285699999999999</v>
      </c>
      <c r="AD8">
        <v>0.36608299999999999</v>
      </c>
      <c r="AE8">
        <v>0.35957499999999998</v>
      </c>
      <c r="AF8">
        <v>0.35324100000000003</v>
      </c>
      <c r="AG8">
        <v>0.34762199999999999</v>
      </c>
      <c r="AH8">
        <v>0.34207100000000001</v>
      </c>
      <c r="AI8">
        <v>0.33705400000000002</v>
      </c>
      <c r="AJ8">
        <v>0.332011</v>
      </c>
      <c r="AK8">
        <v>0.327538</v>
      </c>
      <c r="AL8">
        <v>0.32387199999999999</v>
      </c>
      <c r="AM8">
        <v>0.32008300000000001</v>
      </c>
      <c r="AN8">
        <v>0.31608900000000001</v>
      </c>
      <c r="AO8">
        <v>0.31211100000000003</v>
      </c>
      <c r="AP8">
        <v>0.30802400000000002</v>
      </c>
    </row>
    <row r="9" spans="1:42" x14ac:dyDescent="0.25">
      <c r="A9" t="s">
        <v>500</v>
      </c>
      <c r="B9" t="s">
        <v>500</v>
      </c>
      <c r="C9" t="s">
        <v>499</v>
      </c>
      <c r="D9" t="s">
        <v>498</v>
      </c>
      <c r="E9" t="s">
        <v>41</v>
      </c>
      <c r="I9">
        <v>0.141097</v>
      </c>
      <c r="J9">
        <v>0.141097</v>
      </c>
      <c r="K9">
        <v>0.13072</v>
      </c>
      <c r="L9">
        <v>0.131216</v>
      </c>
      <c r="M9">
        <v>0.124386</v>
      </c>
      <c r="N9">
        <v>0.120805</v>
      </c>
      <c r="O9">
        <v>0.120805</v>
      </c>
      <c r="P9">
        <v>0.120805</v>
      </c>
      <c r="Q9">
        <v>0.120805</v>
      </c>
      <c r="R9">
        <v>0.120805</v>
      </c>
      <c r="S9">
        <v>0.120805</v>
      </c>
      <c r="T9">
        <v>0.120805</v>
      </c>
      <c r="U9">
        <v>0.120805</v>
      </c>
      <c r="V9">
        <v>0.120805</v>
      </c>
      <c r="W9">
        <v>0.120805</v>
      </c>
      <c r="X9">
        <v>0.120805</v>
      </c>
      <c r="Y9">
        <v>0.120805</v>
      </c>
      <c r="Z9">
        <v>0.120805</v>
      </c>
      <c r="AA9">
        <v>0.120805</v>
      </c>
      <c r="AB9">
        <v>0.120805</v>
      </c>
      <c r="AC9">
        <v>0.120805</v>
      </c>
      <c r="AD9">
        <v>0.120805</v>
      </c>
      <c r="AE9">
        <v>0.120805</v>
      </c>
      <c r="AF9">
        <v>0.120805</v>
      </c>
      <c r="AG9">
        <v>0.120805</v>
      </c>
      <c r="AH9">
        <v>0.120805</v>
      </c>
      <c r="AI9">
        <v>0.120805</v>
      </c>
      <c r="AJ9">
        <v>0.120805</v>
      </c>
      <c r="AK9">
        <v>0.120805</v>
      </c>
      <c r="AL9">
        <v>0.120805</v>
      </c>
      <c r="AM9">
        <v>0.120805</v>
      </c>
      <c r="AN9">
        <v>0.120805</v>
      </c>
      <c r="AO9">
        <v>0.120805</v>
      </c>
      <c r="AP9">
        <v>0.120805</v>
      </c>
    </row>
    <row r="10" spans="1:42" x14ac:dyDescent="0.25">
      <c r="A10" t="s">
        <v>186</v>
      </c>
      <c r="B10" t="s">
        <v>186</v>
      </c>
      <c r="C10" t="s">
        <v>497</v>
      </c>
      <c r="D10" t="s">
        <v>496</v>
      </c>
      <c r="E10" t="s">
        <v>41</v>
      </c>
      <c r="I10">
        <v>2.4297200000000001</v>
      </c>
      <c r="J10">
        <v>2.4196249999999999</v>
      </c>
      <c r="K10">
        <v>2.5275859999999999</v>
      </c>
      <c r="L10">
        <v>2.4349829999999999</v>
      </c>
      <c r="M10">
        <v>2.4966439999999999</v>
      </c>
      <c r="N10">
        <v>2.4188489999999998</v>
      </c>
      <c r="O10">
        <v>2.5582929999999999</v>
      </c>
      <c r="P10">
        <v>2.454399</v>
      </c>
      <c r="Q10">
        <v>2.4587829999999999</v>
      </c>
      <c r="R10">
        <v>2.4619360000000001</v>
      </c>
      <c r="S10">
        <v>2.4690829999999999</v>
      </c>
      <c r="T10">
        <v>2.4846270000000001</v>
      </c>
      <c r="U10">
        <v>2.4918010000000002</v>
      </c>
      <c r="V10">
        <v>2.4948260000000002</v>
      </c>
      <c r="W10">
        <v>2.5005679999999999</v>
      </c>
      <c r="X10">
        <v>2.5099770000000001</v>
      </c>
      <c r="Y10">
        <v>2.5213960000000002</v>
      </c>
      <c r="Z10">
        <v>2.5349650000000001</v>
      </c>
      <c r="AA10">
        <v>2.553261</v>
      </c>
      <c r="AB10">
        <v>2.557693</v>
      </c>
      <c r="AC10">
        <v>2.5674959999999998</v>
      </c>
      <c r="AD10">
        <v>2.576616</v>
      </c>
      <c r="AE10">
        <v>2.5888149999999999</v>
      </c>
      <c r="AF10">
        <v>2.604867</v>
      </c>
      <c r="AG10">
        <v>2.6301209999999999</v>
      </c>
      <c r="AH10">
        <v>2.6482429999999999</v>
      </c>
      <c r="AI10">
        <v>2.6648510000000001</v>
      </c>
      <c r="AJ10">
        <v>2.6717409999999999</v>
      </c>
      <c r="AK10">
        <v>2.681419</v>
      </c>
      <c r="AL10">
        <v>2.6979250000000001</v>
      </c>
      <c r="AM10">
        <v>2.720405</v>
      </c>
      <c r="AN10">
        <v>2.747052</v>
      </c>
      <c r="AO10">
        <v>2.763744</v>
      </c>
      <c r="AP10">
        <v>2.7854899999999998</v>
      </c>
    </row>
    <row r="11" spans="1:42" x14ac:dyDescent="0.25">
      <c r="A11" t="s">
        <v>464</v>
      </c>
      <c r="B11" t="s">
        <v>464</v>
      </c>
      <c r="C11" t="s">
        <v>495</v>
      </c>
      <c r="D11" t="s">
        <v>494</v>
      </c>
      <c r="E11" t="s">
        <v>41</v>
      </c>
      <c r="I11">
        <v>5.2400000000000005E-4</v>
      </c>
      <c r="J11">
        <v>1.1069999999999999E-3</v>
      </c>
      <c r="K11">
        <v>8.2700000000000004E-4</v>
      </c>
      <c r="L11">
        <v>1.2289E-2</v>
      </c>
      <c r="M11">
        <v>1.0519000000000001E-2</v>
      </c>
      <c r="N11">
        <v>1.0773E-2</v>
      </c>
      <c r="O11">
        <v>1.0913000000000001E-2</v>
      </c>
      <c r="P11">
        <v>1.0874999999999999E-2</v>
      </c>
      <c r="Q11">
        <v>1.0836999999999999E-2</v>
      </c>
      <c r="R11">
        <v>1.0801E-2</v>
      </c>
      <c r="S11">
        <v>1.0767000000000001E-2</v>
      </c>
      <c r="T11">
        <v>1.0736000000000001E-2</v>
      </c>
      <c r="U11">
        <v>1.0707E-2</v>
      </c>
      <c r="V11">
        <v>1.0682000000000001E-2</v>
      </c>
      <c r="W11">
        <v>1.0661E-2</v>
      </c>
      <c r="X11">
        <v>1.0644000000000001E-2</v>
      </c>
      <c r="Y11">
        <v>1.0632000000000001E-2</v>
      </c>
      <c r="Z11">
        <v>1.0624E-2</v>
      </c>
      <c r="AA11">
        <v>1.0621999999999999E-2</v>
      </c>
      <c r="AB11">
        <v>1.0621999999999999E-2</v>
      </c>
      <c r="AC11">
        <v>1.0621999999999999E-2</v>
      </c>
      <c r="AD11">
        <v>1.0621999999999999E-2</v>
      </c>
      <c r="AE11">
        <v>1.0621999999999999E-2</v>
      </c>
      <c r="AF11">
        <v>1.0621999999999999E-2</v>
      </c>
      <c r="AG11">
        <v>1.0621999999999999E-2</v>
      </c>
      <c r="AH11">
        <v>1.0621999999999999E-2</v>
      </c>
      <c r="AI11">
        <v>1.0621999999999999E-2</v>
      </c>
      <c r="AJ11">
        <v>1.0621999999999999E-2</v>
      </c>
      <c r="AK11">
        <v>1.0621999999999999E-2</v>
      </c>
      <c r="AL11">
        <v>1.0621999999999999E-2</v>
      </c>
      <c r="AM11">
        <v>1.0621999999999999E-2</v>
      </c>
      <c r="AN11">
        <v>1.0621999999999999E-2</v>
      </c>
      <c r="AO11">
        <v>1.0621999999999999E-2</v>
      </c>
      <c r="AP11">
        <v>1.0621999999999999E-2</v>
      </c>
    </row>
    <row r="12" spans="1:42" x14ac:dyDescent="0.25">
      <c r="A12" t="s">
        <v>493</v>
      </c>
      <c r="B12" t="s">
        <v>493</v>
      </c>
      <c r="C12" t="s">
        <v>492</v>
      </c>
      <c r="D12" t="s">
        <v>491</v>
      </c>
      <c r="E12" t="s">
        <v>41</v>
      </c>
      <c r="I12">
        <v>0.1653</v>
      </c>
      <c r="J12">
        <v>0.16800000000000001</v>
      </c>
      <c r="K12">
        <v>0.16470000000000001</v>
      </c>
      <c r="L12">
        <v>0.16345499999999999</v>
      </c>
      <c r="M12">
        <v>0.156335</v>
      </c>
      <c r="N12">
        <v>0.161768</v>
      </c>
      <c r="O12">
        <v>0.15997600000000001</v>
      </c>
      <c r="P12">
        <v>0.16036500000000001</v>
      </c>
      <c r="Q12">
        <v>0.16234000000000001</v>
      </c>
      <c r="R12">
        <v>0.164713</v>
      </c>
      <c r="S12">
        <v>0.16667599999999999</v>
      </c>
      <c r="T12">
        <v>0.16775599999999999</v>
      </c>
      <c r="U12">
        <v>0.167014</v>
      </c>
      <c r="V12">
        <v>0.16627400000000001</v>
      </c>
      <c r="W12">
        <v>0.165657</v>
      </c>
      <c r="X12">
        <v>0.16491500000000001</v>
      </c>
      <c r="Y12">
        <v>0.16405700000000001</v>
      </c>
      <c r="Z12">
        <v>0.16317799999999999</v>
      </c>
      <c r="AA12">
        <v>0.16239500000000001</v>
      </c>
      <c r="AB12">
        <v>0.161408</v>
      </c>
      <c r="AC12">
        <v>0.16053000000000001</v>
      </c>
      <c r="AD12">
        <v>0.15972800000000001</v>
      </c>
      <c r="AE12">
        <v>0.15995599999999999</v>
      </c>
      <c r="AF12">
        <v>0.160357</v>
      </c>
      <c r="AG12">
        <v>0.160718</v>
      </c>
      <c r="AH12">
        <v>0.160969</v>
      </c>
      <c r="AI12">
        <v>0.16102900000000001</v>
      </c>
      <c r="AJ12">
        <v>0.16096299999999999</v>
      </c>
      <c r="AK12">
        <v>0.16125500000000001</v>
      </c>
      <c r="AL12">
        <v>0.161468</v>
      </c>
      <c r="AM12">
        <v>0.16167300000000001</v>
      </c>
      <c r="AN12">
        <v>0.16187099999999999</v>
      </c>
      <c r="AO12">
        <v>0.162026</v>
      </c>
      <c r="AP12">
        <v>0.162219</v>
      </c>
    </row>
    <row r="13" spans="1:42" x14ac:dyDescent="0.25">
      <c r="A13" t="s">
        <v>455</v>
      </c>
      <c r="B13" t="s">
        <v>455</v>
      </c>
      <c r="C13" t="s">
        <v>490</v>
      </c>
      <c r="D13" t="s">
        <v>489</v>
      </c>
      <c r="E13" t="s">
        <v>41</v>
      </c>
      <c r="I13">
        <v>1.4799</v>
      </c>
      <c r="J13">
        <v>1.4681</v>
      </c>
      <c r="K13">
        <v>1.4597</v>
      </c>
      <c r="L13">
        <v>1.35443</v>
      </c>
      <c r="M13">
        <v>1.3895999999999999</v>
      </c>
      <c r="N13">
        <v>1.3282320000000001</v>
      </c>
      <c r="O13">
        <v>1.4028259999999999</v>
      </c>
      <c r="P13">
        <v>1.37287</v>
      </c>
      <c r="Q13">
        <v>1.379027</v>
      </c>
      <c r="R13">
        <v>1.3815900000000001</v>
      </c>
      <c r="S13">
        <v>1.3878950000000001</v>
      </c>
      <c r="T13">
        <v>1.3993370000000001</v>
      </c>
      <c r="U13">
        <v>1.41076</v>
      </c>
      <c r="V13">
        <v>1.4189320000000001</v>
      </c>
      <c r="W13">
        <v>1.429157</v>
      </c>
      <c r="X13">
        <v>1.443031</v>
      </c>
      <c r="Y13">
        <v>1.4565079999999999</v>
      </c>
      <c r="Z13">
        <v>1.4709570000000001</v>
      </c>
      <c r="AA13">
        <v>1.482958</v>
      </c>
      <c r="AB13">
        <v>1.48898</v>
      </c>
      <c r="AC13">
        <v>1.4987729999999999</v>
      </c>
      <c r="AD13">
        <v>1.5069980000000001</v>
      </c>
      <c r="AE13">
        <v>1.516537</v>
      </c>
      <c r="AF13">
        <v>1.528081</v>
      </c>
      <c r="AG13">
        <v>1.540243</v>
      </c>
      <c r="AH13">
        <v>1.5521320000000001</v>
      </c>
      <c r="AI13">
        <v>1.5620019999999999</v>
      </c>
      <c r="AJ13">
        <v>1.568192</v>
      </c>
      <c r="AK13">
        <v>1.5709299999999999</v>
      </c>
      <c r="AL13">
        <v>1.577018</v>
      </c>
      <c r="AM13">
        <v>1.5876319999999999</v>
      </c>
      <c r="AN13">
        <v>1.5930029999999999</v>
      </c>
      <c r="AO13">
        <v>1.600503</v>
      </c>
      <c r="AP13">
        <v>1.6157809999999999</v>
      </c>
    </row>
    <row r="14" spans="1:42" x14ac:dyDescent="0.25">
      <c r="A14" t="s">
        <v>57</v>
      </c>
      <c r="B14" t="s">
        <v>57</v>
      </c>
      <c r="C14" t="s">
        <v>488</v>
      </c>
      <c r="D14" t="s">
        <v>487</v>
      </c>
      <c r="E14" t="s">
        <v>41</v>
      </c>
      <c r="I14">
        <v>0.78399600000000003</v>
      </c>
      <c r="J14">
        <v>0.78241799999999995</v>
      </c>
      <c r="K14">
        <v>0.90236000000000005</v>
      </c>
      <c r="L14">
        <v>0.90481</v>
      </c>
      <c r="M14">
        <v>0.94018999999999997</v>
      </c>
      <c r="N14">
        <v>0.918076</v>
      </c>
      <c r="O14">
        <v>0.98457799999999995</v>
      </c>
      <c r="P14">
        <v>0.91028900000000001</v>
      </c>
      <c r="Q14">
        <v>0.90657900000000002</v>
      </c>
      <c r="R14">
        <v>0.90483100000000005</v>
      </c>
      <c r="S14">
        <v>0.90374500000000002</v>
      </c>
      <c r="T14">
        <v>0.90679799999999999</v>
      </c>
      <c r="U14">
        <v>0.90332000000000001</v>
      </c>
      <c r="V14">
        <v>0.89893800000000001</v>
      </c>
      <c r="W14">
        <v>0.89509300000000003</v>
      </c>
      <c r="X14">
        <v>0.89138700000000004</v>
      </c>
      <c r="Y14">
        <v>0.89019999999999999</v>
      </c>
      <c r="Z14">
        <v>0.89020600000000005</v>
      </c>
      <c r="AA14">
        <v>0.89728600000000003</v>
      </c>
      <c r="AB14">
        <v>0.89668300000000001</v>
      </c>
      <c r="AC14">
        <v>0.89757100000000001</v>
      </c>
      <c r="AD14">
        <v>0.89926799999999996</v>
      </c>
      <c r="AE14">
        <v>0.90170099999999997</v>
      </c>
      <c r="AF14">
        <v>0.90580700000000003</v>
      </c>
      <c r="AG14">
        <v>0.91853799999999997</v>
      </c>
      <c r="AH14">
        <v>0.92452100000000004</v>
      </c>
      <c r="AI14">
        <v>0.93119799999999997</v>
      </c>
      <c r="AJ14">
        <v>0.93196400000000001</v>
      </c>
      <c r="AK14">
        <v>0.93861300000000003</v>
      </c>
      <c r="AL14">
        <v>0.94881700000000002</v>
      </c>
      <c r="AM14">
        <v>0.96047800000000005</v>
      </c>
      <c r="AN14">
        <v>0.98155700000000001</v>
      </c>
      <c r="AO14">
        <v>0.99059399999999997</v>
      </c>
      <c r="AP14">
        <v>0.99686799999999998</v>
      </c>
    </row>
    <row r="15" spans="1:42" x14ac:dyDescent="0.25">
      <c r="A15" t="s">
        <v>162</v>
      </c>
      <c r="B15" t="s">
        <v>162</v>
      </c>
      <c r="C15" t="s">
        <v>486</v>
      </c>
      <c r="D15" t="s">
        <v>485</v>
      </c>
      <c r="E15" t="s">
        <v>41</v>
      </c>
      <c r="I15">
        <v>1.519158</v>
      </c>
      <c r="J15">
        <v>1.5506930000000001</v>
      </c>
      <c r="K15">
        <v>1.5304629999999999</v>
      </c>
      <c r="L15">
        <v>1.331656</v>
      </c>
      <c r="M15">
        <v>1.4810829999999999</v>
      </c>
      <c r="N15">
        <v>1.6439569999999999</v>
      </c>
      <c r="O15">
        <v>1.68746</v>
      </c>
      <c r="P15">
        <v>1.7501439999999999</v>
      </c>
      <c r="Q15">
        <v>1.713519</v>
      </c>
      <c r="R15">
        <v>1.7038390000000001</v>
      </c>
      <c r="S15">
        <v>1.7015279999999999</v>
      </c>
      <c r="T15">
        <v>1.5876999999999999</v>
      </c>
      <c r="U15">
        <v>1.5869660000000001</v>
      </c>
      <c r="V15">
        <v>1.586138</v>
      </c>
      <c r="W15">
        <v>1.585172</v>
      </c>
      <c r="X15">
        <v>1.583934</v>
      </c>
      <c r="Y15">
        <v>1.582892</v>
      </c>
      <c r="Z15">
        <v>1.5815950000000001</v>
      </c>
      <c r="AA15">
        <v>1.5800190000000001</v>
      </c>
      <c r="AB15">
        <v>1.5786439999999999</v>
      </c>
      <c r="AC15">
        <v>1.5772600000000001</v>
      </c>
      <c r="AD15">
        <v>1.5758639999999999</v>
      </c>
      <c r="AE15">
        <v>1.574471</v>
      </c>
      <c r="AF15">
        <v>1.5730500000000001</v>
      </c>
      <c r="AG15">
        <v>1.5713459999999999</v>
      </c>
      <c r="AH15">
        <v>1.569874</v>
      </c>
      <c r="AI15">
        <v>1.568397</v>
      </c>
      <c r="AJ15">
        <v>1.567132</v>
      </c>
      <c r="AK15">
        <v>1.5656760000000001</v>
      </c>
      <c r="AL15">
        <v>1.579699</v>
      </c>
      <c r="AM15">
        <v>1.603261</v>
      </c>
      <c r="AN15">
        <v>1.648387</v>
      </c>
      <c r="AO15">
        <v>1.6785369999999999</v>
      </c>
      <c r="AP15">
        <v>1.6990639999999999</v>
      </c>
    </row>
    <row r="16" spans="1:42" s="73" customFormat="1" x14ac:dyDescent="0.25">
      <c r="A16" t="s">
        <v>484</v>
      </c>
      <c r="B16" s="73" t="s">
        <v>484</v>
      </c>
      <c r="C16" s="73" t="s">
        <v>483</v>
      </c>
      <c r="D16" s="73" t="s">
        <v>482</v>
      </c>
      <c r="E16" s="73" t="s">
        <v>41</v>
      </c>
      <c r="F16" s="73">
        <v>0</v>
      </c>
      <c r="G16" s="73">
        <v>0</v>
      </c>
      <c r="H16" s="73">
        <v>0</v>
      </c>
      <c r="I16" s="73">
        <v>6.0400000000000002E-3</v>
      </c>
      <c r="J16" s="73">
        <v>2.7022999999999998E-2</v>
      </c>
      <c r="K16" s="73">
        <v>9.8600000000000007E-3</v>
      </c>
      <c r="L16" s="73">
        <v>2.0695999999999999E-2</v>
      </c>
      <c r="M16" s="73">
        <v>2.3879999999999998E-2</v>
      </c>
      <c r="N16" s="73">
        <v>2.2315999999999999E-2</v>
      </c>
      <c r="O16" s="73">
        <v>2.2565000000000002E-2</v>
      </c>
      <c r="P16" s="73">
        <v>2.1181999999999999E-2</v>
      </c>
      <c r="Q16" s="73">
        <v>2.1097999999999999E-2</v>
      </c>
      <c r="R16" s="73">
        <v>2.0573000000000001E-2</v>
      </c>
      <c r="S16" s="73">
        <v>2.0001999999999999E-2</v>
      </c>
      <c r="T16" s="73">
        <v>1.9309E-2</v>
      </c>
      <c r="U16" s="73">
        <v>1.8533000000000001E-2</v>
      </c>
      <c r="V16" s="73">
        <v>1.7717E-2</v>
      </c>
      <c r="W16" s="73">
        <v>1.6916E-2</v>
      </c>
      <c r="X16" s="73">
        <v>1.6133000000000002E-2</v>
      </c>
      <c r="Y16" s="73">
        <v>1.5434E-2</v>
      </c>
      <c r="Z16" s="73">
        <v>1.4803E-2</v>
      </c>
      <c r="AA16" s="73">
        <v>1.4241E-2</v>
      </c>
      <c r="AB16" s="73">
        <v>1.3707E-2</v>
      </c>
      <c r="AC16" s="73">
        <v>1.3317000000000001E-2</v>
      </c>
      <c r="AD16" s="73">
        <v>1.3025999999999999E-2</v>
      </c>
      <c r="AE16" s="73">
        <v>1.2829E-2</v>
      </c>
      <c r="AF16" s="73">
        <v>1.2723999999999999E-2</v>
      </c>
      <c r="AG16" s="73">
        <v>1.2669E-2</v>
      </c>
      <c r="AH16" s="73">
        <v>1.2661E-2</v>
      </c>
      <c r="AI16" s="73">
        <v>1.2716E-2</v>
      </c>
      <c r="AJ16" s="73">
        <v>1.278E-2</v>
      </c>
      <c r="AK16" s="73">
        <v>1.2874999999999999E-2</v>
      </c>
      <c r="AL16" s="73">
        <v>1.2959999999999999E-2</v>
      </c>
      <c r="AM16" s="73">
        <v>1.3117E-2</v>
      </c>
      <c r="AN16" s="73">
        <v>1.3259E-2</v>
      </c>
      <c r="AO16" s="73">
        <v>1.3443E-2</v>
      </c>
      <c r="AP16" s="73">
        <v>1.3617000000000001E-2</v>
      </c>
    </row>
    <row r="17" spans="1:42" s="73" customFormat="1" x14ac:dyDescent="0.25">
      <c r="A17" t="s">
        <v>481</v>
      </c>
      <c r="B17" s="73" t="s">
        <v>481</v>
      </c>
      <c r="C17" s="73" t="s">
        <v>480</v>
      </c>
      <c r="D17" s="73" t="s">
        <v>479</v>
      </c>
      <c r="E17" s="73" t="s">
        <v>41</v>
      </c>
      <c r="F17" s="73">
        <v>1.1100000000000001</v>
      </c>
      <c r="G17" s="73">
        <v>1.1499999999999999</v>
      </c>
      <c r="H17" s="73">
        <v>1.17</v>
      </c>
      <c r="I17" s="73">
        <v>1.1932579999999999</v>
      </c>
      <c r="J17" s="73">
        <v>1.1600429999999999</v>
      </c>
      <c r="K17" s="73">
        <v>1.170234</v>
      </c>
      <c r="L17" s="73">
        <v>1.0145219999999999</v>
      </c>
      <c r="M17" s="73">
        <v>1.0965640000000001</v>
      </c>
      <c r="N17" s="73">
        <v>1.1250899999999999</v>
      </c>
      <c r="O17" s="73">
        <v>1.1227320000000001</v>
      </c>
      <c r="P17" s="73">
        <v>1.151931</v>
      </c>
      <c r="Q17" s="73">
        <v>1.142379</v>
      </c>
      <c r="R17" s="73">
        <v>1.1358649999999999</v>
      </c>
      <c r="S17" s="73">
        <v>1.130649</v>
      </c>
      <c r="T17" s="73">
        <v>1.123475</v>
      </c>
      <c r="U17" s="73">
        <v>1.1144639999999999</v>
      </c>
      <c r="V17" s="73">
        <v>1.1039049999999999</v>
      </c>
      <c r="W17" s="73">
        <v>1.0942369999999999</v>
      </c>
      <c r="X17" s="73">
        <v>1.0849629999999999</v>
      </c>
      <c r="Y17" s="73">
        <v>1.0787599999999999</v>
      </c>
      <c r="Z17" s="73">
        <v>1.074166</v>
      </c>
      <c r="AA17" s="73">
        <v>1.069304</v>
      </c>
      <c r="AB17" s="73">
        <v>1.0632410000000001</v>
      </c>
      <c r="AC17" s="73">
        <v>1.058996</v>
      </c>
      <c r="AD17" s="73">
        <v>1.055871</v>
      </c>
      <c r="AE17" s="73">
        <v>1.053339</v>
      </c>
      <c r="AF17" s="73">
        <v>1.052924</v>
      </c>
      <c r="AG17" s="73">
        <v>1.0528120000000001</v>
      </c>
      <c r="AH17" s="73">
        <v>1.0543610000000001</v>
      </c>
      <c r="AI17" s="73">
        <v>1.0568690000000001</v>
      </c>
      <c r="AJ17" s="73">
        <v>1.061329</v>
      </c>
      <c r="AK17" s="73">
        <v>1.0672790000000001</v>
      </c>
      <c r="AL17" s="73">
        <v>1.0752429999999999</v>
      </c>
      <c r="AM17" s="73">
        <v>1.0849629999999999</v>
      </c>
      <c r="AN17" s="73">
        <v>1.0952660000000001</v>
      </c>
      <c r="AO17" s="73">
        <v>1.1068389999999999</v>
      </c>
      <c r="AP17" s="73">
        <v>1.1205430000000001</v>
      </c>
    </row>
    <row r="18" spans="1:42" s="73" customFormat="1" x14ac:dyDescent="0.25">
      <c r="A18" t="s">
        <v>478</v>
      </c>
      <c r="B18" s="73" t="s">
        <v>478</v>
      </c>
      <c r="C18" s="73" t="s">
        <v>477</v>
      </c>
      <c r="D18" s="73" t="s">
        <v>476</v>
      </c>
      <c r="E18" s="73" t="s">
        <v>41</v>
      </c>
      <c r="F18" s="73">
        <v>0.19</v>
      </c>
      <c r="G18" s="73">
        <v>0.22</v>
      </c>
      <c r="H18" s="73">
        <v>0.31</v>
      </c>
      <c r="I18" s="73">
        <v>0.26588699999999998</v>
      </c>
      <c r="J18" s="73">
        <v>0.295344</v>
      </c>
      <c r="K18" s="73">
        <v>0.28631400000000001</v>
      </c>
      <c r="L18" s="73">
        <v>0.22708700000000001</v>
      </c>
      <c r="M18" s="73">
        <v>0.21432399999999999</v>
      </c>
      <c r="N18" s="73">
        <v>0.20156299999999999</v>
      </c>
      <c r="O18" s="73">
        <v>0.18984000000000001</v>
      </c>
      <c r="P18" s="73">
        <v>0.21911900000000001</v>
      </c>
      <c r="Q18" s="73">
        <v>0.20335</v>
      </c>
      <c r="R18" s="73">
        <v>0.20000399999999999</v>
      </c>
      <c r="S18" s="73">
        <v>0.20306099999999999</v>
      </c>
      <c r="T18" s="73">
        <v>0.154942</v>
      </c>
      <c r="U18" s="73">
        <v>0.16417999999999999</v>
      </c>
      <c r="V18" s="73">
        <v>0.17285600000000001</v>
      </c>
      <c r="W18" s="73">
        <v>0.177873</v>
      </c>
      <c r="X18" s="73">
        <v>0.17663200000000001</v>
      </c>
      <c r="Y18" s="73">
        <v>0.17979600000000001</v>
      </c>
      <c r="Z18" s="73">
        <v>0.17705699999999999</v>
      </c>
      <c r="AA18" s="73">
        <v>0.173708</v>
      </c>
      <c r="AB18" s="73">
        <v>0.17022999999999999</v>
      </c>
      <c r="AC18" s="73">
        <v>0.16662299999999999</v>
      </c>
      <c r="AD18" s="73">
        <v>0.162883</v>
      </c>
      <c r="AE18" s="73">
        <v>0.15951899999999999</v>
      </c>
      <c r="AF18" s="73">
        <v>0.15550600000000001</v>
      </c>
      <c r="AG18" s="73">
        <v>0.15135299999999999</v>
      </c>
      <c r="AH18" s="73">
        <v>0.14705599999999999</v>
      </c>
      <c r="AI18" s="73">
        <v>0.14261399999999999</v>
      </c>
      <c r="AJ18" s="73">
        <v>0.138021</v>
      </c>
      <c r="AK18" s="73">
        <v>0.13327700000000001</v>
      </c>
      <c r="AL18" s="73">
        <v>0.12837699999999999</v>
      </c>
      <c r="AM18" s="73">
        <v>0.123319</v>
      </c>
      <c r="AN18" s="73">
        <v>0.118099</v>
      </c>
      <c r="AO18" s="73">
        <v>0.112828</v>
      </c>
      <c r="AP18" s="73">
        <v>0.107556</v>
      </c>
    </row>
    <row r="19" spans="1:42" x14ac:dyDescent="0.25">
      <c r="A19" t="s">
        <v>475</v>
      </c>
      <c r="B19" t="s">
        <v>475</v>
      </c>
      <c r="C19" t="s">
        <v>474</v>
      </c>
      <c r="D19" t="s">
        <v>473</v>
      </c>
      <c r="E19" t="s">
        <v>41</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row>
    <row r="20" spans="1:42" x14ac:dyDescent="0.25">
      <c r="A20" t="s">
        <v>472</v>
      </c>
      <c r="B20" t="s">
        <v>472</v>
      </c>
      <c r="C20" t="s">
        <v>471</v>
      </c>
      <c r="D20" t="s">
        <v>470</v>
      </c>
      <c r="E20" t="s">
        <v>41</v>
      </c>
      <c r="I20">
        <v>0</v>
      </c>
      <c r="J20">
        <v>3.4099999999999999E-4</v>
      </c>
      <c r="K20">
        <v>2.745E-3</v>
      </c>
      <c r="L20">
        <v>0</v>
      </c>
      <c r="M20">
        <v>1.2999999999999999E-5</v>
      </c>
      <c r="N20">
        <v>1.026E-3</v>
      </c>
      <c r="O20">
        <v>1.1540000000000001E-3</v>
      </c>
      <c r="P20">
        <v>1.1590000000000001E-3</v>
      </c>
      <c r="Q20">
        <v>1.1590000000000001E-3</v>
      </c>
      <c r="R20">
        <v>1.2229999999999999E-3</v>
      </c>
      <c r="S20">
        <v>1.1590000000000001E-3</v>
      </c>
      <c r="T20">
        <v>1.2229999999999999E-3</v>
      </c>
      <c r="U20">
        <v>2.2499999999999998E-3</v>
      </c>
      <c r="V20">
        <v>1.67E-3</v>
      </c>
      <c r="W20">
        <v>1.853E-3</v>
      </c>
      <c r="X20">
        <v>1.884E-3</v>
      </c>
      <c r="Y20">
        <v>2.2499999999999998E-3</v>
      </c>
      <c r="Z20">
        <v>2.2499999999999998E-3</v>
      </c>
      <c r="AA20">
        <v>2.2499999999999998E-3</v>
      </c>
      <c r="AB20">
        <v>2.2499999999999998E-3</v>
      </c>
      <c r="AC20">
        <v>2.2499999999999998E-3</v>
      </c>
      <c r="AD20">
        <v>2.2499999999999998E-3</v>
      </c>
      <c r="AE20">
        <v>2.2499999999999998E-3</v>
      </c>
      <c r="AF20">
        <v>2.2499999999999998E-3</v>
      </c>
      <c r="AG20">
        <v>2.6819999999999999E-3</v>
      </c>
      <c r="AH20">
        <v>2.2499999999999998E-3</v>
      </c>
      <c r="AI20">
        <v>2.2499999999999998E-3</v>
      </c>
      <c r="AJ20">
        <v>1.9919999999999998E-3</v>
      </c>
      <c r="AK20">
        <v>1.2229999999999999E-3</v>
      </c>
      <c r="AL20">
        <v>2.1849999999999999E-3</v>
      </c>
      <c r="AM20">
        <v>2.1849999999999999E-3</v>
      </c>
      <c r="AN20">
        <v>2.1849999999999999E-3</v>
      </c>
      <c r="AO20">
        <v>2.225E-3</v>
      </c>
      <c r="AP20">
        <v>1.882E-3</v>
      </c>
    </row>
    <row r="21" spans="1:42" s="73" customFormat="1" x14ac:dyDescent="0.25">
      <c r="A21" t="s">
        <v>469</v>
      </c>
      <c r="B21" s="73" t="s">
        <v>469</v>
      </c>
      <c r="C21" s="73" t="s">
        <v>468</v>
      </c>
      <c r="D21" s="73" t="s">
        <v>467</v>
      </c>
      <c r="E21" s="73" t="s">
        <v>41</v>
      </c>
      <c r="F21" s="73">
        <v>0</v>
      </c>
      <c r="G21" s="73">
        <v>0.01</v>
      </c>
      <c r="H21" s="73">
        <v>0.04</v>
      </c>
      <c r="I21" s="73">
        <v>5.3973E-2</v>
      </c>
      <c r="J21" s="73">
        <v>6.7943000000000003E-2</v>
      </c>
      <c r="K21" s="73">
        <v>6.1310999999999997E-2</v>
      </c>
      <c r="L21" s="73">
        <v>6.9350999999999996E-2</v>
      </c>
      <c r="M21" s="73">
        <v>0.14630299999999999</v>
      </c>
      <c r="N21" s="73">
        <v>0.293962</v>
      </c>
      <c r="O21" s="73">
        <v>0.35116999999999998</v>
      </c>
      <c r="P21" s="73">
        <v>0.35675299999999999</v>
      </c>
      <c r="Q21" s="73">
        <v>0.34553299999999998</v>
      </c>
      <c r="R21" s="73">
        <v>0.34617300000000001</v>
      </c>
      <c r="S21" s="73">
        <v>0.34665600000000002</v>
      </c>
      <c r="T21" s="73">
        <v>0.28875099999999998</v>
      </c>
      <c r="U21" s="73">
        <v>0.28753899999999999</v>
      </c>
      <c r="V21" s="73">
        <v>0.28999000000000003</v>
      </c>
      <c r="W21" s="73">
        <v>0.29429300000000003</v>
      </c>
      <c r="X21" s="73">
        <v>0.30432100000000001</v>
      </c>
      <c r="Y21" s="73">
        <v>0.30665300000000001</v>
      </c>
      <c r="Z21" s="73">
        <v>0.31331799999999999</v>
      </c>
      <c r="AA21" s="73">
        <v>0.32051800000000003</v>
      </c>
      <c r="AB21" s="73">
        <v>0.32921600000000001</v>
      </c>
      <c r="AC21" s="73">
        <v>0.33607500000000001</v>
      </c>
      <c r="AD21" s="73">
        <v>0.34183400000000003</v>
      </c>
      <c r="AE21" s="73">
        <v>0.34653499999999998</v>
      </c>
      <c r="AF21" s="73">
        <v>0.34964499999999998</v>
      </c>
      <c r="AG21" s="73">
        <v>0.351831</v>
      </c>
      <c r="AH21" s="73">
        <v>0.35354600000000003</v>
      </c>
      <c r="AI21" s="73">
        <v>0.35394799999999998</v>
      </c>
      <c r="AJ21" s="73">
        <v>0.35300900000000002</v>
      </c>
      <c r="AK21" s="73">
        <v>0.351022</v>
      </c>
      <c r="AL21" s="73">
        <v>0.360933</v>
      </c>
      <c r="AM21" s="73">
        <v>0.37967699999999999</v>
      </c>
      <c r="AN21" s="73">
        <v>0.41957800000000001</v>
      </c>
      <c r="AO21" s="73">
        <v>0.44320199999999998</v>
      </c>
      <c r="AP21" s="73">
        <v>0.45546599999999998</v>
      </c>
    </row>
    <row r="22" spans="1:42" x14ac:dyDescent="0.25">
      <c r="A22" t="s">
        <v>111</v>
      </c>
      <c r="B22" t="s">
        <v>111</v>
      </c>
      <c r="C22" t="s">
        <v>466</v>
      </c>
      <c r="D22" t="s">
        <v>465</v>
      </c>
      <c r="E22" t="s">
        <v>41</v>
      </c>
      <c r="I22">
        <v>6.246861</v>
      </c>
      <c r="J22">
        <v>6.428922</v>
      </c>
      <c r="K22">
        <v>6.6521280000000003</v>
      </c>
      <c r="L22">
        <v>6.9892469999999998</v>
      </c>
      <c r="M22">
        <v>7.1648370000000003</v>
      </c>
      <c r="N22">
        <v>8.0840899999999998</v>
      </c>
      <c r="O22">
        <v>8.6055949999999992</v>
      </c>
      <c r="P22">
        <v>9.2536000000000005</v>
      </c>
      <c r="Q22">
        <v>10.769812</v>
      </c>
      <c r="R22">
        <v>12.489632</v>
      </c>
      <c r="S22">
        <v>14.207677</v>
      </c>
      <c r="T22">
        <v>15.657</v>
      </c>
      <c r="U22">
        <v>16.679596</v>
      </c>
      <c r="V22">
        <v>17.569942000000001</v>
      </c>
      <c r="W22">
        <v>18.211523</v>
      </c>
      <c r="X22">
        <v>18.849072</v>
      </c>
      <c r="Y22">
        <v>19.601134999999999</v>
      </c>
      <c r="Z22">
        <v>20.207751999999999</v>
      </c>
      <c r="AA22">
        <v>20.684017000000001</v>
      </c>
      <c r="AB22">
        <v>21.174015000000001</v>
      </c>
      <c r="AC22">
        <v>21.527521</v>
      </c>
      <c r="AD22">
        <v>21.819600999999999</v>
      </c>
      <c r="AE22">
        <v>21.990220999999998</v>
      </c>
      <c r="AF22">
        <v>22.281153</v>
      </c>
      <c r="AG22">
        <v>22.423573999999999</v>
      </c>
      <c r="AH22">
        <v>22.664766</v>
      </c>
      <c r="AI22">
        <v>22.940054</v>
      </c>
      <c r="AJ22">
        <v>23.344435000000001</v>
      </c>
      <c r="AK22">
        <v>23.717884000000002</v>
      </c>
      <c r="AL22">
        <v>24.147013000000001</v>
      </c>
      <c r="AM22">
        <v>24.507113</v>
      </c>
      <c r="AN22">
        <v>24.872579999999999</v>
      </c>
      <c r="AO22">
        <v>25.165534999999998</v>
      </c>
      <c r="AP22">
        <v>25.597913999999999</v>
      </c>
    </row>
    <row r="23" spans="1:42" x14ac:dyDescent="0.25">
      <c r="A23" t="s">
        <v>464</v>
      </c>
      <c r="B23" t="s">
        <v>464</v>
      </c>
      <c r="C23" t="s">
        <v>463</v>
      </c>
      <c r="D23" t="s">
        <v>462</v>
      </c>
      <c r="E23" t="s">
        <v>41</v>
      </c>
      <c r="I23">
        <v>2.7571279999999998</v>
      </c>
      <c r="J23">
        <v>2.6098940000000002</v>
      </c>
      <c r="K23">
        <v>2.6263960000000002</v>
      </c>
      <c r="L23">
        <v>2.5221230000000001</v>
      </c>
      <c r="M23">
        <v>2.2785090000000001</v>
      </c>
      <c r="N23">
        <v>2.4426809999999999</v>
      </c>
      <c r="O23">
        <v>2.4475500000000001</v>
      </c>
      <c r="P23">
        <v>2.491689</v>
      </c>
      <c r="Q23">
        <v>2.5778460000000001</v>
      </c>
      <c r="R23">
        <v>2.5689220000000001</v>
      </c>
      <c r="S23">
        <v>2.5460590000000001</v>
      </c>
      <c r="T23">
        <v>2.5046460000000002</v>
      </c>
      <c r="U23">
        <v>2.4754890000000001</v>
      </c>
      <c r="V23">
        <v>2.4467430000000001</v>
      </c>
      <c r="W23">
        <v>2.425799</v>
      </c>
      <c r="X23">
        <v>2.409033</v>
      </c>
      <c r="Y23">
        <v>2.4117489999999999</v>
      </c>
      <c r="Z23">
        <v>2.4157820000000001</v>
      </c>
      <c r="AA23">
        <v>2.4193760000000002</v>
      </c>
      <c r="AB23">
        <v>2.424693</v>
      </c>
      <c r="AC23">
        <v>2.41289</v>
      </c>
      <c r="AD23">
        <v>2.3995289999999998</v>
      </c>
      <c r="AE23">
        <v>2.3755860000000002</v>
      </c>
      <c r="AF23">
        <v>2.3708</v>
      </c>
      <c r="AG23">
        <v>2.3555199999999998</v>
      </c>
      <c r="AH23">
        <v>2.3587880000000001</v>
      </c>
      <c r="AI23">
        <v>2.3520150000000002</v>
      </c>
      <c r="AJ23">
        <v>2.3469769999999999</v>
      </c>
      <c r="AK23">
        <v>2.343842</v>
      </c>
      <c r="AL23">
        <v>2.3326199999999999</v>
      </c>
      <c r="AM23">
        <v>2.325793</v>
      </c>
      <c r="AN23">
        <v>2.3234539999999999</v>
      </c>
      <c r="AO23">
        <v>2.3103210000000001</v>
      </c>
      <c r="AP23">
        <v>2.298403</v>
      </c>
    </row>
    <row r="24" spans="1:42" x14ac:dyDescent="0.25">
      <c r="A24" t="s">
        <v>461</v>
      </c>
      <c r="B24" t="s">
        <v>461</v>
      </c>
      <c r="C24" t="s">
        <v>460</v>
      </c>
      <c r="D24" t="s">
        <v>459</v>
      </c>
      <c r="E24" t="s">
        <v>41</v>
      </c>
      <c r="I24">
        <v>0.14647099999999999</v>
      </c>
      <c r="J24">
        <v>0.15135499999999999</v>
      </c>
      <c r="K24">
        <v>0.15040100000000001</v>
      </c>
      <c r="L24">
        <v>0.13980699999999999</v>
      </c>
      <c r="M24">
        <v>0.139767</v>
      </c>
      <c r="N24">
        <v>0.138575</v>
      </c>
      <c r="O24">
        <v>0.13413900000000001</v>
      </c>
      <c r="P24">
        <v>0.13885600000000001</v>
      </c>
      <c r="Q24">
        <v>0.14611099999999999</v>
      </c>
      <c r="R24">
        <v>0.15206600000000001</v>
      </c>
      <c r="S24">
        <v>0.156023</v>
      </c>
      <c r="T24">
        <v>0.159828</v>
      </c>
      <c r="U24">
        <v>0.16723299999999999</v>
      </c>
      <c r="V24">
        <v>0.174095</v>
      </c>
      <c r="W24">
        <v>0.17849300000000001</v>
      </c>
      <c r="X24">
        <v>0.184554</v>
      </c>
      <c r="Y24">
        <v>0.187499</v>
      </c>
      <c r="Z24">
        <v>0.19506599999999999</v>
      </c>
      <c r="AA24">
        <v>0.201046</v>
      </c>
      <c r="AB24">
        <v>0.21044099999999999</v>
      </c>
      <c r="AC24">
        <v>0.21734200000000001</v>
      </c>
      <c r="AD24">
        <v>0.223436</v>
      </c>
      <c r="AE24">
        <v>0.22589999999999999</v>
      </c>
      <c r="AF24">
        <v>0.22914699999999999</v>
      </c>
      <c r="AG24">
        <v>0.23424600000000001</v>
      </c>
      <c r="AH24">
        <v>0.240622</v>
      </c>
      <c r="AI24">
        <v>0.24477199999999999</v>
      </c>
      <c r="AJ24">
        <v>0.249637</v>
      </c>
      <c r="AK24">
        <v>0.25794</v>
      </c>
      <c r="AL24">
        <v>0.26946700000000001</v>
      </c>
      <c r="AM24">
        <v>0.28115000000000001</v>
      </c>
      <c r="AN24">
        <v>0.28858800000000001</v>
      </c>
      <c r="AO24">
        <v>0.29608600000000002</v>
      </c>
      <c r="AP24">
        <v>0.302234</v>
      </c>
    </row>
    <row r="25" spans="1:42" x14ac:dyDescent="0.25">
      <c r="A25" t="s">
        <v>458</v>
      </c>
      <c r="B25" t="s">
        <v>458</v>
      </c>
      <c r="C25" t="s">
        <v>457</v>
      </c>
      <c r="D25" t="s">
        <v>456</v>
      </c>
      <c r="E25" t="s">
        <v>41</v>
      </c>
      <c r="I25">
        <v>0.27030700000000002</v>
      </c>
      <c r="J25">
        <v>0.30338500000000002</v>
      </c>
      <c r="K25">
        <v>0.30125400000000002</v>
      </c>
      <c r="L25">
        <v>0.29455799999999999</v>
      </c>
      <c r="M25">
        <v>0.28105400000000003</v>
      </c>
      <c r="N25">
        <v>0.22191</v>
      </c>
      <c r="O25">
        <v>0.22822400000000001</v>
      </c>
      <c r="P25">
        <v>0.23389199999999999</v>
      </c>
      <c r="Q25">
        <v>0.23910899999999999</v>
      </c>
      <c r="R25">
        <v>0.244032</v>
      </c>
      <c r="S25">
        <v>0.25166899999999998</v>
      </c>
      <c r="T25">
        <v>0.25515500000000002</v>
      </c>
      <c r="U25">
        <v>0.26226699999999997</v>
      </c>
      <c r="V25">
        <v>0.27031699999999997</v>
      </c>
      <c r="W25">
        <v>0.27827200000000002</v>
      </c>
      <c r="X25">
        <v>0.28557900000000003</v>
      </c>
      <c r="Y25">
        <v>0.29682999999999998</v>
      </c>
      <c r="Z25">
        <v>0.30375600000000003</v>
      </c>
      <c r="AA25">
        <v>0.31219200000000003</v>
      </c>
      <c r="AB25">
        <v>0.32144499999999998</v>
      </c>
      <c r="AC25">
        <v>0.330951</v>
      </c>
      <c r="AD25">
        <v>0.34223100000000001</v>
      </c>
      <c r="AE25">
        <v>0.35276000000000002</v>
      </c>
      <c r="AF25">
        <v>0.36073</v>
      </c>
      <c r="AG25">
        <v>0.36913899999999999</v>
      </c>
      <c r="AH25">
        <v>0.37791400000000003</v>
      </c>
      <c r="AI25">
        <v>0.38653799999999999</v>
      </c>
      <c r="AJ25">
        <v>0.39555499999999999</v>
      </c>
      <c r="AK25">
        <v>0.40465499999999999</v>
      </c>
      <c r="AL25">
        <v>0.41011900000000001</v>
      </c>
      <c r="AM25">
        <v>0.41692600000000002</v>
      </c>
      <c r="AN25">
        <v>0.42285099999999998</v>
      </c>
      <c r="AO25">
        <v>0.42875000000000002</v>
      </c>
      <c r="AP25">
        <v>0.43554999999999999</v>
      </c>
    </row>
    <row r="26" spans="1:42" x14ac:dyDescent="0.25">
      <c r="A26" t="s">
        <v>455</v>
      </c>
      <c r="B26" t="s">
        <v>455</v>
      </c>
      <c r="C26" t="s">
        <v>454</v>
      </c>
      <c r="D26" t="s">
        <v>453</v>
      </c>
      <c r="E26" t="s">
        <v>41</v>
      </c>
      <c r="I26">
        <v>0.230408</v>
      </c>
      <c r="J26">
        <v>0.22256999999999999</v>
      </c>
      <c r="K26">
        <v>0.20382</v>
      </c>
      <c r="L26">
        <v>0.204482</v>
      </c>
      <c r="M26">
        <v>0.205146</v>
      </c>
      <c r="N26">
        <v>0.18033099999999999</v>
      </c>
      <c r="O26">
        <v>0.19247300000000001</v>
      </c>
      <c r="P26">
        <v>0.180116</v>
      </c>
      <c r="Q26">
        <v>0.181063</v>
      </c>
      <c r="R26">
        <v>0.17774899999999999</v>
      </c>
      <c r="S26">
        <v>0.17513100000000001</v>
      </c>
      <c r="T26">
        <v>0.16562299999999999</v>
      </c>
      <c r="U26">
        <v>0.16134599999999999</v>
      </c>
      <c r="V26">
        <v>0.161241</v>
      </c>
      <c r="W26">
        <v>0.162494</v>
      </c>
      <c r="X26">
        <v>0.162658</v>
      </c>
      <c r="Y26">
        <v>0.16386800000000001</v>
      </c>
      <c r="Z26">
        <v>0.163854</v>
      </c>
      <c r="AA26">
        <v>0.16414899999999999</v>
      </c>
      <c r="AB26">
        <v>0.16386200000000001</v>
      </c>
      <c r="AC26">
        <v>0.16453699999999999</v>
      </c>
      <c r="AD26">
        <v>0.16523299999999999</v>
      </c>
      <c r="AE26">
        <v>0.16527900000000001</v>
      </c>
      <c r="AF26">
        <v>0.16547999999999999</v>
      </c>
      <c r="AG26">
        <v>0.165659</v>
      </c>
      <c r="AH26">
        <v>0.16476299999999999</v>
      </c>
      <c r="AI26">
        <v>0.16476499999999999</v>
      </c>
      <c r="AJ26">
        <v>0.164578</v>
      </c>
      <c r="AK26">
        <v>0.16470000000000001</v>
      </c>
      <c r="AL26">
        <v>0.170629</v>
      </c>
      <c r="AM26">
        <v>0.17097200000000001</v>
      </c>
      <c r="AN26">
        <v>0.17146400000000001</v>
      </c>
      <c r="AO26">
        <v>0.176981</v>
      </c>
      <c r="AP26">
        <v>0.17775199999999999</v>
      </c>
    </row>
    <row r="27" spans="1:42" x14ac:dyDescent="0.25">
      <c r="A27" t="s">
        <v>452</v>
      </c>
      <c r="B27" t="s">
        <v>452</v>
      </c>
      <c r="C27" t="s">
        <v>451</v>
      </c>
      <c r="D27" t="s">
        <v>450</v>
      </c>
      <c r="E27" t="s">
        <v>41</v>
      </c>
      <c r="I27">
        <v>0.177645</v>
      </c>
      <c r="J27">
        <v>0.17693800000000001</v>
      </c>
      <c r="K27">
        <v>0.166522</v>
      </c>
      <c r="L27">
        <v>0.16355900000000001</v>
      </c>
      <c r="M27">
        <v>0.16906399999999999</v>
      </c>
      <c r="N27">
        <v>0.146924</v>
      </c>
      <c r="O27">
        <v>0.157217</v>
      </c>
      <c r="P27">
        <v>0.148088</v>
      </c>
      <c r="Q27">
        <v>0.14910599999999999</v>
      </c>
      <c r="R27">
        <v>0.14580699999999999</v>
      </c>
      <c r="S27">
        <v>0.14333799999999999</v>
      </c>
      <c r="T27">
        <v>0.13547999999999999</v>
      </c>
      <c r="U27">
        <v>0.131939</v>
      </c>
      <c r="V27">
        <v>0.13194900000000001</v>
      </c>
      <c r="W27">
        <v>0.133298</v>
      </c>
      <c r="X27">
        <v>0.133607</v>
      </c>
      <c r="Y27">
        <v>0.13406899999999999</v>
      </c>
      <c r="Z27">
        <v>0.13417799999999999</v>
      </c>
      <c r="AA27">
        <v>0.13406799999999999</v>
      </c>
      <c r="AB27">
        <v>0.13386600000000001</v>
      </c>
      <c r="AC27">
        <v>0.13447400000000001</v>
      </c>
      <c r="AD27">
        <v>0.13528299999999999</v>
      </c>
      <c r="AE27">
        <v>0.135296</v>
      </c>
      <c r="AF27">
        <v>0.13552</v>
      </c>
      <c r="AG27">
        <v>0.13550300000000001</v>
      </c>
      <c r="AH27">
        <v>0.134629</v>
      </c>
      <c r="AI27">
        <v>0.1346</v>
      </c>
      <c r="AJ27">
        <v>0.134432</v>
      </c>
      <c r="AK27">
        <v>0.13452700000000001</v>
      </c>
      <c r="AL27">
        <v>0.140319</v>
      </c>
      <c r="AM27">
        <v>0.14061399999999999</v>
      </c>
      <c r="AN27">
        <v>0.14099</v>
      </c>
      <c r="AO27">
        <v>0.146394</v>
      </c>
      <c r="AP27">
        <v>0.14705699999999999</v>
      </c>
    </row>
    <row r="28" spans="1:42" x14ac:dyDescent="0.25">
      <c r="A28" t="s">
        <v>449</v>
      </c>
      <c r="B28" t="s">
        <v>449</v>
      </c>
      <c r="C28" t="s">
        <v>448</v>
      </c>
      <c r="D28" t="s">
        <v>447</v>
      </c>
      <c r="E28" t="s">
        <v>41</v>
      </c>
      <c r="I28">
        <v>5.2762999999999997E-2</v>
      </c>
      <c r="J28">
        <v>4.5631999999999999E-2</v>
      </c>
      <c r="K28">
        <v>3.7296999999999997E-2</v>
      </c>
      <c r="L28">
        <v>4.0923000000000001E-2</v>
      </c>
      <c r="M28">
        <v>3.6082999999999997E-2</v>
      </c>
      <c r="N28">
        <v>3.3406999999999999E-2</v>
      </c>
      <c r="O28">
        <v>3.5255000000000002E-2</v>
      </c>
      <c r="P28">
        <v>3.2028000000000001E-2</v>
      </c>
      <c r="Q28">
        <v>3.1956999999999999E-2</v>
      </c>
      <c r="R28">
        <v>3.1941999999999998E-2</v>
      </c>
      <c r="S28">
        <v>3.1793000000000002E-2</v>
      </c>
      <c r="T28">
        <v>3.0144000000000001E-2</v>
      </c>
      <c r="U28">
        <v>2.9406999999999999E-2</v>
      </c>
      <c r="V28">
        <v>2.9291999999999999E-2</v>
      </c>
      <c r="W28">
        <v>2.9196E-2</v>
      </c>
      <c r="X28">
        <v>2.9051E-2</v>
      </c>
      <c r="Y28">
        <v>2.9798999999999999E-2</v>
      </c>
      <c r="Z28">
        <v>2.9675E-2</v>
      </c>
      <c r="AA28">
        <v>3.0081E-2</v>
      </c>
      <c r="AB28">
        <v>2.9995000000000001E-2</v>
      </c>
      <c r="AC28">
        <v>3.0062999999999999E-2</v>
      </c>
      <c r="AD28">
        <v>2.9950999999999998E-2</v>
      </c>
      <c r="AE28">
        <v>2.9982999999999999E-2</v>
      </c>
      <c r="AF28">
        <v>2.9960000000000001E-2</v>
      </c>
      <c r="AG28">
        <v>3.0157E-2</v>
      </c>
      <c r="AH28">
        <v>3.0133E-2</v>
      </c>
      <c r="AI28">
        <v>3.0165000000000001E-2</v>
      </c>
      <c r="AJ28">
        <v>3.0145999999999999E-2</v>
      </c>
      <c r="AK28">
        <v>3.0172999999999998E-2</v>
      </c>
      <c r="AL28">
        <v>3.031E-2</v>
      </c>
      <c r="AM28">
        <v>3.0358E-2</v>
      </c>
      <c r="AN28">
        <v>3.0474000000000001E-2</v>
      </c>
      <c r="AO28">
        <v>3.0587E-2</v>
      </c>
      <c r="AP28">
        <v>3.0695E-2</v>
      </c>
    </row>
    <row r="29" spans="1:42" x14ac:dyDescent="0.25">
      <c r="A29" t="s">
        <v>405</v>
      </c>
      <c r="B29" t="s">
        <v>405</v>
      </c>
      <c r="C29" t="s">
        <v>446</v>
      </c>
      <c r="D29" t="s">
        <v>445</v>
      </c>
      <c r="E29" t="s">
        <v>41</v>
      </c>
      <c r="I29">
        <v>3.0306E-2</v>
      </c>
      <c r="J29">
        <v>3.3104000000000001E-2</v>
      </c>
      <c r="K29">
        <v>3.1074000000000001E-2</v>
      </c>
      <c r="L29">
        <v>2.9326000000000001E-2</v>
      </c>
      <c r="M29">
        <v>2.8909000000000001E-2</v>
      </c>
      <c r="N29">
        <v>2.6096999999999999E-2</v>
      </c>
      <c r="O29">
        <v>2.6141999999999999E-2</v>
      </c>
      <c r="P29">
        <v>2.5590000000000002E-2</v>
      </c>
      <c r="Q29">
        <v>2.5611999999999999E-2</v>
      </c>
      <c r="R29">
        <v>2.5363E-2</v>
      </c>
      <c r="S29">
        <v>2.5058E-2</v>
      </c>
      <c r="T29">
        <v>2.4745E-2</v>
      </c>
      <c r="U29">
        <v>2.4274E-2</v>
      </c>
      <c r="V29">
        <v>2.4035999999999998E-2</v>
      </c>
      <c r="W29">
        <v>2.384E-2</v>
      </c>
      <c r="X29">
        <v>2.2006999999999999E-2</v>
      </c>
      <c r="Y29">
        <v>2.1625999999999999E-2</v>
      </c>
      <c r="Z29">
        <v>2.0728E-2</v>
      </c>
      <c r="AA29">
        <v>2.0643999999999999E-2</v>
      </c>
      <c r="AB29">
        <v>1.9789000000000001E-2</v>
      </c>
      <c r="AC29">
        <v>1.9886000000000001E-2</v>
      </c>
      <c r="AD29">
        <v>2.0183E-2</v>
      </c>
      <c r="AE29">
        <v>2.0372999999999999E-2</v>
      </c>
      <c r="AF29">
        <v>1.9944E-2</v>
      </c>
      <c r="AG29">
        <v>1.9694E-2</v>
      </c>
      <c r="AH29">
        <v>1.9015000000000001E-2</v>
      </c>
      <c r="AI29">
        <v>1.8082000000000001E-2</v>
      </c>
      <c r="AJ29">
        <v>1.7749000000000001E-2</v>
      </c>
      <c r="AK29">
        <v>1.7330000000000002E-2</v>
      </c>
      <c r="AL29">
        <v>1.7052000000000001E-2</v>
      </c>
      <c r="AM29">
        <v>1.6774000000000001E-2</v>
      </c>
      <c r="AN29">
        <v>1.6618999999999998E-2</v>
      </c>
      <c r="AO29">
        <v>1.6455000000000001E-2</v>
      </c>
      <c r="AP29">
        <v>1.6648E-2</v>
      </c>
    </row>
    <row r="30" spans="1:42" x14ac:dyDescent="0.25">
      <c r="A30" t="s">
        <v>402</v>
      </c>
      <c r="B30" t="s">
        <v>402</v>
      </c>
      <c r="C30" t="s">
        <v>444</v>
      </c>
      <c r="D30" t="s">
        <v>443</v>
      </c>
      <c r="E30" t="s">
        <v>41</v>
      </c>
      <c r="I30">
        <v>0.46062399999999998</v>
      </c>
      <c r="J30">
        <v>0.58218800000000004</v>
      </c>
      <c r="K30">
        <v>0.63320299999999996</v>
      </c>
      <c r="L30">
        <v>0.73886200000000002</v>
      </c>
      <c r="M30">
        <v>0.91008199999999995</v>
      </c>
      <c r="N30">
        <v>1.1771119999999999</v>
      </c>
      <c r="O30">
        <v>1.5201910000000001</v>
      </c>
      <c r="P30">
        <v>2.1368870000000002</v>
      </c>
      <c r="Q30">
        <v>3.17957</v>
      </c>
      <c r="R30">
        <v>4.3258409999999996</v>
      </c>
      <c r="S30">
        <v>5.3526850000000001</v>
      </c>
      <c r="T30">
        <v>5.9587370000000002</v>
      </c>
      <c r="U30">
        <v>6.2759790000000004</v>
      </c>
      <c r="V30">
        <v>6.4780049999999996</v>
      </c>
      <c r="W30">
        <v>6.8251410000000003</v>
      </c>
      <c r="X30">
        <v>7.3162960000000004</v>
      </c>
      <c r="Y30">
        <v>7.6675360000000001</v>
      </c>
      <c r="Z30">
        <v>7.9986519999999999</v>
      </c>
      <c r="AA30">
        <v>8.1919170000000001</v>
      </c>
      <c r="AB30">
        <v>8.5402360000000002</v>
      </c>
      <c r="AC30">
        <v>8.8807010000000002</v>
      </c>
      <c r="AD30">
        <v>9.2025190000000006</v>
      </c>
      <c r="AE30">
        <v>9.3771719999999998</v>
      </c>
      <c r="AF30">
        <v>9.6797719999999998</v>
      </c>
      <c r="AG30">
        <v>9.8126370000000005</v>
      </c>
      <c r="AH30">
        <v>10.017440000000001</v>
      </c>
      <c r="AI30">
        <v>10.248034000000001</v>
      </c>
      <c r="AJ30">
        <v>10.580895</v>
      </c>
      <c r="AK30">
        <v>10.882163</v>
      </c>
      <c r="AL30">
        <v>11.308514000000001</v>
      </c>
      <c r="AM30">
        <v>11.581096000000001</v>
      </c>
      <c r="AN30">
        <v>11.847967000000001</v>
      </c>
      <c r="AO30">
        <v>12.144064999999999</v>
      </c>
      <c r="AP30">
        <v>12.509926</v>
      </c>
    </row>
    <row r="31" spans="1:42" x14ac:dyDescent="0.25">
      <c r="A31" t="s">
        <v>399</v>
      </c>
      <c r="B31" t="s">
        <v>399</v>
      </c>
      <c r="C31" t="s">
        <v>442</v>
      </c>
      <c r="D31" t="s">
        <v>441</v>
      </c>
      <c r="E31" t="s">
        <v>41</v>
      </c>
      <c r="I31">
        <v>2.3516159999999999</v>
      </c>
      <c r="J31">
        <v>2.5264250000000001</v>
      </c>
      <c r="K31">
        <v>2.705981</v>
      </c>
      <c r="L31">
        <v>3.0600890000000001</v>
      </c>
      <c r="M31">
        <v>3.3213710000000001</v>
      </c>
      <c r="N31">
        <v>3.8973849999999999</v>
      </c>
      <c r="O31">
        <v>4.0568759999999999</v>
      </c>
      <c r="P31">
        <v>4.0465689999999999</v>
      </c>
      <c r="Q31">
        <v>4.4204990000000004</v>
      </c>
      <c r="R31">
        <v>4.9956579999999997</v>
      </c>
      <c r="S31">
        <v>5.7010519999999998</v>
      </c>
      <c r="T31">
        <v>6.588266</v>
      </c>
      <c r="U31">
        <v>7.313008</v>
      </c>
      <c r="V31">
        <v>8.0155049999999992</v>
      </c>
      <c r="W31">
        <v>8.317482</v>
      </c>
      <c r="X31">
        <v>8.4689440000000005</v>
      </c>
      <c r="Y31">
        <v>8.8520240000000001</v>
      </c>
      <c r="Z31">
        <v>9.1099150000000009</v>
      </c>
      <c r="AA31">
        <v>9.3746930000000006</v>
      </c>
      <c r="AB31">
        <v>9.4935489999999998</v>
      </c>
      <c r="AC31">
        <v>9.5012129999999999</v>
      </c>
      <c r="AD31">
        <v>9.4664699999999993</v>
      </c>
      <c r="AE31">
        <v>9.4731489999999994</v>
      </c>
      <c r="AF31">
        <v>9.4552800000000001</v>
      </c>
      <c r="AG31">
        <v>9.4666809999999995</v>
      </c>
      <c r="AH31">
        <v>9.4862249999999992</v>
      </c>
      <c r="AI31">
        <v>9.5258459999999996</v>
      </c>
      <c r="AJ31">
        <v>9.5890430000000002</v>
      </c>
      <c r="AK31">
        <v>9.6472519999999999</v>
      </c>
      <c r="AL31">
        <v>9.6386099999999999</v>
      </c>
      <c r="AM31">
        <v>9.7144030000000008</v>
      </c>
      <c r="AN31">
        <v>9.8016349999999992</v>
      </c>
      <c r="AO31">
        <v>9.792878</v>
      </c>
      <c r="AP31">
        <v>9.8574029999999997</v>
      </c>
    </row>
    <row r="32" spans="1:42" x14ac:dyDescent="0.25">
      <c r="A32" t="s">
        <v>440</v>
      </c>
      <c r="B32" t="s">
        <v>440</v>
      </c>
      <c r="C32" t="s">
        <v>439</v>
      </c>
      <c r="D32" t="s">
        <v>438</v>
      </c>
      <c r="E32" t="s">
        <v>41</v>
      </c>
      <c r="I32">
        <v>10.704628</v>
      </c>
      <c r="J32">
        <v>10.979689</v>
      </c>
      <c r="K32">
        <v>11.369695999999999</v>
      </c>
      <c r="L32">
        <v>11.344614999999999</v>
      </c>
      <c r="M32">
        <v>11.730729</v>
      </c>
      <c r="N32">
        <v>12.806632</v>
      </c>
      <c r="O32">
        <v>13.546563000000001</v>
      </c>
      <c r="P32">
        <v>14.092015</v>
      </c>
      <c r="Q32">
        <v>15.552782000000001</v>
      </c>
      <c r="R32">
        <v>17.248374999999999</v>
      </c>
      <c r="S32">
        <v>18.956731999999999</v>
      </c>
      <c r="T32">
        <v>20.29533</v>
      </c>
      <c r="U32">
        <v>21.314304</v>
      </c>
      <c r="V32">
        <v>22.197727</v>
      </c>
      <c r="W32">
        <v>22.835978000000001</v>
      </c>
      <c r="X32">
        <v>23.473590999999999</v>
      </c>
      <c r="Y32">
        <v>24.228859</v>
      </c>
      <c r="Z32">
        <v>24.840157000000001</v>
      </c>
      <c r="AA32">
        <v>25.325614999999999</v>
      </c>
      <c r="AB32">
        <v>25.811091999999999</v>
      </c>
      <c r="AC32">
        <v>26.165939000000002</v>
      </c>
      <c r="AD32">
        <v>26.458969</v>
      </c>
      <c r="AE32">
        <v>26.633887999999999</v>
      </c>
      <c r="AF32">
        <v>26.933115000000001</v>
      </c>
      <c r="AG32">
        <v>27.093468000000001</v>
      </c>
      <c r="AH32">
        <v>27.345759999999999</v>
      </c>
      <c r="AI32">
        <v>27.631160999999999</v>
      </c>
      <c r="AJ32">
        <v>28.036123</v>
      </c>
      <c r="AK32">
        <v>28.413322000000001</v>
      </c>
      <c r="AL32">
        <v>28.869313999999999</v>
      </c>
      <c r="AM32">
        <v>29.271667000000001</v>
      </c>
      <c r="AN32">
        <v>29.704913999999999</v>
      </c>
      <c r="AO32">
        <v>30.040731000000001</v>
      </c>
      <c r="AP32">
        <v>30.511296999999999</v>
      </c>
    </row>
    <row r="33" spans="1:42" x14ac:dyDescent="0.25">
      <c r="A33" t="s">
        <v>437</v>
      </c>
      <c r="B33" t="s">
        <v>437</v>
      </c>
      <c r="D33" t="s">
        <v>436</v>
      </c>
    </row>
    <row r="34" spans="1:42" x14ac:dyDescent="0.25">
      <c r="A34" t="s">
        <v>435</v>
      </c>
      <c r="B34" t="s">
        <v>435</v>
      </c>
      <c r="C34" t="s">
        <v>434</v>
      </c>
      <c r="D34" t="s">
        <v>433</v>
      </c>
      <c r="E34" t="s">
        <v>41</v>
      </c>
      <c r="I34">
        <v>1.3092159999999999</v>
      </c>
      <c r="J34">
        <v>1.3181339999999999</v>
      </c>
      <c r="K34">
        <v>1.294333</v>
      </c>
      <c r="L34">
        <v>1.133613</v>
      </c>
      <c r="M34">
        <v>1.2178500000000001</v>
      </c>
      <c r="N34">
        <v>1.2631540000000001</v>
      </c>
      <c r="O34">
        <v>1.2392799999999999</v>
      </c>
      <c r="P34">
        <v>1.3242309999999999</v>
      </c>
      <c r="Q34">
        <v>1.3184070000000001</v>
      </c>
      <c r="R34">
        <v>1.315272</v>
      </c>
      <c r="S34">
        <v>1.3134950000000001</v>
      </c>
      <c r="T34">
        <v>1.317761</v>
      </c>
      <c r="U34">
        <v>1.3133840000000001</v>
      </c>
      <c r="V34">
        <v>1.305957</v>
      </c>
      <c r="W34">
        <v>1.3003089999999999</v>
      </c>
      <c r="X34">
        <v>1.2950349999999999</v>
      </c>
      <c r="Y34">
        <v>1.293353</v>
      </c>
      <c r="Z34">
        <v>1.293118</v>
      </c>
      <c r="AA34">
        <v>1.302341</v>
      </c>
      <c r="AB34">
        <v>1.3012250000000001</v>
      </c>
      <c r="AC34">
        <v>1.302217</v>
      </c>
      <c r="AD34">
        <v>1.3045629999999999</v>
      </c>
      <c r="AE34">
        <v>1.307725</v>
      </c>
      <c r="AF34">
        <v>1.313264</v>
      </c>
      <c r="AG34">
        <v>1.330781</v>
      </c>
      <c r="AH34">
        <v>1.33853</v>
      </c>
      <c r="AI34">
        <v>1.347896</v>
      </c>
      <c r="AJ34">
        <v>1.3498380000000001</v>
      </c>
      <c r="AK34">
        <v>1.3595170000000001</v>
      </c>
      <c r="AL34">
        <v>1.375432</v>
      </c>
      <c r="AM34">
        <v>1.3925050000000001</v>
      </c>
      <c r="AN34">
        <v>1.4234519999999999</v>
      </c>
      <c r="AO34">
        <v>1.43737</v>
      </c>
      <c r="AP34">
        <v>1.4473229999999999</v>
      </c>
    </row>
    <row r="35" spans="1:42" x14ac:dyDescent="0.25">
      <c r="A35" t="s">
        <v>432</v>
      </c>
      <c r="B35" t="s">
        <v>432</v>
      </c>
      <c r="C35" t="s">
        <v>431</v>
      </c>
      <c r="D35" t="s">
        <v>430</v>
      </c>
      <c r="E35" t="s">
        <v>41</v>
      </c>
      <c r="I35">
        <v>7.3800000000000005E-4</v>
      </c>
      <c r="J35">
        <v>1.8959999999999999E-3</v>
      </c>
      <c r="K35">
        <v>5.0500000000000002E-4</v>
      </c>
      <c r="L35">
        <v>9.9999999999999995E-7</v>
      </c>
      <c r="M35">
        <v>1.4139999999999999E-3</v>
      </c>
      <c r="N35">
        <v>1.4549999999999999E-3</v>
      </c>
      <c r="O35">
        <v>1.397E-3</v>
      </c>
      <c r="P35">
        <v>1.4679999999999999E-3</v>
      </c>
      <c r="Q35">
        <v>1.4679999999999999E-3</v>
      </c>
      <c r="R35">
        <v>1.4679999999999999E-3</v>
      </c>
      <c r="S35">
        <v>1.4679999999999999E-3</v>
      </c>
      <c r="T35">
        <v>1.4679999999999999E-3</v>
      </c>
      <c r="U35">
        <v>4.6299999999999998E-4</v>
      </c>
      <c r="V35">
        <v>1.031E-3</v>
      </c>
      <c r="W35">
        <v>8.5099999999999998E-4</v>
      </c>
      <c r="X35">
        <v>8.1999999999999998E-4</v>
      </c>
      <c r="Y35">
        <v>4.6299999999999998E-4</v>
      </c>
      <c r="Z35">
        <v>4.6299999999999998E-4</v>
      </c>
      <c r="AA35">
        <v>4.6299999999999998E-4</v>
      </c>
      <c r="AB35">
        <v>4.6299999999999998E-4</v>
      </c>
      <c r="AC35">
        <v>4.6299999999999998E-4</v>
      </c>
      <c r="AD35">
        <v>4.6299999999999998E-4</v>
      </c>
      <c r="AE35">
        <v>4.6299999999999998E-4</v>
      </c>
      <c r="AF35">
        <v>4.6299999999999998E-4</v>
      </c>
      <c r="AG35">
        <v>3.8999999999999999E-5</v>
      </c>
      <c r="AH35">
        <v>4.6299999999999998E-4</v>
      </c>
      <c r="AI35">
        <v>4.6299999999999998E-4</v>
      </c>
      <c r="AJ35">
        <v>7.1500000000000003E-4</v>
      </c>
      <c r="AK35">
        <v>1.4679999999999999E-3</v>
      </c>
      <c r="AL35">
        <v>4.6299999999999998E-4</v>
      </c>
      <c r="AM35">
        <v>4.6299999999999998E-4</v>
      </c>
      <c r="AN35">
        <v>4.6299999999999998E-4</v>
      </c>
      <c r="AO35">
        <v>4.2400000000000001E-4</v>
      </c>
      <c r="AP35">
        <v>8.2299999999999995E-4</v>
      </c>
    </row>
    <row r="36" spans="1:42" x14ac:dyDescent="0.25">
      <c r="A36" t="s">
        <v>429</v>
      </c>
      <c r="B36" t="s">
        <v>429</v>
      </c>
      <c r="C36" t="s">
        <v>428</v>
      </c>
      <c r="D36" t="s">
        <v>427</v>
      </c>
      <c r="E36" t="s">
        <v>41</v>
      </c>
      <c r="I36">
        <v>-0.110655</v>
      </c>
      <c r="J36">
        <v>-0.132965</v>
      </c>
      <c r="K36">
        <v>-0.114745</v>
      </c>
      <c r="L36">
        <v>-9.8394999999999996E-2</v>
      </c>
      <c r="M36">
        <v>-9.8820000000000005E-2</v>
      </c>
      <c r="N36">
        <v>-0.117203</v>
      </c>
      <c r="O36">
        <v>-9.5380000000000006E-2</v>
      </c>
      <c r="P36">
        <v>-0.152586</v>
      </c>
      <c r="Q36">
        <v>-0.15639900000000001</v>
      </c>
      <c r="R36">
        <v>-0.160302</v>
      </c>
      <c r="S36">
        <v>-0.16431100000000001</v>
      </c>
      <c r="T36">
        <v>-0.17644499999999999</v>
      </c>
      <c r="U36">
        <v>-0.18085000000000001</v>
      </c>
      <c r="V36">
        <v>-0.185365</v>
      </c>
      <c r="W36">
        <v>-0.19000700000000001</v>
      </c>
      <c r="X36">
        <v>-0.19475899999999999</v>
      </c>
      <c r="Y36">
        <v>-0.19962199999999999</v>
      </c>
      <c r="Z36">
        <v>-0.20461099999999999</v>
      </c>
      <c r="AA36">
        <v>-0.21925900000000001</v>
      </c>
      <c r="AB36">
        <v>-0.22473899999999999</v>
      </c>
      <c r="AC36">
        <v>-0.23036699999999999</v>
      </c>
      <c r="AD36">
        <v>-0.236128</v>
      </c>
      <c r="AE36">
        <v>-0.24202000000000001</v>
      </c>
      <c r="AF36">
        <v>-0.24807799999999999</v>
      </c>
      <c r="AG36">
        <v>-0.26534000000000002</v>
      </c>
      <c r="AH36">
        <v>-0.27197100000000002</v>
      </c>
      <c r="AI36">
        <v>-0.27877400000000002</v>
      </c>
      <c r="AJ36">
        <v>-0.27644299999999999</v>
      </c>
      <c r="AK36">
        <v>-0.280831</v>
      </c>
      <c r="AL36">
        <v>-0.28769099999999997</v>
      </c>
      <c r="AM36">
        <v>-0.29488700000000001</v>
      </c>
      <c r="AN36">
        <v>-0.31539</v>
      </c>
      <c r="AO36">
        <v>-0.31751099999999999</v>
      </c>
      <c r="AP36">
        <v>-0.31398500000000001</v>
      </c>
    </row>
    <row r="37" spans="1:42" x14ac:dyDescent="0.25">
      <c r="A37" t="s">
        <v>426</v>
      </c>
      <c r="B37" t="s">
        <v>426</v>
      </c>
      <c r="C37" t="s">
        <v>425</v>
      </c>
      <c r="D37" t="s">
        <v>424</v>
      </c>
      <c r="E37" t="s">
        <v>41</v>
      </c>
      <c r="I37">
        <v>1.1992989999999999</v>
      </c>
      <c r="J37">
        <v>1.187066</v>
      </c>
      <c r="K37">
        <v>1.180094</v>
      </c>
      <c r="L37">
        <v>1.035218</v>
      </c>
      <c r="M37">
        <v>1.120444</v>
      </c>
      <c r="N37">
        <v>1.1474059999999999</v>
      </c>
      <c r="O37">
        <v>1.145297</v>
      </c>
      <c r="P37">
        <v>1.1731119999999999</v>
      </c>
      <c r="Q37">
        <v>1.163476</v>
      </c>
      <c r="R37">
        <v>1.1564380000000001</v>
      </c>
      <c r="S37">
        <v>1.150652</v>
      </c>
      <c r="T37">
        <v>1.142784</v>
      </c>
      <c r="U37">
        <v>1.132997</v>
      </c>
      <c r="V37">
        <v>1.1216219999999999</v>
      </c>
      <c r="W37">
        <v>1.1111530000000001</v>
      </c>
      <c r="X37">
        <v>1.1010960000000001</v>
      </c>
      <c r="Y37">
        <v>1.0941940000000001</v>
      </c>
      <c r="Z37">
        <v>1.0889690000000001</v>
      </c>
      <c r="AA37">
        <v>1.083545</v>
      </c>
      <c r="AB37">
        <v>1.076948</v>
      </c>
      <c r="AC37">
        <v>1.0723130000000001</v>
      </c>
      <c r="AD37">
        <v>1.068897</v>
      </c>
      <c r="AE37">
        <v>1.066168</v>
      </c>
      <c r="AF37">
        <v>1.0656490000000001</v>
      </c>
      <c r="AG37">
        <v>1.0654809999999999</v>
      </c>
      <c r="AH37">
        <v>1.0670219999999999</v>
      </c>
      <c r="AI37">
        <v>1.069585</v>
      </c>
      <c r="AJ37">
        <v>1.074109</v>
      </c>
      <c r="AK37">
        <v>1.0801540000000001</v>
      </c>
      <c r="AL37">
        <v>1.088203</v>
      </c>
      <c r="AM37">
        <v>1.0980799999999999</v>
      </c>
      <c r="AN37">
        <v>1.108525</v>
      </c>
      <c r="AO37">
        <v>1.120282</v>
      </c>
      <c r="AP37">
        <v>1.134161</v>
      </c>
    </row>
    <row r="38" spans="1:42" x14ac:dyDescent="0.25">
      <c r="A38" t="s">
        <v>423</v>
      </c>
      <c r="B38" t="s">
        <v>423</v>
      </c>
      <c r="D38" t="s">
        <v>422</v>
      </c>
    </row>
    <row r="39" spans="1:42" x14ac:dyDescent="0.25">
      <c r="A39" t="s">
        <v>421</v>
      </c>
      <c r="B39" t="s">
        <v>421</v>
      </c>
      <c r="D39" t="s">
        <v>420</v>
      </c>
    </row>
    <row r="40" spans="1:42" x14ac:dyDescent="0.25">
      <c r="A40" t="s">
        <v>211</v>
      </c>
      <c r="B40" t="s">
        <v>211</v>
      </c>
      <c r="C40" t="s">
        <v>419</v>
      </c>
      <c r="D40" t="s">
        <v>418</v>
      </c>
      <c r="E40" t="s">
        <v>41</v>
      </c>
      <c r="I40">
        <v>0.18323200000000001</v>
      </c>
      <c r="J40">
        <v>0.229909</v>
      </c>
      <c r="K40">
        <v>0.24008599999999999</v>
      </c>
      <c r="L40">
        <v>0.27982400000000002</v>
      </c>
      <c r="M40">
        <v>0.34078799999999998</v>
      </c>
      <c r="N40">
        <v>0.39321899999999999</v>
      </c>
      <c r="O40">
        <v>0.43436599999999997</v>
      </c>
      <c r="P40">
        <v>0.48979299999999998</v>
      </c>
      <c r="Q40">
        <v>0.53656400000000004</v>
      </c>
      <c r="R40">
        <v>0.58183300000000004</v>
      </c>
      <c r="S40">
        <v>0.62953099999999995</v>
      </c>
      <c r="T40">
        <v>0.67619799999999997</v>
      </c>
      <c r="U40">
        <v>0.72582400000000002</v>
      </c>
      <c r="V40">
        <v>0.77975099999999997</v>
      </c>
      <c r="W40">
        <v>0.83652899999999997</v>
      </c>
      <c r="X40">
        <v>0.89567300000000005</v>
      </c>
      <c r="Y40">
        <v>0.95067500000000005</v>
      </c>
      <c r="Z40">
        <v>1.0090749999999999</v>
      </c>
      <c r="AA40">
        <v>1.056513</v>
      </c>
      <c r="AB40">
        <v>1.1031200000000001</v>
      </c>
      <c r="AC40">
        <v>1.148593</v>
      </c>
      <c r="AD40">
        <v>1.1967890000000001</v>
      </c>
      <c r="AE40">
        <v>1.2516590000000001</v>
      </c>
      <c r="AF40">
        <v>1.307328</v>
      </c>
      <c r="AG40">
        <v>1.3734329999999999</v>
      </c>
      <c r="AH40">
        <v>1.438137</v>
      </c>
      <c r="AI40">
        <v>1.508013</v>
      </c>
      <c r="AJ40">
        <v>1.5831900000000001</v>
      </c>
      <c r="AK40">
        <v>1.662218</v>
      </c>
      <c r="AL40">
        <v>1.7387349999999999</v>
      </c>
      <c r="AM40">
        <v>1.8198840000000001</v>
      </c>
      <c r="AN40">
        <v>1.9015150000000001</v>
      </c>
      <c r="AO40">
        <v>1.990029</v>
      </c>
      <c r="AP40">
        <v>2.072695</v>
      </c>
    </row>
    <row r="41" spans="1:42" x14ac:dyDescent="0.25">
      <c r="A41" t="s">
        <v>417</v>
      </c>
      <c r="B41" t="s">
        <v>417</v>
      </c>
      <c r="C41" t="s">
        <v>416</v>
      </c>
      <c r="D41" t="s">
        <v>415</v>
      </c>
      <c r="E41" t="s">
        <v>41</v>
      </c>
      <c r="I41">
        <v>2.1384E-2</v>
      </c>
      <c r="J41">
        <v>2.9434999999999999E-2</v>
      </c>
      <c r="K41">
        <v>3.7303999999999997E-2</v>
      </c>
      <c r="L41">
        <v>4.1875999999999997E-2</v>
      </c>
      <c r="M41">
        <v>4.8448999999999999E-2</v>
      </c>
      <c r="N41">
        <v>5.7070999999999997E-2</v>
      </c>
      <c r="O41">
        <v>6.5246999999999999E-2</v>
      </c>
      <c r="P41">
        <v>7.4490000000000001E-2</v>
      </c>
      <c r="Q41">
        <v>8.2332000000000002E-2</v>
      </c>
      <c r="R41">
        <v>8.9647000000000004E-2</v>
      </c>
      <c r="S41">
        <v>9.6698999999999993E-2</v>
      </c>
      <c r="T41">
        <v>0.103424</v>
      </c>
      <c r="U41">
        <v>0.110056</v>
      </c>
      <c r="V41">
        <v>0.11708300000000001</v>
      </c>
      <c r="W41">
        <v>0.1244</v>
      </c>
      <c r="X41">
        <v>0.13175400000000001</v>
      </c>
      <c r="Y41">
        <v>0.136737</v>
      </c>
      <c r="Z41">
        <v>0.13999400000000001</v>
      </c>
      <c r="AA41">
        <v>0.13961699999999999</v>
      </c>
      <c r="AB41">
        <v>0.13946500000000001</v>
      </c>
      <c r="AC41">
        <v>0.13922100000000001</v>
      </c>
      <c r="AD41">
        <v>0.13922000000000001</v>
      </c>
      <c r="AE41">
        <v>0.139213</v>
      </c>
      <c r="AF41">
        <v>0.139127</v>
      </c>
      <c r="AG41">
        <v>0.139539</v>
      </c>
      <c r="AH41">
        <v>0.13955999999999999</v>
      </c>
      <c r="AI41">
        <v>0.13979800000000001</v>
      </c>
      <c r="AJ41">
        <v>0.139983</v>
      </c>
      <c r="AK41">
        <v>0.14035800000000001</v>
      </c>
      <c r="AL41">
        <v>0.140489</v>
      </c>
      <c r="AM41">
        <v>0.140678</v>
      </c>
      <c r="AN41">
        <v>0.140518</v>
      </c>
      <c r="AO41">
        <v>0.14077500000000001</v>
      </c>
      <c r="AP41">
        <v>0.140678</v>
      </c>
    </row>
    <row r="42" spans="1:42" x14ac:dyDescent="0.25">
      <c r="A42" t="s">
        <v>414</v>
      </c>
      <c r="B42" t="s">
        <v>414</v>
      </c>
      <c r="C42" t="s">
        <v>413</v>
      </c>
      <c r="D42" t="s">
        <v>412</v>
      </c>
      <c r="E42" t="s">
        <v>41</v>
      </c>
      <c r="I42">
        <v>3.2333000000000001E-2</v>
      </c>
      <c r="J42">
        <v>4.3832999999999997E-2</v>
      </c>
      <c r="K42">
        <v>1.4064E-2</v>
      </c>
      <c r="L42">
        <v>1.3027E-2</v>
      </c>
      <c r="M42">
        <v>1.3932E-2</v>
      </c>
      <c r="N42">
        <v>1.4845000000000001E-2</v>
      </c>
      <c r="O42">
        <v>1.5337E-2</v>
      </c>
      <c r="P42">
        <v>1.7392999999999999E-2</v>
      </c>
      <c r="Q42">
        <v>1.9101E-2</v>
      </c>
      <c r="R42">
        <v>2.0705000000000001E-2</v>
      </c>
      <c r="S42">
        <v>2.2252999999999998E-2</v>
      </c>
      <c r="T42">
        <v>2.3747000000000001E-2</v>
      </c>
      <c r="U42">
        <v>2.5304E-2</v>
      </c>
      <c r="V42">
        <v>2.6698E-2</v>
      </c>
      <c r="W42">
        <v>2.8160000000000001E-2</v>
      </c>
      <c r="X42">
        <v>2.9547E-2</v>
      </c>
      <c r="Y42">
        <v>3.0886E-2</v>
      </c>
      <c r="Z42">
        <v>3.2044999999999997E-2</v>
      </c>
      <c r="AA42">
        <v>3.2747999999999999E-2</v>
      </c>
      <c r="AB42">
        <v>3.3270000000000001E-2</v>
      </c>
      <c r="AC42">
        <v>3.3674000000000003E-2</v>
      </c>
      <c r="AD42">
        <v>3.3866E-2</v>
      </c>
      <c r="AE42">
        <v>3.424E-2</v>
      </c>
      <c r="AF42">
        <v>3.4597999999999997E-2</v>
      </c>
      <c r="AG42">
        <v>3.5140999999999999E-2</v>
      </c>
      <c r="AH42">
        <v>3.5660999999999998E-2</v>
      </c>
      <c r="AI42">
        <v>3.6152999999999998E-2</v>
      </c>
      <c r="AJ42">
        <v>3.6614000000000001E-2</v>
      </c>
      <c r="AK42">
        <v>3.7157999999999997E-2</v>
      </c>
      <c r="AL42">
        <v>3.7769999999999998E-2</v>
      </c>
      <c r="AM42">
        <v>3.8505999999999999E-2</v>
      </c>
      <c r="AN42">
        <v>3.9142999999999997E-2</v>
      </c>
      <c r="AO42">
        <v>3.9898999999999997E-2</v>
      </c>
      <c r="AP42">
        <v>4.0578000000000003E-2</v>
      </c>
    </row>
    <row r="43" spans="1:42" x14ac:dyDescent="0.25">
      <c r="A43" t="s">
        <v>402</v>
      </c>
      <c r="B43" t="s">
        <v>402</v>
      </c>
      <c r="C43" t="s">
        <v>411</v>
      </c>
      <c r="D43" t="s">
        <v>410</v>
      </c>
      <c r="E43" t="s">
        <v>41</v>
      </c>
      <c r="I43">
        <v>0.12917999999999999</v>
      </c>
      <c r="J43">
        <v>0.15629999999999999</v>
      </c>
      <c r="K43">
        <v>0.18854299999999999</v>
      </c>
      <c r="L43">
        <v>0.224748</v>
      </c>
      <c r="M43">
        <v>0.27823500000000001</v>
      </c>
      <c r="N43">
        <v>0.32074200000000003</v>
      </c>
      <c r="O43">
        <v>0.35317799999999999</v>
      </c>
      <c r="P43">
        <v>0.39725199999999999</v>
      </c>
      <c r="Q43">
        <v>0.43442599999999998</v>
      </c>
      <c r="R43">
        <v>0.47073300000000001</v>
      </c>
      <c r="S43">
        <v>0.50977799999999995</v>
      </c>
      <c r="T43">
        <v>0.54817300000000002</v>
      </c>
      <c r="U43">
        <v>0.58955800000000003</v>
      </c>
      <c r="V43">
        <v>0.63500900000000005</v>
      </c>
      <c r="W43">
        <v>0.682952</v>
      </c>
      <c r="X43">
        <v>0.73329999999999995</v>
      </c>
      <c r="Y43">
        <v>0.78193000000000001</v>
      </c>
      <c r="Z43">
        <v>0.83591400000000005</v>
      </c>
      <c r="AA43">
        <v>0.88302199999999997</v>
      </c>
      <c r="AB43">
        <v>0.92925899999999995</v>
      </c>
      <c r="AC43">
        <v>0.97457099999999997</v>
      </c>
      <c r="AD43">
        <v>1.022575</v>
      </c>
      <c r="AE43">
        <v>1.0770759999999999</v>
      </c>
      <c r="AF43">
        <v>1.132468</v>
      </c>
      <c r="AG43">
        <v>1.1976089999999999</v>
      </c>
      <c r="AH43">
        <v>1.2617700000000001</v>
      </c>
      <c r="AI43">
        <v>1.3309089999999999</v>
      </c>
      <c r="AJ43">
        <v>1.4054310000000001</v>
      </c>
      <c r="AK43">
        <v>1.4835309999999999</v>
      </c>
      <c r="AL43">
        <v>1.559299</v>
      </c>
      <c r="AM43">
        <v>1.639516</v>
      </c>
      <c r="AN43">
        <v>1.7206680000000001</v>
      </c>
      <c r="AO43">
        <v>1.8081609999999999</v>
      </c>
      <c r="AP43">
        <v>1.890247</v>
      </c>
    </row>
    <row r="44" spans="1:42" x14ac:dyDescent="0.25">
      <c r="A44" t="s">
        <v>399</v>
      </c>
      <c r="B44" t="s">
        <v>399</v>
      </c>
      <c r="C44" t="s">
        <v>409</v>
      </c>
      <c r="D44" t="s">
        <v>408</v>
      </c>
      <c r="E44" t="s">
        <v>41</v>
      </c>
      <c r="I44">
        <v>3.3500000000000001E-4</v>
      </c>
      <c r="J44">
        <v>3.4099999999999999E-4</v>
      </c>
      <c r="K44">
        <v>1.75E-4</v>
      </c>
      <c r="L44">
        <v>1.7200000000000001E-4</v>
      </c>
      <c r="M44">
        <v>1.7200000000000001E-4</v>
      </c>
      <c r="N44">
        <v>5.6099999999999998E-4</v>
      </c>
      <c r="O44">
        <v>6.0300000000000002E-4</v>
      </c>
      <c r="P44">
        <v>6.5899999999999997E-4</v>
      </c>
      <c r="Q44">
        <v>7.0500000000000001E-4</v>
      </c>
      <c r="R44">
        <v>7.4799999999999997E-4</v>
      </c>
      <c r="S44">
        <v>8.0099999999999995E-4</v>
      </c>
      <c r="T44">
        <v>8.5400000000000005E-4</v>
      </c>
      <c r="U44">
        <v>9.0700000000000004E-4</v>
      </c>
      <c r="V44">
        <v>9.6000000000000002E-4</v>
      </c>
      <c r="W44">
        <v>1.0169999999999999E-3</v>
      </c>
      <c r="X44">
        <v>1.072E-3</v>
      </c>
      <c r="Y44">
        <v>1.122E-3</v>
      </c>
      <c r="Z44">
        <v>1.122E-3</v>
      </c>
      <c r="AA44">
        <v>1.127E-3</v>
      </c>
      <c r="AB44">
        <v>1.126E-3</v>
      </c>
      <c r="AC44">
        <v>1.1280000000000001E-3</v>
      </c>
      <c r="AD44">
        <v>1.1280000000000001E-3</v>
      </c>
      <c r="AE44">
        <v>1.1299999999999999E-3</v>
      </c>
      <c r="AF44">
        <v>1.1349999999999999E-3</v>
      </c>
      <c r="AG44">
        <v>1.1440000000000001E-3</v>
      </c>
      <c r="AH44">
        <v>1.1460000000000001E-3</v>
      </c>
      <c r="AI44">
        <v>1.1540000000000001E-3</v>
      </c>
      <c r="AJ44">
        <v>1.1620000000000001E-3</v>
      </c>
      <c r="AK44">
        <v>1.17E-3</v>
      </c>
      <c r="AL44">
        <v>1.1770000000000001E-3</v>
      </c>
      <c r="AM44">
        <v>1.183E-3</v>
      </c>
      <c r="AN44">
        <v>1.1869999999999999E-3</v>
      </c>
      <c r="AO44">
        <v>1.194E-3</v>
      </c>
      <c r="AP44">
        <v>1.1919999999999999E-3</v>
      </c>
    </row>
    <row r="45" spans="1:42" x14ac:dyDescent="0.25">
      <c r="A45" t="s">
        <v>201</v>
      </c>
      <c r="B45" t="s">
        <v>201</v>
      </c>
      <c r="C45" t="s">
        <v>407</v>
      </c>
      <c r="D45" t="s">
        <v>406</v>
      </c>
      <c r="E45" t="s">
        <v>41</v>
      </c>
      <c r="I45">
        <v>0.195633</v>
      </c>
      <c r="J45">
        <v>0.216303</v>
      </c>
      <c r="K45">
        <v>0.244787</v>
      </c>
      <c r="L45">
        <v>0.246143</v>
      </c>
      <c r="M45">
        <v>0.27771200000000001</v>
      </c>
      <c r="N45">
        <v>0.34251599999999999</v>
      </c>
      <c r="O45">
        <v>0.388984</v>
      </c>
      <c r="P45">
        <v>0.43183100000000002</v>
      </c>
      <c r="Q45">
        <v>0.46165899999999999</v>
      </c>
      <c r="R45">
        <v>0.47733100000000001</v>
      </c>
      <c r="S45">
        <v>0.49774299999999999</v>
      </c>
      <c r="T45">
        <v>0.51458599999999999</v>
      </c>
      <c r="U45">
        <v>0.54301699999999997</v>
      </c>
      <c r="V45">
        <v>0.56312700000000004</v>
      </c>
      <c r="W45">
        <v>0.584484</v>
      </c>
      <c r="X45">
        <v>0.60242899999999999</v>
      </c>
      <c r="Y45">
        <v>0.628135</v>
      </c>
      <c r="Z45">
        <v>0.65619300000000003</v>
      </c>
      <c r="AA45">
        <v>0.67456300000000002</v>
      </c>
      <c r="AB45">
        <v>0.70348900000000003</v>
      </c>
      <c r="AC45">
        <v>0.71980699999999997</v>
      </c>
      <c r="AD45">
        <v>0.74051999999999996</v>
      </c>
      <c r="AE45">
        <v>0.76336199999999999</v>
      </c>
      <c r="AF45">
        <v>0.78221499999999999</v>
      </c>
      <c r="AG45">
        <v>0.80208500000000005</v>
      </c>
      <c r="AH45">
        <v>0.81651499999999999</v>
      </c>
      <c r="AI45">
        <v>0.829349</v>
      </c>
      <c r="AJ45">
        <v>0.84207200000000004</v>
      </c>
      <c r="AK45">
        <v>0.85361600000000004</v>
      </c>
      <c r="AL45">
        <v>0.87365199999999998</v>
      </c>
      <c r="AM45">
        <v>0.88150099999999998</v>
      </c>
      <c r="AN45">
        <v>0.89169900000000002</v>
      </c>
      <c r="AO45">
        <v>0.89882799999999996</v>
      </c>
      <c r="AP45">
        <v>0.89905100000000004</v>
      </c>
    </row>
    <row r="46" spans="1:42" x14ac:dyDescent="0.25">
      <c r="A46" t="s">
        <v>405</v>
      </c>
      <c r="B46" t="s">
        <v>405</v>
      </c>
      <c r="C46" t="s">
        <v>404</v>
      </c>
      <c r="D46" t="s">
        <v>403</v>
      </c>
      <c r="E46" t="s">
        <v>41</v>
      </c>
      <c r="I46">
        <v>7.3734999999999995E-2</v>
      </c>
      <c r="J46">
        <v>7.4426999999999993E-2</v>
      </c>
      <c r="K46">
        <v>7.5358999999999995E-2</v>
      </c>
      <c r="L46">
        <v>7.3691999999999994E-2</v>
      </c>
      <c r="M46">
        <v>7.4182999999999999E-2</v>
      </c>
      <c r="N46">
        <v>7.3909000000000002E-2</v>
      </c>
      <c r="O46">
        <v>7.4150999999999995E-2</v>
      </c>
      <c r="P46">
        <v>7.5856999999999994E-2</v>
      </c>
      <c r="Q46">
        <v>7.6402999999999999E-2</v>
      </c>
      <c r="R46">
        <v>7.6691999999999996E-2</v>
      </c>
      <c r="S46">
        <v>7.6408000000000004E-2</v>
      </c>
      <c r="T46">
        <v>7.5979000000000005E-2</v>
      </c>
      <c r="U46">
        <v>7.5915999999999997E-2</v>
      </c>
      <c r="V46">
        <v>7.5720999999999997E-2</v>
      </c>
      <c r="W46">
        <v>7.5837000000000002E-2</v>
      </c>
      <c r="X46">
        <v>7.5840000000000005E-2</v>
      </c>
      <c r="Y46">
        <v>7.5718999999999995E-2</v>
      </c>
      <c r="Z46">
        <v>7.5756000000000004E-2</v>
      </c>
      <c r="AA46">
        <v>7.5952000000000006E-2</v>
      </c>
      <c r="AB46">
        <v>7.5837000000000002E-2</v>
      </c>
      <c r="AC46">
        <v>7.5588000000000002E-2</v>
      </c>
      <c r="AD46">
        <v>7.4880000000000002E-2</v>
      </c>
      <c r="AE46">
        <v>7.4638999999999997E-2</v>
      </c>
      <c r="AF46">
        <v>7.4340000000000003E-2</v>
      </c>
      <c r="AG46">
        <v>7.4428999999999995E-2</v>
      </c>
      <c r="AH46">
        <v>7.4297000000000002E-2</v>
      </c>
      <c r="AI46">
        <v>7.4152999999999997E-2</v>
      </c>
      <c r="AJ46">
        <v>7.4107000000000006E-2</v>
      </c>
      <c r="AK46">
        <v>7.4011999999999994E-2</v>
      </c>
      <c r="AL46">
        <v>7.3801000000000005E-2</v>
      </c>
      <c r="AM46">
        <v>7.3764999999999997E-2</v>
      </c>
      <c r="AN46">
        <v>7.3537000000000005E-2</v>
      </c>
      <c r="AO46">
        <v>7.3493000000000003E-2</v>
      </c>
      <c r="AP46">
        <v>7.3126999999999998E-2</v>
      </c>
    </row>
    <row r="47" spans="1:42" x14ac:dyDescent="0.25">
      <c r="A47" t="s">
        <v>402</v>
      </c>
      <c r="B47" t="s">
        <v>402</v>
      </c>
      <c r="C47" t="s">
        <v>401</v>
      </c>
      <c r="D47" t="s">
        <v>400</v>
      </c>
      <c r="E47" t="s">
        <v>41</v>
      </c>
      <c r="I47">
        <v>0.114854</v>
      </c>
      <c r="J47">
        <v>0.13483100000000001</v>
      </c>
      <c r="K47">
        <v>0.162357</v>
      </c>
      <c r="L47">
        <v>0.16556000000000001</v>
      </c>
      <c r="M47">
        <v>0.19664200000000001</v>
      </c>
      <c r="N47">
        <v>0.26181500000000002</v>
      </c>
      <c r="O47">
        <v>0.30804399999999998</v>
      </c>
      <c r="P47">
        <v>0.34912500000000002</v>
      </c>
      <c r="Q47">
        <v>0.37846299999999999</v>
      </c>
      <c r="R47">
        <v>0.39390900000000001</v>
      </c>
      <c r="S47">
        <v>0.41461999999999999</v>
      </c>
      <c r="T47">
        <v>0.43187599999999998</v>
      </c>
      <c r="U47">
        <v>0.46030500000000002</v>
      </c>
      <c r="V47">
        <v>0.480624</v>
      </c>
      <c r="W47">
        <v>0.50182800000000005</v>
      </c>
      <c r="X47">
        <v>0.51975400000000005</v>
      </c>
      <c r="Y47">
        <v>0.54557999999999995</v>
      </c>
      <c r="Z47">
        <v>0.57357999999999998</v>
      </c>
      <c r="AA47">
        <v>0.59170900000000004</v>
      </c>
      <c r="AB47">
        <v>0.62073800000000001</v>
      </c>
      <c r="AC47">
        <v>0.63733600000000001</v>
      </c>
      <c r="AD47">
        <v>0.65883999999999998</v>
      </c>
      <c r="AE47">
        <v>0.68191400000000002</v>
      </c>
      <c r="AF47">
        <v>0.70109399999999999</v>
      </c>
      <c r="AG47">
        <v>0.72085200000000005</v>
      </c>
      <c r="AH47">
        <v>0.73541500000000004</v>
      </c>
      <c r="AI47">
        <v>0.74840499999999999</v>
      </c>
      <c r="AJ47">
        <v>0.76118200000000003</v>
      </c>
      <c r="AK47">
        <v>0.77283400000000002</v>
      </c>
      <c r="AL47">
        <v>0.79308599999999996</v>
      </c>
      <c r="AM47">
        <v>0.80096900000000004</v>
      </c>
      <c r="AN47">
        <v>0.81140100000000004</v>
      </c>
      <c r="AO47">
        <v>0.818581</v>
      </c>
      <c r="AP47">
        <v>0.81918100000000005</v>
      </c>
    </row>
    <row r="48" spans="1:42" x14ac:dyDescent="0.25">
      <c r="A48" t="s">
        <v>399</v>
      </c>
      <c r="B48" t="s">
        <v>399</v>
      </c>
      <c r="C48" t="s">
        <v>398</v>
      </c>
      <c r="D48" t="s">
        <v>397</v>
      </c>
      <c r="E48" t="s">
        <v>41</v>
      </c>
      <c r="I48">
        <v>7.0439999999999999E-3</v>
      </c>
      <c r="J48">
        <v>7.045E-3</v>
      </c>
      <c r="K48">
        <v>7.071E-3</v>
      </c>
      <c r="L48">
        <v>6.8910000000000004E-3</v>
      </c>
      <c r="M48">
        <v>6.888E-3</v>
      </c>
      <c r="N48">
        <v>6.7920000000000003E-3</v>
      </c>
      <c r="O48">
        <v>6.7889999999999999E-3</v>
      </c>
      <c r="P48">
        <v>6.8490000000000001E-3</v>
      </c>
      <c r="Q48">
        <v>6.7939999999999997E-3</v>
      </c>
      <c r="R48">
        <v>6.7299999999999999E-3</v>
      </c>
      <c r="S48">
        <v>6.7140000000000003E-3</v>
      </c>
      <c r="T48">
        <v>6.7320000000000001E-3</v>
      </c>
      <c r="U48">
        <v>6.796E-3</v>
      </c>
      <c r="V48">
        <v>6.7819999999999998E-3</v>
      </c>
      <c r="W48">
        <v>6.8199999999999997E-3</v>
      </c>
      <c r="X48">
        <v>6.8349999999999999E-3</v>
      </c>
      <c r="Y48">
        <v>6.8360000000000001E-3</v>
      </c>
      <c r="Z48">
        <v>6.8570000000000002E-3</v>
      </c>
      <c r="AA48">
        <v>6.9030000000000003E-3</v>
      </c>
      <c r="AB48">
        <v>6.914E-3</v>
      </c>
      <c r="AC48">
        <v>6.8830000000000002E-3</v>
      </c>
      <c r="AD48">
        <v>6.7999999999999996E-3</v>
      </c>
      <c r="AE48">
        <v>6.8079999999999998E-3</v>
      </c>
      <c r="AF48">
        <v>6.7809999999999997E-3</v>
      </c>
      <c r="AG48">
        <v>6.8040000000000002E-3</v>
      </c>
      <c r="AH48">
        <v>6.803E-3</v>
      </c>
      <c r="AI48">
        <v>6.7920000000000003E-3</v>
      </c>
      <c r="AJ48">
        <v>6.783E-3</v>
      </c>
      <c r="AK48">
        <v>6.7689999999999998E-3</v>
      </c>
      <c r="AL48">
        <v>6.7650000000000002E-3</v>
      </c>
      <c r="AM48">
        <v>6.7669999999999996E-3</v>
      </c>
      <c r="AN48">
        <v>6.7600000000000004E-3</v>
      </c>
      <c r="AO48">
        <v>6.7539999999999996E-3</v>
      </c>
      <c r="AP48">
        <v>6.7429999999999999E-3</v>
      </c>
    </row>
  </sheetData>
  <hyperlinks>
    <hyperlink ref="B2" r:id="rId1" location="/?id=24-AEO2020&amp;cases=ref2020&amp;sourcekey=0" xr:uid="{00000000-0004-0000-07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osted_x0020_to xmlns="2f119d7b-84ae-485e-90b2-f8bb54fe4be9" xsi:nil="true"/>
    <PublishingExpirationDate xmlns="http://schemas.microsoft.com/sharepoint/v3" xsi:nil="true"/>
    <Subtopics xmlns="2f119d7b-84ae-485e-90b2-f8bb54fe4be9" xsi:nil="true"/>
    <Demographic xmlns="2f119d7b-84ae-485e-90b2-f8bb54fe4be9" xsi:nil="true"/>
    <PublishingStartDate xmlns="http://schemas.microsoft.com/sharepoint/v3" xsi:nil="true"/>
    <Topic_x0020_area xmlns="2f119d7b-84ae-485e-90b2-f8bb54fe4be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4FC7B12AE804049AF890919B65DCAA1" ma:contentTypeVersion="9" ma:contentTypeDescription="Create a new document." ma:contentTypeScope="" ma:versionID="4ea9a14a3a496b8d908ccdc5e188100c">
  <xsd:schema xmlns:xsd="http://www.w3.org/2001/XMLSchema" xmlns:xs="http://www.w3.org/2001/XMLSchema" xmlns:p="http://schemas.microsoft.com/office/2006/metadata/properties" xmlns:ns1="http://schemas.microsoft.com/sharepoint/v3" xmlns:ns2="2f119d7b-84ae-485e-90b2-f8bb54fe4be9" xmlns:ns3="c11a4dd1-9999-41de-ad6b-508521c3559d" targetNamespace="http://schemas.microsoft.com/office/2006/metadata/properties" ma:root="true" ma:fieldsID="59e3ea66ea2ee84ff8cf1250dfcbfdba" ns1:_="" ns2:_="" ns3:_="">
    <xsd:import namespace="http://schemas.microsoft.com/sharepoint/v3"/>
    <xsd:import namespace="2f119d7b-84ae-485e-90b2-f8bb54fe4be9"/>
    <xsd:import namespace="c11a4dd1-9999-41de-ad6b-508521c3559d"/>
    <xsd:element name="properties">
      <xsd:complexType>
        <xsd:sequence>
          <xsd:element name="documentManagement">
            <xsd:complexType>
              <xsd:all>
                <xsd:element ref="ns2:Topic_x0020_area" minOccurs="0"/>
                <xsd:element ref="ns2:Subtopics" minOccurs="0"/>
                <xsd:element ref="ns2:Demographic" minOccurs="0"/>
                <xsd:element ref="ns2:Posted_x0020_to"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119d7b-84ae-485e-90b2-f8bb54fe4be9" elementFormDefault="qualified">
    <xsd:import namespace="http://schemas.microsoft.com/office/2006/documentManagement/types"/>
    <xsd:import namespace="http://schemas.microsoft.com/office/infopath/2007/PartnerControls"/>
    <xsd:element name="Topic_x0020_area" ma:index="2" nillable="true" ma:displayName="Topic area" ma:format="Dropdown" ma:internalName="Topic_x0020_area">
      <xsd:simpleType>
        <xsd:restriction base="dms:Choice">
          <xsd:enumeration value="Economic forecast"/>
          <xsd:enumeration value="Revenue forecast"/>
          <xsd:enumeration value="Corrections forecast"/>
          <xsd:enumeration value="Youth forecast"/>
          <xsd:enumeration value="Demographic forecast"/>
          <xsd:enumeration value="Highway Cost Allocation"/>
        </xsd:restriction>
      </xsd:simpleType>
    </xsd:element>
    <xsd:element name="Subtopics" ma:index="3" nillable="true" ma:displayName="Sub-topic" ma:format="Dropdown" ma:internalName="Subtopics">
      <xsd:simpleType>
        <xsd:restriction base="dms:Choice">
          <xsd:enumeration value="Corrections"/>
          <xsd:enumeration value="Youth Authority"/>
        </xsd:restriction>
      </xsd:simpleType>
    </xsd:element>
    <xsd:element name="Demographic" ma:index="4" nillable="true" ma:displayName="Demographic" ma:format="Dropdown" ma:internalName="Demographic">
      <xsd:simpleType>
        <xsd:restriction base="dms:Choice">
          <xsd:enumeration value="Demographic Forecast"/>
          <xsd:enumeration value="Census Data"/>
        </xsd:restriction>
      </xsd:simpleType>
    </xsd:element>
    <xsd:element name="Posted_x0020_to" ma:index="5" nillable="true" ma:displayName="Posted to" ma:format="Dropdown" ma:internalName="Posted_x0020_to">
      <xsd:simpleType>
        <xsd:union memberTypes="dms:Text">
          <xsd:simpleType>
            <xsd:restriction base="dms:Choice">
              <xsd:enumeration value="Current"/>
              <xsd:enumeration value="Archiv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283CF8-F399-442B-8793-CF8117AD3959}">
  <ds:schemaRefs>
    <ds:schemaRef ds:uri="http://schemas.microsoft.com/office/2006/metadata/properties"/>
    <ds:schemaRef ds:uri="http://schemas.microsoft.com/office/infopath/2007/PartnerControls"/>
    <ds:schemaRef ds:uri="2f119d7b-84ae-485e-90b2-f8bb54fe4be9"/>
    <ds:schemaRef ds:uri="http://schemas.microsoft.com/sharepoint/v3"/>
  </ds:schemaRefs>
</ds:datastoreItem>
</file>

<file path=customXml/itemProps2.xml><?xml version="1.0" encoding="utf-8"?>
<ds:datastoreItem xmlns:ds="http://schemas.openxmlformats.org/officeDocument/2006/customXml" ds:itemID="{767ED02E-0E34-4030-9600-D0B9EFC1FE35}">
  <ds:schemaRefs>
    <ds:schemaRef ds:uri="http://schemas.microsoft.com/sharepoint/v3/contenttype/forms"/>
  </ds:schemaRefs>
</ds:datastoreItem>
</file>

<file path=customXml/itemProps3.xml><?xml version="1.0" encoding="utf-8"?>
<ds:datastoreItem xmlns:ds="http://schemas.openxmlformats.org/officeDocument/2006/customXml" ds:itemID="{1545DB0C-5CD3-4CB2-8863-37AF7CE1AE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120</vt:i4>
      </vt:variant>
    </vt:vector>
  </HeadingPairs>
  <TitlesOfParts>
    <vt:vector size="133" baseType="lpstr">
      <vt:lpstr>Intro</vt:lpstr>
      <vt:lpstr>Forecast_Main</vt:lpstr>
      <vt:lpstr>Table 1 - Volumes</vt:lpstr>
      <vt:lpstr>Table 3+4 - Credit</vt:lpstr>
      <vt:lpstr>CI Trend</vt:lpstr>
      <vt:lpstr>CI Facility</vt:lpstr>
      <vt:lpstr>Electric Vehicles</vt:lpstr>
      <vt:lpstr>AEO Pacific</vt:lpstr>
      <vt:lpstr>AEO Renewable</vt:lpstr>
      <vt:lpstr>Constants Pivot</vt:lpstr>
      <vt:lpstr>Constants_out</vt:lpstr>
      <vt:lpstr>Growth Rate Tables</vt:lpstr>
      <vt:lpstr>Charts</vt:lpstr>
      <vt:lpstr>BR_bgs_T0</vt:lpstr>
      <vt:lpstr>BR_bgs_T1</vt:lpstr>
      <vt:lpstr>BR_bgs_T2</vt:lpstr>
      <vt:lpstr>BR_bio_T0</vt:lpstr>
      <vt:lpstr>BR_bio_T1</vt:lpstr>
      <vt:lpstr>BR_bio_T2</vt:lpstr>
      <vt:lpstr>BR_eth_T0</vt:lpstr>
      <vt:lpstr>BR_eth_T1</vt:lpstr>
      <vt:lpstr>BR_eth_T2</vt:lpstr>
      <vt:lpstr>BR_lp_T0</vt:lpstr>
      <vt:lpstr>BR_lp_T1</vt:lpstr>
      <vt:lpstr>BR_lp_T2</vt:lpstr>
      <vt:lpstr>BR_ren_T0</vt:lpstr>
      <vt:lpstr>BR_ren_T1</vt:lpstr>
      <vt:lpstr>BR_ren_T2</vt:lpstr>
      <vt:lpstr>CFP_TB_HOLD_constants</vt:lpstr>
      <vt:lpstr>CIA_bgs_T0</vt:lpstr>
      <vt:lpstr>CIA_bgs_T1</vt:lpstr>
      <vt:lpstr>CIA_bgs_T2</vt:lpstr>
      <vt:lpstr>CIA_bio_T0</vt:lpstr>
      <vt:lpstr>CIA_Bio_T1</vt:lpstr>
      <vt:lpstr>CIA_bio_T2</vt:lpstr>
      <vt:lpstr>CIA_cbob_T0</vt:lpstr>
      <vt:lpstr>CIA_cbob_T1</vt:lpstr>
      <vt:lpstr>CIA_cbob_T2</vt:lpstr>
      <vt:lpstr>CIA_die_T0</vt:lpstr>
      <vt:lpstr>CIA_die_T1</vt:lpstr>
      <vt:lpstr>CIA_die_T2</vt:lpstr>
      <vt:lpstr>CIA_E10_T0</vt:lpstr>
      <vt:lpstr>CIA_E10_T1</vt:lpstr>
      <vt:lpstr>CIA_E10_T2</vt:lpstr>
      <vt:lpstr>CIA_eon_T0</vt:lpstr>
      <vt:lpstr>CIA_eon_T1</vt:lpstr>
      <vt:lpstr>CIA_eon_T2</vt:lpstr>
      <vt:lpstr>CIA_Eth_T0</vt:lpstr>
      <vt:lpstr>CIA_eth_T1</vt:lpstr>
      <vt:lpstr>CIA_eth_T2</vt:lpstr>
      <vt:lpstr>CIA_fcg_T0</vt:lpstr>
      <vt:lpstr>CIA_fcg_T1</vt:lpstr>
      <vt:lpstr>CIA_fcg_T2</vt:lpstr>
      <vt:lpstr>CIA_gas_T0</vt:lpstr>
      <vt:lpstr>CIA_gas_T1</vt:lpstr>
      <vt:lpstr>CIA_gas_T2</vt:lpstr>
      <vt:lpstr>CIA_lp_T0</vt:lpstr>
      <vt:lpstr>CIA_lp_T1</vt:lpstr>
      <vt:lpstr>CIA_lp_T2</vt:lpstr>
      <vt:lpstr>CIA_ren_T0</vt:lpstr>
      <vt:lpstr>CIA_ren_T1</vt:lpstr>
      <vt:lpstr>CIA_ren_T2</vt:lpstr>
      <vt:lpstr>CIT_die_T0</vt:lpstr>
      <vt:lpstr>CIT_die_T1</vt:lpstr>
      <vt:lpstr>CIT_die_T2</vt:lpstr>
      <vt:lpstr>CIT_gas_T0</vt:lpstr>
      <vt:lpstr>CIT_gas_T1</vt:lpstr>
      <vt:lpstr>CIT_gas_T2</vt:lpstr>
      <vt:lpstr>CIT_jf_T0</vt:lpstr>
      <vt:lpstr>CIT_jf_T1</vt:lpstr>
      <vt:lpstr>CIT_jf_T2</vt:lpstr>
      <vt:lpstr>constants_data_out</vt:lpstr>
      <vt:lpstr>ED_Bio_T0</vt:lpstr>
      <vt:lpstr>ED_bio_T1</vt:lpstr>
      <vt:lpstr>ED_bio_T2</vt:lpstr>
      <vt:lpstr>ED_die_T0</vt:lpstr>
      <vt:lpstr>ED_die_T1</vt:lpstr>
      <vt:lpstr>ED_die_T2</vt:lpstr>
      <vt:lpstr>ED_E10_T0</vt:lpstr>
      <vt:lpstr>ED_E10_T1</vt:lpstr>
      <vt:lpstr>ED_E10_T2</vt:lpstr>
      <vt:lpstr>ED_eon_T0</vt:lpstr>
      <vt:lpstr>ED_eon_T1</vt:lpstr>
      <vt:lpstr>ED_eon_T2</vt:lpstr>
      <vt:lpstr>ED_eth_T0</vt:lpstr>
      <vt:lpstr>ED_eth_T1</vt:lpstr>
      <vt:lpstr>ED_eth_T2</vt:lpstr>
      <vt:lpstr>ED_fcg_T0</vt:lpstr>
      <vt:lpstr>ED_fcg_T1</vt:lpstr>
      <vt:lpstr>ED_fcg_T2</vt:lpstr>
      <vt:lpstr>ED_flg_T0</vt:lpstr>
      <vt:lpstr>ED_flg_T1</vt:lpstr>
      <vt:lpstr>ED_flg_T2</vt:lpstr>
      <vt:lpstr>ED_gas_2018</vt:lpstr>
      <vt:lpstr>ED_gas_T0</vt:lpstr>
      <vt:lpstr>ED_gas_T1</vt:lpstr>
      <vt:lpstr>ED_gas_T2</vt:lpstr>
      <vt:lpstr>ED_hyd_T0</vt:lpstr>
      <vt:lpstr>ED_hyd_T1</vt:lpstr>
      <vt:lpstr>ED_hyd_T2</vt:lpstr>
      <vt:lpstr>ED_jf_T0</vt:lpstr>
      <vt:lpstr>ED_jf_T1</vt:lpstr>
      <vt:lpstr>ED_jf_T2</vt:lpstr>
      <vt:lpstr>ED_lp_T0</vt:lpstr>
      <vt:lpstr>ED_lp_T1</vt:lpstr>
      <vt:lpstr>ED_lp_T2</vt:lpstr>
      <vt:lpstr>ED_ren_T0</vt:lpstr>
      <vt:lpstr>ED_ren_T1</vt:lpstr>
      <vt:lpstr>ED_ren_T2</vt:lpstr>
      <vt:lpstr>EEReon_T0</vt:lpstr>
      <vt:lpstr>EEReon_T1</vt:lpstr>
      <vt:lpstr>EEReon_T2</vt:lpstr>
      <vt:lpstr>EERng_T0</vt:lpstr>
      <vt:lpstr>EERng_T1</vt:lpstr>
      <vt:lpstr>EERng_T2</vt:lpstr>
      <vt:lpstr>GR_die_T0</vt:lpstr>
      <vt:lpstr>GR_die_T1</vt:lpstr>
      <vt:lpstr>GR_die_T2</vt:lpstr>
      <vt:lpstr>GR_eof_T0</vt:lpstr>
      <vt:lpstr>GR_eof_T1</vt:lpstr>
      <vt:lpstr>GR_eof_T2</vt:lpstr>
      <vt:lpstr>GR_gas_T0</vt:lpstr>
      <vt:lpstr>GR_gas_T1</vt:lpstr>
      <vt:lpstr>GR_gas_T2</vt:lpstr>
      <vt:lpstr>GR_lp_T0</vt:lpstr>
      <vt:lpstr>GR_lp_T1</vt:lpstr>
      <vt:lpstr>GR_lp_T2</vt:lpstr>
      <vt:lpstr>GR_ng_T0</vt:lpstr>
      <vt:lpstr>GR_ng_T1</vt:lpstr>
      <vt:lpstr>GR_ng_T2</vt:lpstr>
      <vt:lpstr>KWh_T0</vt:lpstr>
      <vt:lpstr>KWh_T1</vt:lpstr>
      <vt:lpstr>KWh_T2</vt:lpstr>
    </vt:vector>
  </TitlesOfParts>
  <Company>ICFI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Sheehy, Philip</dc:creator>
  <cp:lastModifiedBy>KENNEDY Michael  * DAS</cp:lastModifiedBy>
  <dcterms:created xsi:type="dcterms:W3CDTF">2017-07-18T17:03:04Z</dcterms:created>
  <dcterms:modified xsi:type="dcterms:W3CDTF">2023-09-18T19:59:41Z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0x01010084FC7B12AE804049AF890919B65DCAA1</vt:lpwstr>
  </property>
</Properties>
</file>