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9cb6bf57e6c3811/Oregon/2019-2020 cost model project/"/>
    </mc:Choice>
  </mc:AlternateContent>
  <xr:revisionPtr revIDLastSave="117" documentId="8_{B248E66F-BA2E-CA49-A2B8-2F1EDBE7AADC}" xr6:coauthVersionLast="47" xr6:coauthVersionMax="47" xr10:uidLastSave="{6B07E5F1-EC5D-D547-89D6-0146DCE919D9}"/>
  <bookViews>
    <workbookView xWindow="8560" yWindow="700" windowWidth="17400" windowHeight="15500" xr2:uid="{35E49FF9-35CF-8C46-A604-8B97C3F0011E}"/>
  </bookViews>
  <sheets>
    <sheet name="VariablesINPUT-CTR" sheetId="35" r:id="rId1"/>
    <sheet name="Quality Center Profile" sheetId="1" state="hidden" r:id="rId2"/>
    <sheet name="QualVar" sheetId="102" state="hidden" r:id="rId3"/>
    <sheet name="Ratios" sheetId="90" state="hidden" r:id="rId4"/>
    <sheet name="Wages" sheetId="91" state="hidden" r:id="rId5"/>
    <sheet name="Nonpersonnel PCQC" sheetId="77" state="hidden" r:id="rId6"/>
    <sheet name="Subsidy Rates" sheetId="103" state="hidden" r:id="rId7"/>
    <sheet name="Tuition Rates" sheetId="104" state="hidden" r:id="rId8"/>
    <sheet name="Fed CACFP" sheetId="106" state="hidden" r:id="rId9"/>
    <sheet name="Promise Rates" sheetId="107" state="hidden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NumberTeachingStaff">'Quality Center Profile'!$A$30</definedName>
    <definedName name="AAdegree" localSheetId="8">#REF!</definedName>
    <definedName name="AAdegree">'VariablesINPUT-CTR'!#REF!</definedName>
    <definedName name="AdditionalBenefits" localSheetId="8">#REF!</definedName>
    <definedName name="AdditionalBenefits">'Quality Center Profile'!$D$46</definedName>
    <definedName name="Addl_benefits_per_staff" localSheetId="8">'[1]Quality Center Profile'!$C$39</definedName>
    <definedName name="Addl_benefits_per_staff">'Quality Center Profile'!$C$46</definedName>
    <definedName name="Admin_Staff" localSheetId="8">#REF!</definedName>
    <definedName name="Admin_Staff">'Quality Center Profile'!$D$20</definedName>
    <definedName name="Administration__by_child" localSheetId="8">'[2]Nonpersonnel Aggregated'!$B$21</definedName>
    <definedName name="Administration__by_child">#REF!</definedName>
    <definedName name="Asst_Teacher" localSheetId="8">#REF!</definedName>
    <definedName name="Asst_Teacher">'Quality Center Profile'!$D$23</definedName>
    <definedName name="Asst_TeacherIT">'Quality Center Profile'!$D$23</definedName>
    <definedName name="BadDebt" localSheetId="8">#REF!</definedName>
    <definedName name="BadDebt">'VariablesINPUT-CTR'!$E$42</definedName>
    <definedName name="BAdegree" localSheetId="8">#REF!</definedName>
    <definedName name="BAdegree">'VariablesINPUT-CTR'!#REF!</definedName>
    <definedName name="BLSsalary" localSheetId="8">'[1]VariablesINPUT-FCC'!#REF!</definedName>
    <definedName name="BLSsalary">#REF!</definedName>
    <definedName name="City_Fours" localSheetId="8">#REF!</definedName>
    <definedName name="City_Fours">#REF!</definedName>
    <definedName name="City_Infants" localSheetId="8">#REF!</definedName>
    <definedName name="City_Infants">#REF!</definedName>
    <definedName name="City_Threes" localSheetId="8">#REF!</definedName>
    <definedName name="City_Threes">#REF!</definedName>
    <definedName name="City_Toddlers" localSheetId="8">#REF!</definedName>
    <definedName name="City_Toddlers">#REF!</definedName>
    <definedName name="COunty" localSheetId="8">#REF!</definedName>
    <definedName name="COunty">'VariablesINPUT-CTR'!#REF!</definedName>
    <definedName name="Education_Program__by_child" localSheetId="8">'[2]Nonpersonnel Aggregated'!$B$23</definedName>
    <definedName name="Education_Program__by_child">#REF!</definedName>
    <definedName name="EnhRatio" localSheetId="8">#REF!</definedName>
    <definedName name="EnhRatio">'VariablesINPUT-CTR'!#REF!</definedName>
    <definedName name="EnhSpace" localSheetId="8">#REF!</definedName>
    <definedName name="EnhSpace">'VariablesINPUT-CTR'!#REF!</definedName>
    <definedName name="EnrollEffic" localSheetId="8">#REF!</definedName>
    <definedName name="EnrollEffic">'VariablesINPUT-CTR'!$E$41</definedName>
    <definedName name="Floater_Assts" localSheetId="8">#REF!</definedName>
    <definedName name="Floater_Assts">'Quality Center Profile'!$D$28</definedName>
    <definedName name="Fours" localSheetId="8">'[1]Quality Center Profile'!#REF!</definedName>
    <definedName name="Fours">'Quality Center Profile'!#REF!</definedName>
    <definedName name="Fours_City_Target_Subsidies">'[3]VariablesINPUT-CTR'!$E$29</definedName>
    <definedName name="Fours_Contract">'[2]VariablesINPUT-CTR'!$D$29</definedName>
    <definedName name="Fours_Private_Tuition" localSheetId="8">'[2]VariablesINPUT-CTR'!$F$29</definedName>
    <definedName name="Fours_Private_Tuition">'VariablesINPUT-CTR'!#REF!</definedName>
    <definedName name="FOURS_Tuition" localSheetId="8">#REF!</definedName>
    <definedName name="FOURS_Tuition">#REF!</definedName>
    <definedName name="Fours_Voucher">'[2]VariablesINPUT-CTR'!$C$29</definedName>
    <definedName name="FoursClassrooms" localSheetId="8">'[1]Quality Center Profile'!#REF!</definedName>
    <definedName name="FoursClassrooms">'Quality Center Profile'!#REF!</definedName>
    <definedName name="HealthIns" localSheetId="8">#REF!</definedName>
    <definedName name="HealthIns">'VariablesINPUT-CTR'!$D$37</definedName>
    <definedName name="HealthInsFCC" localSheetId="8">'[1]VariablesINPUT-FCC'!$D$20</definedName>
    <definedName name="HealthInsFCC">#REF!</definedName>
    <definedName name="Infant_Aides" localSheetId="8">#REF!</definedName>
    <definedName name="Infant_Aides">'Quality Center Profile'!#REF!</definedName>
    <definedName name="Infant_Assts" localSheetId="8">'[3]Quality Center Profile'!#REF!</definedName>
    <definedName name="Infant_Assts">'Quality Center Profile'!#REF!</definedName>
    <definedName name="INFANT_Tuition">#REF!</definedName>
    <definedName name="InfantClassrooms" localSheetId="8">#REF!</definedName>
    <definedName name="InfantClassrooms">'Quality Center Profile'!$F$7</definedName>
    <definedName name="Infants" localSheetId="8">#REF!</definedName>
    <definedName name="Infants">'Quality Center Profile'!$A$7</definedName>
    <definedName name="Infants_City_Target_Subsidies">'[3]VariablesINPUT-CTR'!$E$26</definedName>
    <definedName name="Infants_Contract">'[2]VariablesINPUT-CTR'!$D$26</definedName>
    <definedName name="Infants_Private_Tuition" localSheetId="8">'[2]VariablesINPUT-CTR'!$F$26</definedName>
    <definedName name="Infants_Private_Tuition">'VariablesINPUT-CTR'!#REF!</definedName>
    <definedName name="Infants_Voucher">'[2]VariablesINPUT-CTR'!$C$26</definedName>
    <definedName name="Kinder" localSheetId="8">#REF!</definedName>
    <definedName name="Kinder">'VariablesINPUT-CTR'!#REF!</definedName>
    <definedName name="KinderParity">#REF!</definedName>
    <definedName name="LeadTeacher" localSheetId="8">#REF!</definedName>
    <definedName name="LeadTeacher">'Quality Center Profile'!$D$22</definedName>
    <definedName name="LeadTeacherIT">'Quality Center Profile'!$D$22</definedName>
    <definedName name="MandatoryBenefits" localSheetId="8">#REF!</definedName>
    <definedName name="MandatoryBenefits">'Quality Center Profile'!$D$44</definedName>
    <definedName name="MinWage" localSheetId="8">#REF!</definedName>
    <definedName name="MinWage">'VariablesINPUT-CTR'!#REF!</definedName>
    <definedName name="ModelScale" localSheetId="8">#REF!</definedName>
    <definedName name="ModelScale">'VariablesINPUT-CTR'!#REF!</definedName>
    <definedName name="Nonpersonnel" localSheetId="8">#REF!</definedName>
    <definedName name="Nonpersonnel">'Quality Center Profile'!$D$64</definedName>
    <definedName name="NP_EdProgram" localSheetId="8">#REF!</definedName>
    <definedName name="NP_EdProgram">'Quality Center Profile'!$D$60</definedName>
    <definedName name="NP_MgtAdmin" localSheetId="8">#REF!</definedName>
    <definedName name="NP_MgtAdmin">'Quality Center Profile'!$D$62</definedName>
    <definedName name="NP_Occupancy" localSheetId="8">#REF!</definedName>
    <definedName name="NP_Occupancy">'Quality Center Profile'!$D$61</definedName>
    <definedName name="Occupancy">'Quality Center Profile'!$D$61</definedName>
    <definedName name="Occupancy__by_classroom" localSheetId="8">'[4]Aggregated Data'!$B$29</definedName>
    <definedName name="Occupancy__by_classroom">#REF!</definedName>
    <definedName name="Ones_Private_Tuition">'VariablesINPUT-CTR'!#REF!</definedName>
    <definedName name="Paid_Leave" localSheetId="8">#REF!</definedName>
    <definedName name="Paid_Leave">'VariablesINPUT-CTR'!$D$39</definedName>
    <definedName name="PaidLeaveFCC" localSheetId="8">'[1]VariablesINPUT-FCC'!$D$22</definedName>
    <definedName name="PaidLeaveFCC">#REF!</definedName>
    <definedName name="Personnel" localSheetId="8">'[1]Quality Center Profile'!$D$40</definedName>
    <definedName name="Personnel">'Quality Center Profile'!$D$47</definedName>
    <definedName name="Preschool_Aides" localSheetId="8">#REF!</definedName>
    <definedName name="Preschool_Aides">'Quality Center Profile'!#REF!</definedName>
    <definedName name="PreschoolClassrooms" localSheetId="8">#REF!</definedName>
    <definedName name="PreschoolClassrooms">'Quality Center Profile'!#REF!</definedName>
    <definedName name="Preschoolers" localSheetId="8">#REF!</definedName>
    <definedName name="Preschoolers">'Quality Center Profile'!$A$9</definedName>
    <definedName name="PreschoolersClassroom" localSheetId="8">'[1]Quality Center Profile'!$F$9</definedName>
    <definedName name="PreschoolersClassroom">'Quality Center Profile'!$F$9</definedName>
    <definedName name="_xlnm.Print_Area" localSheetId="0">'VariablesINPUT-CTR'!$A$1:$M$22</definedName>
    <definedName name="ProfDev" localSheetId="8">#REF!</definedName>
    <definedName name="ProfDev">'VariablesINPUT-CTR'!#REF!</definedName>
    <definedName name="QualityVarCost">'Quality Center Profile'!$D$57</definedName>
    <definedName name="RatioOpt" localSheetId="8">#REF!</definedName>
    <definedName name="RatioOpt">'VariablesINPUT-CTR'!#REF!</definedName>
    <definedName name="Region" localSheetId="8">#REF!</definedName>
    <definedName name="Region">'VariablesINPUT-CTR'!#REF!</definedName>
    <definedName name="RegionFCC" localSheetId="8">'[1]VariablesINPUT-FCC'!$F$2</definedName>
    <definedName name="RegionFCC">#REF!</definedName>
    <definedName name="Reserve_Fund" localSheetId="8">#REF!</definedName>
    <definedName name="Reserve_Fund">'Quality Center Profile'!$D$66</definedName>
    <definedName name="Salary" localSheetId="8">#REF!</definedName>
    <definedName name="Salary">'VariablesINPUT-CTR'!#REF!</definedName>
    <definedName name="SalaryData" localSheetId="8">#REF!</definedName>
    <definedName name="SalaryData">'VariablesINPUT-CTR'!#REF!</definedName>
    <definedName name="SalaryLevel" localSheetId="8">#REF!</definedName>
    <definedName name="SalaryLevel">'VariablesINPUT-CTR'!#REF!</definedName>
    <definedName name="SalaryScale" localSheetId="8">#REF!</definedName>
    <definedName name="SalaryScale">'VariablesINPUT-CTR'!#REF!</definedName>
    <definedName name="SalaryScaleFCC" localSheetId="8">'[1]VariablesINPUT-FCC'!$D$16</definedName>
    <definedName name="SalaryScaleFCC">#REF!</definedName>
    <definedName name="SchoolageClassroom">'Quality Center Profile'!$F$10</definedName>
    <definedName name="Schoolagers">'Quality Center Profile'!$A$10</definedName>
    <definedName name="Sick_Days" localSheetId="8">#REF!</definedName>
    <definedName name="Sick_Days">'VariablesINPUT-CTR'!$D$38</definedName>
    <definedName name="SickDaysFCC" localSheetId="8">'[1]VariablesINPUT-FCC'!$D$21</definedName>
    <definedName name="SickDaysFCC">#REF!</definedName>
    <definedName name="StarLevel" localSheetId="8">#REF!</definedName>
    <definedName name="StarLevel">'VariablesINPUT-CTR'!#REF!</definedName>
    <definedName name="Subs" localSheetId="8">#REF!</definedName>
    <definedName name="Subs">'Quality Center Profile'!$D$36</definedName>
    <definedName name="Threes" localSheetId="8">'[1]Quality Center Profile'!#REF!</definedName>
    <definedName name="Threes">'Quality Center Profile'!#REF!</definedName>
    <definedName name="Threes_City_Target_Subsidies">'[3]VariablesINPUT-CTR'!$E$28</definedName>
    <definedName name="Threes_Contract">'[2]VariablesINPUT-CTR'!$D$28</definedName>
    <definedName name="Threes_Private_Tuition" localSheetId="8">'[2]VariablesINPUT-CTR'!$F$28</definedName>
    <definedName name="Threes_Private_Tuition">'VariablesINPUT-CTR'!#REF!</definedName>
    <definedName name="THREES_tuition" localSheetId="8">#REF!</definedName>
    <definedName name="THREES_tuition">#REF!</definedName>
    <definedName name="Threes_Voucher">'[2]VariablesINPUT-CTR'!$C$28</definedName>
    <definedName name="ThreesClassroom" localSheetId="8">'[1]Quality Center Profile'!#REF!</definedName>
    <definedName name="ThreesClassroom">'Quality Center Profile'!#REF!</definedName>
    <definedName name="ThreesClassrooms" localSheetId="8">'[1]Quality Center Profile'!#REF!</definedName>
    <definedName name="ThreesClassrooms">'Quality Center Profile'!#REF!</definedName>
    <definedName name="TODDLER_Tuition" localSheetId="8">#REF!</definedName>
    <definedName name="TODDLER_Tuition">#REF!</definedName>
    <definedName name="ToddlerClassrooms" localSheetId="8">#REF!</definedName>
    <definedName name="ToddlerClassrooms">'Quality Center Profile'!$F$8</definedName>
    <definedName name="Toddlers" localSheetId="8">#REF!</definedName>
    <definedName name="Toddlers">'Quality Center Profile'!$A$8</definedName>
    <definedName name="Toddlers_City_Target_Subsidies">'[3]VariablesINPUT-CTR'!$E$27</definedName>
    <definedName name="Toddlers_Contract">'[2]VariablesINPUT-CTR'!$D$27</definedName>
    <definedName name="Toddlers_Private_Tuition">'[2]VariablesINPUT-CTR'!$F$27</definedName>
    <definedName name="Toddlers_Voucher">'[2]VariablesINPUT-CTR'!$C$27</definedName>
    <definedName name="TOTAL_Children" localSheetId="8">#REF!</definedName>
    <definedName name="TOTAL_Children">#REF!</definedName>
    <definedName name="TotalChildren" localSheetId="8">#REF!</definedName>
    <definedName name="TotalChildren">'Quality Center Profile'!$A$11</definedName>
    <definedName name="TotalClassrooms" localSheetId="8">#REF!</definedName>
    <definedName name="TotalClassrooms">'Quality Center Profile'!$F$11</definedName>
    <definedName name="Twos" localSheetId="8">'[5]Quality Center Profile'!$A$9</definedName>
    <definedName name="Twos">'Quality Center Profile'!$A$9</definedName>
    <definedName name="Twos_Private_Tuition" localSheetId="8">#REF!</definedName>
    <definedName name="Twos_Private_Tuition">'VariablesINPUT-CTR'!#REF!</definedName>
    <definedName name="TwosClassroom">'Quality Center Profile'!$F$9</definedName>
    <definedName name="TwosClassrooms" localSheetId="8">'[5]Quality Center Profile'!$F$9</definedName>
    <definedName name="TwosClassrooms">'Quality Center Profile'!$F$9</definedName>
    <definedName name="User" localSheetId="8">#REF!</definedName>
    <definedName name="User">'VariablesINPUT-CTR'!#REF!</definedName>
    <definedName name="VOUCHER_Fours" localSheetId="8">#REF!</definedName>
    <definedName name="VOUCHER_Fours">#REF!</definedName>
    <definedName name="VOUCHER_Infants" localSheetId="8">#REF!</definedName>
    <definedName name="VOUCHER_Infants">#REF!</definedName>
    <definedName name="VOUCHER_Threes" localSheetId="8">#REF!</definedName>
    <definedName name="VOUCHER_Threes">#REF!</definedName>
    <definedName name="VOUCHER_Toddlers" localSheetId="8">#REF!</definedName>
    <definedName name="VOUCHER_Toddlers">#REF!</definedName>
    <definedName name="Yes" localSheetId="8">#REF!</definedName>
    <definedName name="Yes">'VariablesINPUT-CTR'!#REF!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F11" i="35" l="1"/>
  <c r="E11" i="35"/>
  <c r="F10" i="35"/>
  <c r="G10" i="35" s="1"/>
  <c r="E10" i="35"/>
  <c r="F9" i="35"/>
  <c r="E9" i="35"/>
  <c r="D50" i="91"/>
  <c r="E50" i="91"/>
  <c r="B50" i="91"/>
  <c r="E25" i="91" l="1"/>
  <c r="F4" i="91"/>
  <c r="I10" i="91" l="1"/>
  <c r="I9" i="91"/>
  <c r="A29" i="1" l="1"/>
  <c r="J16" i="106"/>
  <c r="I78" i="91" l="1"/>
  <c r="D14" i="102"/>
  <c r="D19" i="102" s="1"/>
  <c r="L28" i="91"/>
  <c r="D38" i="91"/>
  <c r="D28" i="91"/>
  <c r="D27" i="91"/>
  <c r="D26" i="91"/>
  <c r="D25" i="91"/>
  <c r="F24" i="91"/>
  <c r="L5" i="91"/>
  <c r="L7" i="91"/>
  <c r="L6" i="91"/>
  <c r="L4" i="91"/>
  <c r="J38" i="91"/>
  <c r="B38" i="91" s="1"/>
  <c r="J25" i="91"/>
  <c r="J26" i="91"/>
  <c r="K7" i="91"/>
  <c r="J5" i="91"/>
  <c r="K5" i="91" s="1"/>
  <c r="J6" i="91"/>
  <c r="K6" i="91" s="1"/>
  <c r="J7" i="91"/>
  <c r="J4" i="91"/>
  <c r="K4" i="91" s="1"/>
  <c r="E71" i="91"/>
  <c r="E78" i="91" s="1"/>
  <c r="H35" i="91" s="1"/>
  <c r="H24" i="91"/>
  <c r="L24" i="91" s="1"/>
  <c r="H25" i="91"/>
  <c r="L25" i="91" s="1"/>
  <c r="H28" i="91"/>
  <c r="G25" i="91"/>
  <c r="G26" i="91"/>
  <c r="G27" i="91"/>
  <c r="J27" i="91" s="1"/>
  <c r="B27" i="91" s="1"/>
  <c r="G28" i="91"/>
  <c r="J28" i="91" s="1"/>
  <c r="B28" i="91" s="1"/>
  <c r="G24" i="91"/>
  <c r="J24" i="91" s="1"/>
  <c r="B24" i="91" s="1"/>
  <c r="C24" i="91" s="1"/>
  <c r="H38" i="91"/>
  <c r="G38" i="91"/>
  <c r="E72" i="91"/>
  <c r="H34" i="91"/>
  <c r="L34" i="91" s="1"/>
  <c r="H36" i="91"/>
  <c r="H37" i="91" s="1"/>
  <c r="G35" i="91"/>
  <c r="G36" i="91"/>
  <c r="G37" i="91"/>
  <c r="G34" i="91"/>
  <c r="F34" i="91"/>
  <c r="F35" i="91"/>
  <c r="D35" i="91" s="1"/>
  <c r="F36" i="91"/>
  <c r="D36" i="91" s="1"/>
  <c r="F37" i="91"/>
  <c r="L37" i="91" s="1"/>
  <c r="F38" i="91"/>
  <c r="L38" i="91" s="1"/>
  <c r="E35" i="91"/>
  <c r="J35" i="91" s="1"/>
  <c r="E36" i="91"/>
  <c r="J36" i="91" s="1"/>
  <c r="E37" i="91"/>
  <c r="J37" i="91" s="1"/>
  <c r="B37" i="91" s="1"/>
  <c r="E38" i="91"/>
  <c r="E34" i="91"/>
  <c r="J34" i="91" s="1"/>
  <c r="B34" i="91" s="1"/>
  <c r="C34" i="91" s="1"/>
  <c r="C64" i="91"/>
  <c r="C65" i="91" s="1"/>
  <c r="C73" i="91" s="1"/>
  <c r="C80" i="91" s="1"/>
  <c r="H27" i="91" s="1"/>
  <c r="L27" i="91" s="1"/>
  <c r="F65" i="91"/>
  <c r="F64" i="91"/>
  <c r="L65" i="91"/>
  <c r="E28" i="91"/>
  <c r="F28" i="91"/>
  <c r="C14" i="91"/>
  <c r="G10" i="91"/>
  <c r="H4" i="91"/>
  <c r="H5" i="91"/>
  <c r="H10" i="91" s="1"/>
  <c r="H6" i="91"/>
  <c r="H7" i="91"/>
  <c r="G7" i="91"/>
  <c r="G6" i="91"/>
  <c r="F5" i="91"/>
  <c r="F6" i="91"/>
  <c r="F7" i="91"/>
  <c r="F10" i="91"/>
  <c r="E7" i="91"/>
  <c r="E6" i="91"/>
  <c r="E5" i="91"/>
  <c r="E4" i="91"/>
  <c r="E10" i="91" s="1"/>
  <c r="D4" i="91"/>
  <c r="B4" i="91"/>
  <c r="B10" i="91" s="1"/>
  <c r="H78" i="91"/>
  <c r="J78" i="91"/>
  <c r="J79" i="91"/>
  <c r="H80" i="91"/>
  <c r="E27" i="91" s="1"/>
  <c r="J80" i="91"/>
  <c r="I77" i="91"/>
  <c r="J77" i="91"/>
  <c r="K77" i="91"/>
  <c r="H77" i="91"/>
  <c r="E24" i="91" s="1"/>
  <c r="I71" i="91"/>
  <c r="F25" i="91" s="1"/>
  <c r="H71" i="91"/>
  <c r="M64" i="91"/>
  <c r="K64" i="91" s="1"/>
  <c r="M65" i="91"/>
  <c r="L64" i="91"/>
  <c r="I64" i="91" s="1"/>
  <c r="D80" i="91"/>
  <c r="D79" i="91"/>
  <c r="D78" i="91"/>
  <c r="E70" i="91"/>
  <c r="E77" i="91" s="1"/>
  <c r="E79" i="91"/>
  <c r="D72" i="91"/>
  <c r="D73" i="91"/>
  <c r="D71" i="91"/>
  <c r="A83" i="1"/>
  <c r="C53" i="35"/>
  <c r="C25" i="35"/>
  <c r="B20" i="91"/>
  <c r="J72" i="91"/>
  <c r="J73" i="91"/>
  <c r="J71" i="91"/>
  <c r="K71" i="91"/>
  <c r="K78" i="91" s="1"/>
  <c r="H72" i="91"/>
  <c r="H79" i="91" s="1"/>
  <c r="E26" i="91" s="1"/>
  <c r="H73" i="91"/>
  <c r="G5" i="91"/>
  <c r="G4" i="91"/>
  <c r="B7" i="91"/>
  <c r="B6" i="91"/>
  <c r="D7" i="91"/>
  <c r="D6" i="91"/>
  <c r="D5" i="91"/>
  <c r="D10" i="91" s="1"/>
  <c r="B5" i="91"/>
  <c r="C77" i="91"/>
  <c r="B71" i="91"/>
  <c r="B78" i="91" s="1"/>
  <c r="B72" i="91"/>
  <c r="B79" i="91" s="1"/>
  <c r="B73" i="91"/>
  <c r="B80" i="91" s="1"/>
  <c r="C71" i="91"/>
  <c r="C78" i="91" s="1"/>
  <c r="C70" i="91"/>
  <c r="B36" i="91" l="1"/>
  <c r="B25" i="91"/>
  <c r="B35" i="91"/>
  <c r="B26" i="91"/>
  <c r="H40" i="91"/>
  <c r="D37" i="91"/>
  <c r="L36" i="91"/>
  <c r="L35" i="91"/>
  <c r="C72" i="91"/>
  <c r="C79" i="91" s="1"/>
  <c r="H26" i="91" s="1"/>
  <c r="L26" i="91" s="1"/>
  <c r="K65" i="91"/>
  <c r="K73" i="91" s="1"/>
  <c r="K80" i="91" s="1"/>
  <c r="K72" i="91"/>
  <c r="K79" i="91" s="1"/>
  <c r="I65" i="91"/>
  <c r="I73" i="91" s="1"/>
  <c r="I80" i="91" s="1"/>
  <c r="F27" i="91" s="1"/>
  <c r="I72" i="91"/>
  <c r="I79" i="91" s="1"/>
  <c r="F26" i="91" s="1"/>
  <c r="G40" i="91" l="1"/>
  <c r="D40" i="91"/>
  <c r="F40" i="91"/>
  <c r="E40" i="91"/>
  <c r="H30" i="91"/>
  <c r="E25" i="1" s="1"/>
  <c r="E27" i="1" s="1"/>
  <c r="G30" i="91"/>
  <c r="F30" i="91"/>
  <c r="E30" i="91"/>
  <c r="E22" i="1" s="1"/>
  <c r="E20" i="91"/>
  <c r="H20" i="91"/>
  <c r="G20" i="91"/>
  <c r="F20" i="91"/>
  <c r="C7" i="91"/>
  <c r="C5" i="91"/>
  <c r="C4" i="91"/>
  <c r="B40" i="91"/>
  <c r="C35" i="91"/>
  <c r="C36" i="91"/>
  <c r="C37" i="91"/>
  <c r="C38" i="91"/>
  <c r="C25" i="91"/>
  <c r="C26" i="91"/>
  <c r="C27" i="91"/>
  <c r="C28" i="91"/>
  <c r="C15" i="91"/>
  <c r="C16" i="91"/>
  <c r="C17" i="91"/>
  <c r="C18" i="91"/>
  <c r="C6" i="91"/>
  <c r="F25" i="35"/>
  <c r="G25" i="35"/>
  <c r="E28" i="1" l="1"/>
  <c r="E24" i="1"/>
  <c r="E26" i="1" s="1"/>
  <c r="E29" i="1"/>
  <c r="D29" i="1" s="1"/>
  <c r="C40" i="91"/>
  <c r="C20" i="91"/>
  <c r="D20" i="91"/>
  <c r="D30" i="91"/>
  <c r="E19" i="1" s="1"/>
  <c r="C10" i="91" l="1"/>
  <c r="C70" i="1" l="1"/>
  <c r="C83" i="1" l="1"/>
  <c r="D83" i="1" s="1"/>
  <c r="C82" i="1"/>
  <c r="C61" i="35"/>
  <c r="F9" i="1"/>
  <c r="F10" i="1"/>
  <c r="A26" i="1" s="1"/>
  <c r="D26" i="1" s="1"/>
  <c r="E12" i="35" l="1"/>
  <c r="F12" i="35"/>
  <c r="C87" i="1"/>
  <c r="C86" i="1"/>
  <c r="C85" i="1"/>
  <c r="C84" i="1"/>
  <c r="C79" i="1" l="1"/>
  <c r="C80" i="1"/>
  <c r="C81" i="1"/>
  <c r="C93" i="1"/>
  <c r="C92" i="1"/>
  <c r="F79" i="1" l="1"/>
  <c r="L8" i="106"/>
  <c r="H8" i="106"/>
  <c r="J8" i="106" s="1"/>
  <c r="L7" i="106"/>
  <c r="H7" i="106"/>
  <c r="J7" i="106" s="1"/>
  <c r="L6" i="106"/>
  <c r="H6" i="106"/>
  <c r="J6" i="106" s="1"/>
  <c r="A87" i="1"/>
  <c r="D87" i="1" s="1"/>
  <c r="A86" i="1"/>
  <c r="D86" i="1" s="1"/>
  <c r="A85" i="1"/>
  <c r="D85" i="1" s="1"/>
  <c r="A84" i="1"/>
  <c r="D84" i="1" s="1"/>
  <c r="A80" i="1"/>
  <c r="D80" i="1" s="1"/>
  <c r="A81" i="1"/>
  <c r="A82" i="1"/>
  <c r="A79" i="1"/>
  <c r="D53" i="35"/>
  <c r="E53" i="35"/>
  <c r="F53" i="35"/>
  <c r="G53" i="35"/>
  <c r="B30" i="91"/>
  <c r="E17" i="1" s="1"/>
  <c r="C30" i="91" l="1"/>
  <c r="E18" i="1" s="1"/>
  <c r="H54" i="35"/>
  <c r="D82" i="1"/>
  <c r="D79" i="1"/>
  <c r="D81" i="1"/>
  <c r="A24" i="1" l="1"/>
  <c r="B37" i="102"/>
  <c r="B32" i="102"/>
  <c r="C28" i="35"/>
  <c r="E25" i="35"/>
  <c r="D25" i="35"/>
  <c r="B17" i="102"/>
  <c r="B12" i="102"/>
  <c r="B52" i="1"/>
  <c r="B56" i="1" s="1"/>
  <c r="B51" i="1"/>
  <c r="B55" i="1" s="1"/>
  <c r="B50" i="1"/>
  <c r="B54" i="1" s="1"/>
  <c r="B9" i="1"/>
  <c r="G9" i="1" s="1"/>
  <c r="B10" i="1"/>
  <c r="B13" i="35"/>
  <c r="C3" i="77" s="1"/>
  <c r="G12" i="35"/>
  <c r="H51" i="35" s="1"/>
  <c r="D10" i="1"/>
  <c r="C9" i="1"/>
  <c r="D9" i="1"/>
  <c r="H49" i="35"/>
  <c r="C58" i="35"/>
  <c r="D24" i="1" l="1"/>
  <c r="A76" i="1"/>
  <c r="A78" i="1"/>
  <c r="A9" i="1"/>
  <c r="E9" i="1" s="1"/>
  <c r="A25" i="1" s="1"/>
  <c r="C10" i="1"/>
  <c r="A10" i="1" s="1"/>
  <c r="P10" i="1" s="1"/>
  <c r="E10" i="1" l="1"/>
  <c r="A27" i="1" s="1"/>
  <c r="B25" i="102"/>
  <c r="B24" i="102"/>
  <c r="D27" i="1" l="1"/>
  <c r="K10" i="1" s="1"/>
  <c r="B1" i="102"/>
  <c r="B26" i="102"/>
  <c r="D25" i="1"/>
  <c r="K9" i="1" s="1"/>
  <c r="D31" i="102"/>
  <c r="D29" i="102" l="1"/>
  <c r="D32" i="102" s="1"/>
  <c r="C40" i="102"/>
  <c r="B40" i="102"/>
  <c r="C36" i="102"/>
  <c r="C16" i="102"/>
  <c r="C29" i="102"/>
  <c r="D36" i="102"/>
  <c r="D16" i="102"/>
  <c r="C30" i="102"/>
  <c r="D35" i="102"/>
  <c r="D40" i="102"/>
  <c r="C35" i="102"/>
  <c r="D56" i="1" l="1"/>
  <c r="C32" i="102"/>
  <c r="D54" i="1" s="1"/>
  <c r="C37" i="102"/>
  <c r="D37" i="102"/>
  <c r="D55" i="1" l="1"/>
  <c r="O9" i="1" s="1"/>
  <c r="O10" i="1" l="1"/>
  <c r="D8" i="1"/>
  <c r="D7" i="1"/>
  <c r="C7" i="1"/>
  <c r="C8" i="1"/>
  <c r="F7" i="1" l="1"/>
  <c r="E34" i="1" l="1"/>
  <c r="E33" i="1"/>
  <c r="C60" i="35"/>
  <c r="C59" i="35"/>
  <c r="G11" i="35"/>
  <c r="H50" i="35" s="1"/>
  <c r="G9" i="35"/>
  <c r="H48" i="35" s="1"/>
  <c r="A77" i="1" l="1"/>
  <c r="A75" i="1"/>
  <c r="G13" i="35"/>
  <c r="H53" i="35" s="1"/>
  <c r="D74" i="1" s="1"/>
  <c r="F8" i="1"/>
  <c r="B8" i="1"/>
  <c r="B3" i="77"/>
  <c r="C2" i="77" l="1"/>
  <c r="H55" i="35"/>
  <c r="A73" i="1"/>
  <c r="B2" i="77"/>
  <c r="A22" i="1"/>
  <c r="F11" i="1"/>
  <c r="A8" i="1"/>
  <c r="E8" i="1" s="1"/>
  <c r="G10" i="1"/>
  <c r="G8" i="1"/>
  <c r="C15" i="77" l="1"/>
  <c r="C23" i="77"/>
  <c r="C22" i="77"/>
  <c r="C16" i="77"/>
  <c r="C21" i="77"/>
  <c r="C25" i="77"/>
  <c r="C6" i="77"/>
  <c r="C20" i="77"/>
  <c r="C17" i="77"/>
  <c r="C8" i="77"/>
  <c r="C24" i="77"/>
  <c r="B5" i="102"/>
  <c r="B20" i="102" s="1"/>
  <c r="C44" i="1"/>
  <c r="C38" i="77" l="1"/>
  <c r="C39" i="77"/>
  <c r="D61" i="1" s="1"/>
  <c r="M10" i="1" s="1"/>
  <c r="D34" i="77"/>
  <c r="B7" i="1"/>
  <c r="M9" i="1" l="1"/>
  <c r="M8" i="1"/>
  <c r="M7" i="1"/>
  <c r="G7" i="1"/>
  <c r="A7" i="1"/>
  <c r="E7" i="1" s="1"/>
  <c r="A11" i="1" l="1"/>
  <c r="B4" i="102"/>
  <c r="D11" i="102" s="1"/>
  <c r="A28" i="1"/>
  <c r="A23" i="1" l="1"/>
  <c r="A19" i="1"/>
  <c r="D19" i="1" s="1"/>
  <c r="A18" i="1"/>
  <c r="D18" i="1" s="1"/>
  <c r="D62" i="1"/>
  <c r="D9" i="102"/>
  <c r="C9" i="102"/>
  <c r="C10" i="102"/>
  <c r="E11" i="1"/>
  <c r="A17" i="1"/>
  <c r="D22" i="1"/>
  <c r="B6" i="102" l="1"/>
  <c r="C20" i="102" s="1"/>
  <c r="D33" i="1"/>
  <c r="A16" i="1"/>
  <c r="D46" i="1" s="1"/>
  <c r="D34" i="1"/>
  <c r="A30" i="1"/>
  <c r="D35" i="1" s="1"/>
  <c r="D28" i="1"/>
  <c r="D12" i="102"/>
  <c r="C31" i="77"/>
  <c r="C34" i="77" s="1"/>
  <c r="C12" i="102"/>
  <c r="D23" i="1"/>
  <c r="K7" i="1" s="1"/>
  <c r="D17" i="1"/>
  <c r="D20" i="1" s="1"/>
  <c r="D50" i="1" l="1"/>
  <c r="D15" i="102"/>
  <c r="D17" i="102" s="1"/>
  <c r="D30" i="1"/>
  <c r="D31" i="1" s="1"/>
  <c r="D20" i="102"/>
  <c r="D52" i="1" s="1"/>
  <c r="C15" i="102"/>
  <c r="D36" i="1"/>
  <c r="K8" i="1"/>
  <c r="C40" i="77"/>
  <c r="D60" i="1" s="1"/>
  <c r="D64" i="1" s="1"/>
  <c r="C35" i="77"/>
  <c r="D35" i="77"/>
  <c r="C36" i="77"/>
  <c r="L7" i="1" l="1"/>
  <c r="L9" i="1"/>
  <c r="L8" i="1"/>
  <c r="D38" i="1"/>
  <c r="D40" i="1" s="1"/>
  <c r="C17" i="102"/>
  <c r="D51" i="1" s="1"/>
  <c r="O8" i="1" s="1"/>
  <c r="D57" i="1" l="1"/>
  <c r="O7" i="1"/>
  <c r="D42" i="1"/>
  <c r="D43" i="1" l="1"/>
  <c r="D41" i="1" l="1"/>
  <c r="D44" i="1" s="1"/>
  <c r="D47" i="1" l="1"/>
  <c r="D66" i="1" l="1"/>
  <c r="N10" i="1" s="1"/>
  <c r="D68" i="1" l="1"/>
  <c r="N8" i="1"/>
  <c r="N9" i="1"/>
  <c r="N7" i="1"/>
  <c r="Q10" i="1" l="1"/>
  <c r="H10" i="1" s="1"/>
  <c r="E47" i="1"/>
  <c r="E64" i="1"/>
  <c r="Q9" i="1" l="1"/>
  <c r="H9" i="1" s="1"/>
  <c r="D60" i="35" s="1"/>
  <c r="H60" i="35" s="1"/>
  <c r="Q8" i="1"/>
  <c r="H8" i="1" s="1"/>
  <c r="I8" i="1" s="1"/>
  <c r="Q7" i="1"/>
  <c r="H7" i="1" s="1"/>
  <c r="I62" i="1" s="1"/>
  <c r="I10" i="1"/>
  <c r="I65" i="1"/>
  <c r="D61" i="35"/>
  <c r="H61" i="35" s="1"/>
  <c r="I9" i="1" l="1"/>
  <c r="I64" i="1"/>
  <c r="I63" i="1"/>
  <c r="E60" i="35"/>
  <c r="F60" i="35"/>
  <c r="D59" i="35"/>
  <c r="D58" i="35"/>
  <c r="H58" i="35" s="1"/>
  <c r="I7" i="1"/>
  <c r="E61" i="35"/>
  <c r="F61" i="35"/>
  <c r="I66" i="1" l="1"/>
  <c r="I68" i="1" s="1"/>
  <c r="F58" i="35"/>
  <c r="E59" i="35"/>
  <c r="H59" i="35"/>
  <c r="F59" i="35"/>
  <c r="E58" i="35"/>
  <c r="C71" i="1"/>
  <c r="C78" i="1" l="1"/>
  <c r="C75" i="1"/>
  <c r="C76" i="1"/>
  <c r="D76" i="1" s="1"/>
  <c r="C77" i="1"/>
  <c r="D77" i="1" s="1"/>
  <c r="J58" i="35" l="1"/>
  <c r="D75" i="1"/>
  <c r="J60" i="35"/>
  <c r="J59" i="35"/>
  <c r="J61" i="35"/>
  <c r="D78" i="1"/>
  <c r="D89" i="1" l="1"/>
  <c r="D92" i="1" s="1"/>
  <c r="D93" i="1" s="1"/>
  <c r="D94" i="1" l="1"/>
  <c r="D95" i="1" s="1"/>
  <c r="E9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Anne Mitchell</author>
  </authors>
  <commentList>
    <comment ref="B60" authorId="0" shapeId="0" xr:uid="{00000000-0006-0000-0100-000008000000}">
      <text>
        <r>
          <rPr>
            <sz val="9"/>
            <color rgb="FF000000"/>
            <rFont val="Tahoma"/>
            <family val="2"/>
          </rPr>
          <t xml:space="preserve">Education/Program - Child (e.g., food/food related, classroom/child supplies, laundry, tuition assistance, parent activities, field trips, family transportation)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Education/Program - Staff (e.g., prof consultants, trainings/prof development, staff travel)
</t>
        </r>
      </text>
    </comment>
    <comment ref="B61" authorId="0" shapeId="0" xr:uid="{00000000-0006-0000-0100-000009000000}">
      <text>
        <r>
          <rPr>
            <sz val="9"/>
            <color rgb="FF000000"/>
            <rFont val="Tahoma"/>
            <family val="2"/>
          </rPr>
          <t>Occupancy (e.g., rent/mortgage, real estate taxes, other occupancy, maintenance, janitorial)</t>
        </r>
      </text>
    </comment>
    <comment ref="B62" authorId="0" shapeId="0" xr:uid="{00000000-0006-0000-0100-00000A000000}">
      <text>
        <r>
          <rPr>
            <sz val="9"/>
            <color rgb="FF000000"/>
            <rFont val="Tahoma"/>
            <family val="2"/>
          </rPr>
          <t>Program Management (e.g., office supplies, telelphone, internet, insurance, legal and professional fees, permits, fundraising, memberships, administration fees)</t>
        </r>
      </text>
    </comment>
  </commentList>
</comments>
</file>

<file path=xl/sharedStrings.xml><?xml version="1.0" encoding="utf-8"?>
<sst xmlns="http://schemas.openxmlformats.org/spreadsheetml/2006/main" count="682" uniqueCount="338">
  <si>
    <t>Max Grp</t>
  </si>
  <si>
    <t>Ratios</t>
  </si>
  <si>
    <t>Contribution to operating reserve fund</t>
  </si>
  <si>
    <t>per child</t>
  </si>
  <si>
    <t>of expenses</t>
  </si>
  <si>
    <t>Subtotal Personnel</t>
  </si>
  <si>
    <t>Items in yellow shaded cells may be changed to model different scenarios</t>
  </si>
  <si>
    <t>Subtotal Wages</t>
  </si>
  <si>
    <t>Subtotal Mandatory Benefits</t>
  </si>
  <si>
    <t>TOTAL Children</t>
  </si>
  <si>
    <t>TOTAL Staff</t>
  </si>
  <si>
    <t>Classrooms</t>
  </si>
  <si>
    <t>Fees/Permits</t>
  </si>
  <si>
    <t>Total Non-Personnel</t>
  </si>
  <si>
    <t>Mandatory benefits @ % salary</t>
  </si>
  <si>
    <t>Medicare</t>
  </si>
  <si>
    <t>Workers Compensation</t>
  </si>
  <si>
    <t>FTE Wage</t>
  </si>
  <si>
    <t>Unit Cost</t>
  </si>
  <si>
    <t>Total Cost</t>
  </si>
  <si>
    <t>A Typical Center</t>
  </si>
  <si>
    <t>Annual Costs per Classroom</t>
  </si>
  <si>
    <t>DO NOT CHANGE OTHER CELLS</t>
  </si>
  <si>
    <t># Children/Age</t>
  </si>
  <si>
    <t>About 3% is typical</t>
  </si>
  <si>
    <t>Total</t>
  </si>
  <si>
    <t>Annual cost per child</t>
  </si>
  <si>
    <t>Rent /Lease/Mortgage (incl RE taxes)</t>
  </si>
  <si>
    <t>Monthly</t>
  </si>
  <si>
    <t>Food &amp; Food Related Items</t>
  </si>
  <si>
    <t>Classroom supplies</t>
  </si>
  <si>
    <t>Educational Supplies</t>
  </si>
  <si>
    <t>Other occupancy (incl utilities)</t>
  </si>
  <si>
    <t>Training/PD</t>
  </si>
  <si>
    <t>Kids</t>
  </si>
  <si>
    <t>Medical Supplies</t>
  </si>
  <si>
    <t>Other: Prof Consultants/Temp Personnel</t>
  </si>
  <si>
    <t>Per classroom</t>
  </si>
  <si>
    <t>Occupancy</t>
  </si>
  <si>
    <t>Office Supplies/Equipment</t>
  </si>
  <si>
    <t>Telephone/Internet</t>
  </si>
  <si>
    <t>Insurance</t>
  </si>
  <si>
    <t>Legal/Professional Fees</t>
  </si>
  <si>
    <t>Program Management</t>
  </si>
  <si>
    <t>Education/Program - Child</t>
  </si>
  <si>
    <t>Education/Program - Staff</t>
  </si>
  <si>
    <t>Education Program (by child)</t>
  </si>
  <si>
    <t>Occupancy (by classroom)</t>
  </si>
  <si>
    <t>Administration (by child)</t>
  </si>
  <si>
    <t xml:space="preserve">Use in CTR R&amp;E </t>
  </si>
  <si>
    <t xml:space="preserve">FICA-Social Security </t>
  </si>
  <si>
    <t>SIZE of CENTER</t>
  </si>
  <si>
    <t>85-95% is typical</t>
  </si>
  <si>
    <r>
      <t xml:space="preserve">Bad Debt </t>
    </r>
    <r>
      <rPr>
        <i/>
        <sz val="10"/>
        <rFont val="Arial"/>
        <family val="2"/>
      </rPr>
      <t>as % of revenue not collected</t>
    </r>
  </si>
  <si>
    <t xml:space="preserve">EFFICIENCY </t>
  </si>
  <si>
    <t>Floater-Assists. (for % coverage throughout day)</t>
  </si>
  <si>
    <t>EXPENSES: Personnel</t>
  </si>
  <si>
    <t xml:space="preserve">EXPENSES: Nonpersonnel </t>
  </si>
  <si>
    <t>Education Program for Children and Staff</t>
  </si>
  <si>
    <t>Program Management &amp; Administration</t>
  </si>
  <si>
    <t>days of paid sick leave</t>
  </si>
  <si>
    <r>
      <t xml:space="preserve">Subs for staff leave @ </t>
    </r>
    <r>
      <rPr>
        <u/>
        <sz val="10"/>
        <rFont val="Arial"/>
        <family val="2"/>
      </rPr>
      <t>days</t>
    </r>
    <r>
      <rPr>
        <sz val="10"/>
        <rFont val="Arial"/>
        <family val="2"/>
      </rPr>
      <t xml:space="preserve"> per year</t>
    </r>
  </si>
  <si>
    <r>
      <t xml:space="preserve">Subs for staff sick leave @ </t>
    </r>
    <r>
      <rPr>
        <u/>
        <sz val="10"/>
        <rFont val="Arial"/>
        <family val="2"/>
      </rPr>
      <t>days</t>
    </r>
    <r>
      <rPr>
        <sz val="10"/>
        <rFont val="Arial"/>
        <family val="2"/>
      </rPr>
      <t>/year</t>
    </r>
  </si>
  <si>
    <t>Discretionary benefits</t>
  </si>
  <si>
    <t>Subtotal Nonpersonnel</t>
  </si>
  <si>
    <t>Total Expense</t>
  </si>
  <si>
    <t>Additional benefits (pool/menu of options):</t>
  </si>
  <si>
    <r>
      <t>Enrollment</t>
    </r>
    <r>
      <rPr>
        <i/>
        <sz val="10"/>
        <rFont val="Arial"/>
        <family val="2"/>
      </rPr>
      <t xml:space="preserve"> as % of total staffed capacity</t>
    </r>
  </si>
  <si>
    <t>these cells have data from the Variables sheet. DO NOT change here.</t>
  </si>
  <si>
    <t>user can change these cells</t>
  </si>
  <si>
    <t>subtotal substitutes</t>
  </si>
  <si>
    <t>Subtotal administration and management staff</t>
  </si>
  <si>
    <t>subtotal teaching staff</t>
  </si>
  <si>
    <t>subtotal all staff</t>
  </si>
  <si>
    <r>
      <t xml:space="preserve">paid leave days </t>
    </r>
    <r>
      <rPr>
        <i/>
        <sz val="10"/>
        <rFont val="Arial"/>
        <family val="2"/>
      </rPr>
      <t>[plus 8-10  paid holidays per year, no subs needed for holidays]</t>
    </r>
  </si>
  <si>
    <t>Group Size</t>
  </si>
  <si>
    <t>Health Insurance</t>
  </si>
  <si>
    <t>Program Director</t>
  </si>
  <si>
    <t>Director</t>
  </si>
  <si>
    <t>Lead Teacher</t>
  </si>
  <si>
    <t>Yes</t>
  </si>
  <si>
    <t>Group size</t>
  </si>
  <si>
    <t>CPC check</t>
  </si>
  <si>
    <t>Sick Days</t>
  </si>
  <si>
    <t>Paid Leave</t>
  </si>
  <si>
    <t>Select whether program offers health insurance to employees</t>
  </si>
  <si>
    <t>Preschool</t>
  </si>
  <si>
    <t>Teachers</t>
  </si>
  <si>
    <t>Results - Cost per Child (CPC)</t>
  </si>
  <si>
    <t>Unemployment Insurance</t>
  </si>
  <si>
    <t>Infant</t>
  </si>
  <si>
    <t>Toddler</t>
  </si>
  <si>
    <t>Metro</t>
  </si>
  <si>
    <t>Standard</t>
  </si>
  <si>
    <t>Nonurban</t>
  </si>
  <si>
    <t>Infants</t>
  </si>
  <si>
    <t>Toddlers</t>
  </si>
  <si>
    <t>Preschoolers</t>
  </si>
  <si>
    <t>PRO-FORMA BUDGET:  Oregon Child Care Center</t>
  </si>
  <si>
    <t>postage</t>
  </si>
  <si>
    <t>advertising</t>
  </si>
  <si>
    <t>Maintenance/Repairs/cleaning</t>
  </si>
  <si>
    <t>infants</t>
  </si>
  <si>
    <t>toddlers</t>
  </si>
  <si>
    <t>preschoolers</t>
  </si>
  <si>
    <t>enter annual number of days per staff member</t>
  </si>
  <si>
    <t>enter annual number of days per staff member, not including holidays where program is closed</t>
  </si>
  <si>
    <t>additional time for pick-up/drop-off, cleaning etc.</t>
  </si>
  <si>
    <t>Fixed cost</t>
  </si>
  <si>
    <t>CENTERS</t>
  </si>
  <si>
    <t>PCQC - Center</t>
  </si>
  <si>
    <t>Reg FCC</t>
  </si>
  <si>
    <t>Cert FCC</t>
  </si>
  <si>
    <t>Oregon Child Care Center Cost Model - 2021</t>
  </si>
  <si>
    <t>Licensing</t>
  </si>
  <si>
    <t>Baby Promise</t>
  </si>
  <si>
    <t>Preschool Promise</t>
  </si>
  <si>
    <t>Family Engagement</t>
  </si>
  <si>
    <t>School age</t>
  </si>
  <si>
    <t>Point 2</t>
  </si>
  <si>
    <t>EHS</t>
  </si>
  <si>
    <t>Aspirational</t>
  </si>
  <si>
    <t>Age</t>
  </si>
  <si>
    <t>Steps 1-6</t>
  </si>
  <si>
    <t>CDA (Step 7, 7.5, 8, 8.5</t>
  </si>
  <si>
    <t>BA (Step 10)</t>
  </si>
  <si>
    <t>MA (Step 11, 12)</t>
  </si>
  <si>
    <t>AA (Step 9, 9.5)</t>
  </si>
  <si>
    <t>Professional Development Supports</t>
  </si>
  <si>
    <t>Planning/Release Time</t>
  </si>
  <si>
    <t>Select Quality Level</t>
  </si>
  <si>
    <t>Asst Director</t>
  </si>
  <si>
    <t>Teacher</t>
  </si>
  <si>
    <t>Infant/Toddler</t>
  </si>
  <si>
    <t>Quality Level</t>
  </si>
  <si>
    <t># of classrooms</t>
  </si>
  <si>
    <t>Total classrooms</t>
  </si>
  <si>
    <t>Step 10</t>
  </si>
  <si>
    <t>2 conferences annually</t>
  </si>
  <si>
    <t>Family Orientations</t>
  </si>
  <si>
    <t>FS Support worker/35 children</t>
  </si>
  <si>
    <t>1 hour per child, paid at hourly wage of floater/sub</t>
  </si>
  <si>
    <t>1 hour per child, paid at hourly wage of floater/sub, twice</t>
  </si>
  <si>
    <t>annual salary, 1 for every 35 children</t>
  </si>
  <si>
    <t>Additional 20 hours/staff/year</t>
  </si>
  <si>
    <t>coverage paid at floater/sub rate</t>
  </si>
  <si>
    <t>Participation in FCCN</t>
  </si>
  <si>
    <t>5 hours per month for director, paid at floater sub rate</t>
  </si>
  <si>
    <t>Floater/Sub Rate/Hour</t>
  </si>
  <si>
    <t>Asst. Teacher</t>
  </si>
  <si>
    <t xml:space="preserve">Preschool </t>
  </si>
  <si>
    <r>
      <t xml:space="preserve">Items in GREEN shaded cells are for INPUT to model different quality variables..   </t>
    </r>
    <r>
      <rPr>
        <b/>
        <sz val="11"/>
        <color rgb="FFFF0000"/>
        <rFont val="Arial"/>
        <family val="2"/>
      </rPr>
      <t>PLEASE DO NOT CHANGE ANY OTHER CELLS ON THIS SHEET</t>
    </r>
  </si>
  <si>
    <t>Infants and toddlers</t>
  </si>
  <si>
    <t>QUALITY VARIABLES - Infant and Toddler</t>
  </si>
  <si>
    <t>QUALITY VARIABLES - Preschool</t>
  </si>
  <si>
    <t>Preschool teachers</t>
  </si>
  <si>
    <t>Infant/Toddler teachers</t>
  </si>
  <si>
    <t>Infant/Toddler asst teachers</t>
  </si>
  <si>
    <t>Preschool asst teachers</t>
  </si>
  <si>
    <t>Assistant Teachers-Infant/Toddler</t>
  </si>
  <si>
    <t>Lead Teachers-Infant/Toddler (1 per classroom)</t>
  </si>
  <si>
    <t>Subtotal quality variables</t>
  </si>
  <si>
    <t xml:space="preserve">2019 average employer contribution to employer-based health insurance:   https://www.kff.org/other/state-indicator/single-coverage/?currentTimeframe=0&amp;sortModel=%7B%22colId%22:%22Location%22,%22sort%22:%22asc%22%7D </t>
  </si>
  <si>
    <t>Admin Asst</t>
  </si>
  <si>
    <t>Weighted Avg based on Input</t>
  </si>
  <si>
    <t>subs paid at avg teacher asst hourly</t>
  </si>
  <si>
    <t>Teacher Salaries</t>
  </si>
  <si>
    <t>Classroom Costs</t>
  </si>
  <si>
    <t>Child Costs</t>
  </si>
  <si>
    <t>Quality Variable cost</t>
  </si>
  <si>
    <t>Data collection Salaries</t>
  </si>
  <si>
    <t>per month average for rent</t>
  </si>
  <si>
    <t>average for mortgage</t>
  </si>
  <si>
    <t>per month utilities</t>
  </si>
  <si>
    <t>8.92/sq ft</t>
  </si>
  <si>
    <t>Statewide</t>
  </si>
  <si>
    <t>Frontier</t>
  </si>
  <si>
    <t>Rural</t>
  </si>
  <si>
    <t>Suburban</t>
  </si>
  <si>
    <t>Urban</t>
  </si>
  <si>
    <t>SPARK rated</t>
  </si>
  <si>
    <t>Not SPARK rated</t>
  </si>
  <si>
    <t>Step 7, 7.5, 8, 8.5</t>
  </si>
  <si>
    <t>Step 9, 9.5</t>
  </si>
  <si>
    <t>Step 11, 12</t>
  </si>
  <si>
    <t>Group A</t>
  </si>
  <si>
    <t>Special Needs</t>
  </si>
  <si>
    <t>FCC</t>
  </si>
  <si>
    <t>Center</t>
  </si>
  <si>
    <t>Standard-Non licensed</t>
  </si>
  <si>
    <t>Enhanced-Not liccensed</t>
  </si>
  <si>
    <t>Licensed</t>
  </si>
  <si>
    <t>Group B</t>
  </si>
  <si>
    <t>Group C</t>
  </si>
  <si>
    <t>https://www.oregon.gov/DHS/ASSISTANCE/CHILD-CARE/Pages/rates.aspx</t>
  </si>
  <si>
    <t>1/1/19 rates</t>
  </si>
  <si>
    <t>All Ages</t>
  </si>
  <si>
    <t>All ages</t>
  </si>
  <si>
    <t>Star 3</t>
  </si>
  <si>
    <t>Star 4</t>
  </si>
  <si>
    <t>Star 5</t>
  </si>
  <si>
    <t>BENEFITS</t>
  </si>
  <si>
    <r>
      <t xml:space="preserve">Items in </t>
    </r>
    <r>
      <rPr>
        <b/>
        <sz val="11"/>
        <rFont val="Arial"/>
        <family val="2"/>
      </rPr>
      <t>YELLOW</t>
    </r>
    <r>
      <rPr>
        <b/>
        <sz val="11"/>
        <color theme="1"/>
        <rFont val="Arial"/>
        <family val="2"/>
      </rPr>
      <t xml:space="preserve"> shaded cells are for INPUT to model different center 'profiles'.   </t>
    </r>
    <r>
      <rPr>
        <b/>
        <sz val="11"/>
        <color rgb="FFFF0000"/>
        <rFont val="Arial"/>
        <family val="2"/>
      </rPr>
      <t>PLEASE DO NOT CHANGE ANY OTHER CELLS ON THIS SHEET</t>
    </r>
  </si>
  <si>
    <t>Annual</t>
  </si>
  <si>
    <t>Weekly</t>
  </si>
  <si>
    <t>PRESCHOOL</t>
  </si>
  <si>
    <t>INFANT/TODDLER</t>
  </si>
  <si>
    <t xml:space="preserve">QUALIFICATIONS of  STAFF </t>
  </si>
  <si>
    <t>enter %  at each level</t>
  </si>
  <si>
    <t>REVENUE</t>
  </si>
  <si>
    <t>Child care subsidy (ERDC)</t>
  </si>
  <si>
    <t>OPK</t>
  </si>
  <si>
    <t>Head Start</t>
  </si>
  <si>
    <t>Early Head Start</t>
  </si>
  <si>
    <t>Private Tuition</t>
  </si>
  <si>
    <t>Total across all public funding</t>
  </si>
  <si>
    <t>Percent subsidy</t>
  </si>
  <si>
    <r>
      <t xml:space="preserve">Enter </t>
    </r>
    <r>
      <rPr>
        <b/>
        <i/>
        <sz val="10"/>
        <rFont val="Arial"/>
        <family val="2"/>
      </rPr>
      <t># of children</t>
    </r>
    <r>
      <rPr>
        <i/>
        <sz val="10"/>
        <rFont val="Arial"/>
        <family val="2"/>
      </rPr>
      <t xml:space="preserve"> by age receiving each type of subsidy using YELLOW cells only in the table below. Private Tuition cell will automatically calculated and should not be a negative </t>
    </r>
  </si>
  <si>
    <t>adjusted annual rate</t>
  </si>
  <si>
    <t>CACFP (all ages)</t>
  </si>
  <si>
    <t>Private Tuition (infants)</t>
  </si>
  <si>
    <t>Private Tuition (toddlers)</t>
  </si>
  <si>
    <t>Private Tuition (preschoolers)</t>
  </si>
  <si>
    <t>Private Tuition (school age)</t>
  </si>
  <si>
    <t>Other income (grants, fundraising, etc.)</t>
  </si>
  <si>
    <t xml:space="preserve">= Potential Total Revenue </t>
  </si>
  <si>
    <t># children</t>
  </si>
  <si>
    <t>ERDC subsidy (infants)</t>
  </si>
  <si>
    <t>ERDC subsidy (toddlers)</t>
  </si>
  <si>
    <t>ERDC subsidy (preschoolers)</t>
  </si>
  <si>
    <t>ERDC subsidy (school age)</t>
  </si>
  <si>
    <t>CHILD AND ADULT CARE FOOD PROGRAM (CACFP)</t>
  </si>
  <si>
    <t>UPDATED</t>
  </si>
  <si>
    <t>Per Meal Rates in Whole or Fractions of U.S. Dollars</t>
  </si>
  <si>
    <t>Centers</t>
  </si>
  <si>
    <t>DO NOT ALTER = used in formulas on other spreadsheets</t>
  </si>
  <si>
    <t>Family Income Eligibility</t>
  </si>
  <si>
    <t>Breakfast</t>
  </si>
  <si>
    <t>Lunch /Supper</t>
  </si>
  <si>
    <t>Snack</t>
  </si>
  <si>
    <t xml:space="preserve">Daily </t>
  </si>
  <si>
    <t>weekly</t>
  </si>
  <si>
    <t>breakfast and 2 snacks (part-day program)</t>
  </si>
  <si>
    <t>185% and up</t>
  </si>
  <si>
    <t>PAID</t>
  </si>
  <si>
    <t>&lt;185% FPL</t>
  </si>
  <si>
    <t>REDUCED PRICE</t>
  </si>
  <si>
    <t>&lt;130% FPL</t>
  </si>
  <si>
    <t>FREE</t>
  </si>
  <si>
    <t>1 breakfast,1  lunch or dinner and 2 snacks</t>
  </si>
  <si>
    <t>Effective from July 1, 2020 - June 30, 2021</t>
  </si>
  <si>
    <t>https://www.federalregister.gov/documents/2020/07/22/2020-15765/child-and-adult-care-food-program-national-average-payment-rates-day-care-home-food-service-payment</t>
  </si>
  <si>
    <t>Adjustments to revenue</t>
  </si>
  <si>
    <t>Bad debt</t>
  </si>
  <si>
    <t>Enrollment efficiency (average)</t>
  </si>
  <si>
    <t>= Actual Total Revenue</t>
  </si>
  <si>
    <t>Annual Revenue less Expenses profit/(loss)</t>
  </si>
  <si>
    <t>Certified FCC</t>
  </si>
  <si>
    <t>Cluster 1</t>
  </si>
  <si>
    <t>Cluster 2</t>
  </si>
  <si>
    <t>Cluster 3</t>
  </si>
  <si>
    <t>Cluster 4</t>
  </si>
  <si>
    <t>ERDC Rate Region</t>
  </si>
  <si>
    <t>Tuition Cluster</t>
  </si>
  <si>
    <t>Monthly gap between tuition and true cost</t>
  </si>
  <si>
    <t>Payment per child</t>
  </si>
  <si>
    <t>from C2K report</t>
  </si>
  <si>
    <t>Head Start/OPK</t>
  </si>
  <si>
    <t>OPK/Head Start</t>
  </si>
  <si>
    <t>Salary Override</t>
  </si>
  <si>
    <t>No</t>
  </si>
  <si>
    <t>I/T Teacher</t>
  </si>
  <si>
    <t>Preschool Teacher</t>
  </si>
  <si>
    <t>Position</t>
  </si>
  <si>
    <t>Annual Salary</t>
  </si>
  <si>
    <t>Data collection</t>
  </si>
  <si>
    <t>= % for daily coverage (need 20% for opening/closing and breaks, not for SA)</t>
  </si>
  <si>
    <t>Assistant Teachers - Schoolage</t>
  </si>
  <si>
    <t>Lead Teacher - Schoolage</t>
  </si>
  <si>
    <t>School age adjustment</t>
  </si>
  <si>
    <t>Sub/Floater Salaries</t>
  </si>
  <si>
    <t>SA pays 60%</t>
  </si>
  <si>
    <t>Assistant Director</t>
  </si>
  <si>
    <t xml:space="preserve"> (0.5FTE if &lt;30, 1FTE if 31-100, 1.5 FTE if 100-150, 2FTE if &gt;151)</t>
  </si>
  <si>
    <t>Administrative assistant</t>
  </si>
  <si>
    <t>1FTE</t>
  </si>
  <si>
    <t>Rate region:</t>
  </si>
  <si>
    <t>dummy data</t>
  </si>
  <si>
    <t>QUALITY VARIABLES</t>
  </si>
  <si>
    <t>Lead Teachers-Preschool</t>
  </si>
  <si>
    <t>Assistant Teachers-Preschool</t>
  </si>
  <si>
    <t>Subs for Professional Development</t>
  </si>
  <si>
    <t>hours per year</t>
  </si>
  <si>
    <t>Select yes to override salaries based on step levels, and manually enter salaries in table to right -------------&gt;</t>
  </si>
  <si>
    <t>Baby/Preschool Promise</t>
  </si>
  <si>
    <t>(PP target salaries)</t>
  </si>
  <si>
    <t>(PP minimum salaries)</t>
  </si>
  <si>
    <t>(data collection salaries for non-classroom)</t>
  </si>
  <si>
    <t>Preschool Promise Salaries</t>
  </si>
  <si>
    <t>Step 1-6</t>
  </si>
  <si>
    <t>Adjusted to Portland metro $14 min wage (as of July 2021)</t>
  </si>
  <si>
    <t>Preschool Promise Guidelines</t>
  </si>
  <si>
    <t>Head Teacher</t>
  </si>
  <si>
    <t>Step 7,7.5,8,8.5</t>
  </si>
  <si>
    <t>Step 11</t>
  </si>
  <si>
    <t>EHS/Aspirational</t>
  </si>
  <si>
    <t>Requirements</t>
  </si>
  <si>
    <t>Director - Steps 8, 9, 10</t>
  </si>
  <si>
    <t>Teachers - Step 7 and above</t>
  </si>
  <si>
    <t xml:space="preserve">Preschool Promise </t>
  </si>
  <si>
    <t>Lead Teacher - Step 8 or above</t>
  </si>
  <si>
    <t>Instructional Support Staff</t>
  </si>
  <si>
    <t>Input number of FTE</t>
  </si>
  <si>
    <t>SPARK enhancements</t>
  </si>
  <si>
    <t>Step 3</t>
  </si>
  <si>
    <t>Step 4</t>
  </si>
  <si>
    <t>Step 5</t>
  </si>
  <si>
    <t>SPECIAL NEEDS STAFFING</t>
  </si>
  <si>
    <t>Instructional Aides (special needs)</t>
  </si>
  <si>
    <t xml:space="preserve">ERDC subsidy special needs </t>
  </si>
  <si>
    <t>ANNUAL</t>
  </si>
  <si>
    <t>Avg teacher</t>
  </si>
  <si>
    <t>% inc to director</t>
  </si>
  <si>
    <t>Avg Teacher</t>
  </si>
  <si>
    <t>Avg lead teacher</t>
  </si>
  <si>
    <t>Avg lead techer</t>
  </si>
  <si>
    <t>Monthly gap between subsidy, true cost</t>
  </si>
  <si>
    <t>Preschool Teacher Assistant</t>
  </si>
  <si>
    <t>I/T Head Teacher</t>
  </si>
  <si>
    <t>75th percentile 2020 survey</t>
  </si>
  <si>
    <t>https://health.oregonstate.edu/sites/health.oregonstate.edu/files/early-learners/pdf/research/2020_oregon_child_care_market_price_study_-_main_report.pdf</t>
  </si>
  <si>
    <t>SA school year</t>
  </si>
  <si>
    <t>SA Summer</t>
  </si>
  <si>
    <t>[set these options in the Input-CTR page]</t>
  </si>
  <si>
    <t>Transportation</t>
  </si>
  <si>
    <t>School age transportation</t>
  </si>
  <si>
    <t>Part time</t>
  </si>
  <si>
    <t>based on part time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</si>
</sst>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"/>
    <numFmt numFmtId="167" formatCode="_(&quot;$&quot;* #,##0_);_(&quot;$&quot;* \(#,##0\);_(&quot;$&quot;* &quot;-&quot;??_);_(@_)"/>
    <numFmt numFmtId="168" formatCode="&quot;$&quot;#,##0;[Red]&quot;$&quot;#,##0"/>
    <numFmt numFmtId="169" formatCode="0.0%"/>
    <numFmt numFmtId="170" formatCode="_(* #,##0_);_(* \(#,##0\);_(* &quot;-&quot;??_);_(@_)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rgb="FFFF0000"/>
      <name val="Arial"/>
      <family val="2"/>
    </font>
    <font>
      <sz val="9"/>
      <color rgb="FF000000"/>
      <name val="Tahoma"/>
      <family val="2"/>
    </font>
    <font>
      <sz val="10"/>
      <color rgb="FF000000"/>
      <name val="Times New Roman"/>
      <family val="1"/>
    </font>
    <font>
      <i/>
      <sz val="10"/>
      <color theme="1"/>
      <name val="Arial"/>
      <family val="2"/>
    </font>
    <font>
      <b/>
      <sz val="11"/>
      <color rgb="FFFF0000"/>
      <name val="Arial"/>
      <family val="2"/>
    </font>
    <font>
      <b/>
      <i/>
      <sz val="14"/>
      <name val="Arial"/>
      <family val="2"/>
    </font>
    <font>
      <b/>
      <u/>
      <sz val="11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i/>
      <sz val="10"/>
      <color theme="5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4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7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4" fillId="0" borderId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447">
    <xf numFmtId="0" fontId="0" fillId="0" borderId="0" xfId="0"/>
    <xf numFmtId="0" fontId="9" fillId="0" borderId="0" xfId="0" applyFont="1"/>
    <xf numFmtId="0" fontId="10" fillId="0" borderId="0" xfId="0" applyFont="1"/>
    <xf numFmtId="0" fontId="30" fillId="0" borderId="0" xfId="0" applyFont="1"/>
    <xf numFmtId="0" fontId="32" fillId="0" borderId="0" xfId="0" applyFont="1"/>
    <xf numFmtId="6" fontId="31" fillId="0" borderId="0" xfId="0" applyNumberFormat="1" applyFont="1"/>
    <xf numFmtId="0" fontId="33" fillId="0" borderId="0" xfId="0" applyFont="1"/>
    <xf numFmtId="0" fontId="0" fillId="0" borderId="0" xfId="0" applyAlignment="1">
      <alignment horizontal="left"/>
    </xf>
    <xf numFmtId="6" fontId="0" fillId="0" borderId="0" xfId="0" applyNumberFormat="1"/>
    <xf numFmtId="164" fontId="0" fillId="0" borderId="0" xfId="0" applyNumberFormat="1"/>
    <xf numFmtId="6" fontId="34" fillId="0" borderId="0" xfId="0" applyNumberFormat="1" applyFont="1"/>
    <xf numFmtId="6" fontId="7" fillId="0" borderId="0" xfId="0" applyNumberFormat="1" applyFont="1"/>
    <xf numFmtId="6" fontId="9" fillId="0" borderId="0" xfId="0" applyNumberFormat="1" applyFont="1"/>
    <xf numFmtId="2" fontId="9" fillId="0" borderId="0" xfId="0" applyNumberFormat="1" applyFont="1"/>
    <xf numFmtId="0" fontId="34" fillId="0" borderId="0" xfId="0" applyFont="1" applyAlignment="1">
      <alignment horizontal="right"/>
    </xf>
    <xf numFmtId="8" fontId="0" fillId="0" borderId="0" xfId="0" applyNumberFormat="1"/>
    <xf numFmtId="0" fontId="9" fillId="0" borderId="0" xfId="0" applyFont="1" applyAlignment="1">
      <alignment horizontal="right"/>
    </xf>
    <xf numFmtId="0" fontId="21" fillId="0" borderId="0" xfId="35" applyAlignment="1" applyProtection="1"/>
    <xf numFmtId="0" fontId="9" fillId="25" borderId="0" xfId="0" applyFont="1" applyFill="1"/>
    <xf numFmtId="165" fontId="0" fillId="0" borderId="0" xfId="0" applyNumberFormat="1"/>
    <xf numFmtId="20" fontId="0" fillId="0" borderId="0" xfId="0" quotePrefix="1" applyNumberFormat="1" applyAlignment="1">
      <alignment horizontal="right"/>
    </xf>
    <xf numFmtId="9" fontId="0" fillId="0" borderId="0" xfId="44" applyFont="1"/>
    <xf numFmtId="0" fontId="37" fillId="0" borderId="0" xfId="0" applyFont="1"/>
    <xf numFmtId="0" fontId="7" fillId="0" borderId="0" xfId="0" applyFont="1"/>
    <xf numFmtId="0" fontId="7" fillId="0" borderId="0" xfId="0" quotePrefix="1" applyFont="1"/>
    <xf numFmtId="165" fontId="7" fillId="0" borderId="0" xfId="0" applyNumberFormat="1" applyFont="1"/>
    <xf numFmtId="0" fontId="7" fillId="0" borderId="0" xfId="0" applyFont="1" applyAlignment="1">
      <alignment horizontal="right"/>
    </xf>
    <xf numFmtId="8" fontId="7" fillId="0" borderId="0" xfId="0" applyNumberFormat="1" applyFont="1"/>
    <xf numFmtId="8" fontId="38" fillId="0" borderId="0" xfId="0" applyNumberFormat="1" applyFont="1" applyAlignment="1">
      <alignment vertical="center"/>
    </xf>
    <xf numFmtId="20" fontId="7" fillId="0" borderId="0" xfId="0" quotePrefix="1" applyNumberFormat="1" applyFont="1" applyAlignment="1">
      <alignment horizontal="right"/>
    </xf>
    <xf numFmtId="0" fontId="7" fillId="0" borderId="0" xfId="0" applyFont="1" applyAlignment="1">
      <alignment horizontal="left"/>
    </xf>
    <xf numFmtId="166" fontId="9" fillId="0" borderId="0" xfId="0" applyNumberFormat="1" applyFont="1"/>
    <xf numFmtId="44" fontId="0" fillId="0" borderId="0" xfId="0" applyNumberFormat="1"/>
    <xf numFmtId="0" fontId="0" fillId="0" borderId="18" xfId="0" applyBorder="1"/>
    <xf numFmtId="0" fontId="7" fillId="0" borderId="18" xfId="0" applyFont="1" applyBorder="1"/>
    <xf numFmtId="0" fontId="0" fillId="0" borderId="12" xfId="0" applyBorder="1"/>
    <xf numFmtId="0" fontId="0" fillId="0" borderId="10" xfId="0" applyBorder="1"/>
    <xf numFmtId="6" fontId="31" fillId="0" borderId="18" xfId="0" applyNumberFormat="1" applyFont="1" applyBorder="1"/>
    <xf numFmtId="6" fontId="9" fillId="0" borderId="18" xfId="0" applyNumberFormat="1" applyFont="1" applyBorder="1"/>
    <xf numFmtId="6" fontId="0" fillId="0" borderId="18" xfId="0" applyNumberFormat="1" applyBorder="1"/>
    <xf numFmtId="0" fontId="9" fillId="0" borderId="1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39" fillId="0" borderId="11" xfId="0" applyFont="1" applyBorder="1"/>
    <xf numFmtId="0" fontId="10" fillId="0" borderId="11" xfId="0" applyFont="1" applyBorder="1"/>
    <xf numFmtId="0" fontId="33" fillId="0" borderId="0" xfId="0" applyFont="1" applyAlignment="1">
      <alignment wrapText="1"/>
    </xf>
    <xf numFmtId="0" fontId="10" fillId="0" borderId="19" xfId="0" applyFont="1" applyBorder="1"/>
    <xf numFmtId="0" fontId="9" fillId="0" borderId="12" xfId="0" applyFont="1" applyBorder="1"/>
    <xf numFmtId="165" fontId="9" fillId="0" borderId="12" xfId="0" applyNumberFormat="1" applyFont="1" applyBorder="1"/>
    <xf numFmtId="0" fontId="7" fillId="28" borderId="28" xfId="0" applyFont="1" applyFill="1" applyBorder="1" applyAlignment="1">
      <alignment horizontal="right"/>
    </xf>
    <xf numFmtId="165" fontId="7" fillId="28" borderId="29" xfId="0" applyNumberFormat="1" applyFont="1" applyFill="1" applyBorder="1"/>
    <xf numFmtId="0" fontId="7" fillId="28" borderId="30" xfId="0" applyFont="1" applyFill="1" applyBorder="1" applyAlignment="1">
      <alignment horizontal="right"/>
    </xf>
    <xf numFmtId="165" fontId="0" fillId="28" borderId="31" xfId="0" applyNumberFormat="1" applyFill="1" applyBorder="1"/>
    <xf numFmtId="165" fontId="7" fillId="28" borderId="31" xfId="0" applyNumberFormat="1" applyFont="1" applyFill="1" applyBorder="1"/>
    <xf numFmtId="0" fontId="7" fillId="28" borderId="32" xfId="0" applyFont="1" applyFill="1" applyBorder="1" applyAlignment="1">
      <alignment horizontal="right"/>
    </xf>
    <xf numFmtId="0" fontId="39" fillId="28" borderId="33" xfId="0" applyFont="1" applyFill="1" applyBorder="1"/>
    <xf numFmtId="0" fontId="10" fillId="0" borderId="0" xfId="0" applyFont="1" applyAlignment="1">
      <alignment horizontal="right"/>
    </xf>
    <xf numFmtId="0" fontId="34" fillId="0" borderId="0" xfId="0" applyFont="1"/>
    <xf numFmtId="166" fontId="7" fillId="0" borderId="0" xfId="0" applyNumberFormat="1" applyFont="1" applyAlignment="1">
      <alignment horizontal="right"/>
    </xf>
    <xf numFmtId="2" fontId="42" fillId="0" borderId="0" xfId="0" applyNumberFormat="1" applyFont="1"/>
    <xf numFmtId="9" fontId="7" fillId="0" borderId="0" xfId="44" applyFont="1" applyFill="1"/>
    <xf numFmtId="165" fontId="9" fillId="0" borderId="0" xfId="0" applyNumberFormat="1" applyFont="1"/>
    <xf numFmtId="0" fontId="8" fillId="0" borderId="0" xfId="0" applyFont="1"/>
    <xf numFmtId="10" fontId="7" fillId="0" borderId="0" xfId="0" applyNumberFormat="1" applyFont="1"/>
    <xf numFmtId="9" fontId="8" fillId="0" borderId="0" xfId="0" applyNumberFormat="1" applyFont="1"/>
    <xf numFmtId="6" fontId="10" fillId="0" borderId="0" xfId="0" applyNumberFormat="1" applyFont="1"/>
    <xf numFmtId="166" fontId="10" fillId="0" borderId="0" xfId="0" applyNumberFormat="1" applyFont="1"/>
    <xf numFmtId="0" fontId="0" fillId="0" borderId="21" xfId="0" applyBorder="1"/>
    <xf numFmtId="8" fontId="37" fillId="0" borderId="0" xfId="0" applyNumberFormat="1" applyFont="1"/>
    <xf numFmtId="0" fontId="7" fillId="28" borderId="0" xfId="0" quotePrefix="1" applyFont="1" applyFill="1" applyAlignment="1">
      <alignment horizontal="right" wrapText="1"/>
    </xf>
    <xf numFmtId="9" fontId="7" fillId="0" borderId="0" xfId="0" applyNumberFormat="1" applyFont="1"/>
    <xf numFmtId="0" fontId="7" fillId="0" borderId="11" xfId="0" applyFont="1" applyBorder="1"/>
    <xf numFmtId="0" fontId="9" fillId="0" borderId="11" xfId="0" applyFont="1" applyBorder="1"/>
    <xf numFmtId="0" fontId="7" fillId="0" borderId="15" xfId="0" applyFont="1" applyBorder="1"/>
    <xf numFmtId="167" fontId="0" fillId="0" borderId="0" xfId="28" applyNumberFormat="1" applyFont="1"/>
    <xf numFmtId="1" fontId="7" fillId="0" borderId="0" xfId="0" applyNumberFormat="1" applyFont="1"/>
    <xf numFmtId="0" fontId="40" fillId="0" borderId="0" xfId="0" applyFont="1"/>
    <xf numFmtId="0" fontId="7" fillId="0" borderId="12" xfId="0" applyFont="1" applyBorder="1"/>
    <xf numFmtId="0" fontId="7" fillId="0" borderId="12" xfId="0" quotePrefix="1" applyFont="1" applyBorder="1" applyAlignment="1">
      <alignment horizontal="right" wrapText="1"/>
    </xf>
    <xf numFmtId="9" fontId="0" fillId="0" borderId="0" xfId="44" applyFont="1" applyFill="1" applyBorder="1"/>
    <xf numFmtId="6" fontId="31" fillId="0" borderId="10" xfId="0" applyNumberFormat="1" applyFont="1" applyBorder="1"/>
    <xf numFmtId="165" fontId="7" fillId="0" borderId="12" xfId="0" applyNumberFormat="1" applyFont="1" applyBorder="1"/>
    <xf numFmtId="0" fontId="10" fillId="0" borderId="14" xfId="0" applyFont="1" applyBorder="1"/>
    <xf numFmtId="0" fontId="7" fillId="0" borderId="10" xfId="0" applyFont="1" applyBorder="1"/>
    <xf numFmtId="0" fontId="9" fillId="0" borderId="0" xfId="0" applyFont="1" applyAlignment="1">
      <alignment wrapText="1"/>
    </xf>
    <xf numFmtId="0" fontId="7" fillId="27" borderId="37" xfId="0" applyFont="1" applyFill="1" applyBorder="1" applyAlignment="1" applyProtection="1">
      <alignment horizontal="center" vertical="center"/>
      <protection locked="0"/>
    </xf>
    <xf numFmtId="10" fontId="40" fillId="27" borderId="0" xfId="0" applyNumberFormat="1" applyFont="1" applyFill="1"/>
    <xf numFmtId="6" fontId="7" fillId="29" borderId="18" xfId="0" applyNumberFormat="1" applyFont="1" applyFill="1" applyBorder="1"/>
    <xf numFmtId="0" fontId="39" fillId="30" borderId="26" xfId="0" applyFont="1" applyFill="1" applyBorder="1"/>
    <xf numFmtId="0" fontId="7" fillId="30" borderId="22" xfId="0" applyFont="1" applyFill="1" applyBorder="1"/>
    <xf numFmtId="0" fontId="9" fillId="30" borderId="22" xfId="0" applyFont="1" applyFill="1" applyBorder="1" applyAlignment="1">
      <alignment horizontal="right"/>
    </xf>
    <xf numFmtId="3" fontId="0" fillId="0" borderId="12" xfId="0" applyNumberFormat="1" applyBorder="1"/>
    <xf numFmtId="9" fontId="9" fillId="0" borderId="18" xfId="44" applyFont="1" applyBorder="1"/>
    <xf numFmtId="0" fontId="7" fillId="0" borderId="20" xfId="0" applyFont="1" applyBorder="1"/>
    <xf numFmtId="0" fontId="9" fillId="31" borderId="0" xfId="0" applyFont="1" applyFill="1"/>
    <xf numFmtId="0" fontId="0" fillId="31" borderId="0" xfId="0" applyFill="1"/>
    <xf numFmtId="0" fontId="39" fillId="0" borderId="0" xfId="0" applyFont="1"/>
    <xf numFmtId="3" fontId="0" fillId="0" borderId="0" xfId="0" applyNumberFormat="1"/>
    <xf numFmtId="9" fontId="38" fillId="0" borderId="0" xfId="44" applyFont="1" applyAlignment="1">
      <alignment vertical="center"/>
    </xf>
    <xf numFmtId="165" fontId="7" fillId="29" borderId="0" xfId="0" applyNumberFormat="1" applyFont="1" applyFill="1"/>
    <xf numFmtId="0" fontId="38" fillId="0" borderId="0" xfId="0" applyFont="1" applyAlignment="1">
      <alignment vertical="center"/>
    </xf>
    <xf numFmtId="0" fontId="0" fillId="0" borderId="16" xfId="0" applyBorder="1"/>
    <xf numFmtId="9" fontId="7" fillId="0" borderId="0" xfId="44" applyFont="1" applyFill="1" applyBorder="1"/>
    <xf numFmtId="9" fontId="0" fillId="0" borderId="0" xfId="44" applyFont="1" applyBorder="1"/>
    <xf numFmtId="0" fontId="7" fillId="0" borderId="0" xfId="0" applyFont="1" applyAlignment="1">
      <alignment horizontal="left" vertical="top" wrapText="1"/>
    </xf>
    <xf numFmtId="9" fontId="0" fillId="0" borderId="0" xfId="0" applyNumberFormat="1" applyAlignment="1">
      <alignment horizontal="right"/>
    </xf>
    <xf numFmtId="0" fontId="45" fillId="0" borderId="0" xfId="0" applyFont="1" applyAlignment="1">
      <alignment horizontal="right" vertical="center"/>
    </xf>
    <xf numFmtId="0" fontId="0" fillId="0" borderId="11" xfId="0" applyBorder="1"/>
    <xf numFmtId="0" fontId="9" fillId="0" borderId="0" xfId="0" applyFont="1" applyAlignment="1">
      <alignment horizontal="left"/>
    </xf>
    <xf numFmtId="0" fontId="7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right"/>
    </xf>
    <xf numFmtId="0" fontId="9" fillId="0" borderId="12" xfId="0" applyFont="1" applyBorder="1" applyAlignment="1">
      <alignment horizontal="center" vertical="center"/>
    </xf>
    <xf numFmtId="8" fontId="10" fillId="0" borderId="0" xfId="0" applyNumberFormat="1" applyFont="1"/>
    <xf numFmtId="167" fontId="0" fillId="0" borderId="12" xfId="28" applyNumberFormat="1" applyFont="1" applyBorder="1"/>
    <xf numFmtId="6" fontId="0" fillId="0" borderId="0" xfId="28" applyNumberFormat="1" applyFont="1"/>
    <xf numFmtId="6" fontId="0" fillId="0" borderId="12" xfId="0" applyNumberFormat="1" applyBorder="1"/>
    <xf numFmtId="0" fontId="0" fillId="0" borderId="13" xfId="0" applyBorder="1"/>
    <xf numFmtId="0" fontId="0" fillId="0" borderId="17" xfId="0" applyBorder="1"/>
    <xf numFmtId="165" fontId="7" fillId="27" borderId="0" xfId="0" applyNumberFormat="1" applyFont="1" applyFill="1"/>
    <xf numFmtId="44" fontId="0" fillId="0" borderId="0" xfId="28" applyFont="1" applyFill="1" applyBorder="1"/>
    <xf numFmtId="0" fontId="9" fillId="0" borderId="11" xfId="0" applyFont="1" applyBorder="1" applyAlignment="1">
      <alignment horizontal="center" vertical="center"/>
    </xf>
    <xf numFmtId="167" fontId="7" fillId="0" borderId="0" xfId="28" applyNumberFormat="1" applyFont="1" applyFill="1"/>
    <xf numFmtId="0" fontId="9" fillId="0" borderId="41" xfId="0" applyFont="1" applyBorder="1" applyAlignment="1">
      <alignment horizontal="center" vertical="center"/>
    </xf>
    <xf numFmtId="0" fontId="9" fillId="0" borderId="41" xfId="0" applyFont="1" applyBorder="1"/>
    <xf numFmtId="0" fontId="0" fillId="34" borderId="0" xfId="0" applyFill="1"/>
    <xf numFmtId="0" fontId="0" fillId="0" borderId="15" xfId="0" applyBorder="1"/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41" xfId="0" applyFont="1" applyBorder="1"/>
    <xf numFmtId="0" fontId="7" fillId="0" borderId="19" xfId="0" applyFont="1" applyBorder="1"/>
    <xf numFmtId="0" fontId="7" fillId="0" borderId="14" xfId="0" applyFont="1" applyBorder="1"/>
    <xf numFmtId="167" fontId="0" fillId="0" borderId="11" xfId="28" applyNumberFormat="1" applyFont="1" applyBorder="1"/>
    <xf numFmtId="0" fontId="49" fillId="0" borderId="0" xfId="0" applyFont="1"/>
    <xf numFmtId="0" fontId="50" fillId="0" borderId="0" xfId="0" applyFont="1" applyAlignment="1">
      <alignment horizontal="right"/>
    </xf>
    <xf numFmtId="0" fontId="50" fillId="0" borderId="0" xfId="0" applyFont="1" applyAlignment="1">
      <alignment horizontal="left"/>
    </xf>
    <xf numFmtId="0" fontId="51" fillId="0" borderId="0" xfId="0" applyFont="1"/>
    <xf numFmtId="20" fontId="49" fillId="0" borderId="0" xfId="0" quotePrefix="1" applyNumberFormat="1" applyFont="1" applyAlignment="1">
      <alignment horizontal="right"/>
    </xf>
    <xf numFmtId="0" fontId="7" fillId="27" borderId="42" xfId="0" applyFont="1" applyFill="1" applyBorder="1" applyAlignment="1" applyProtection="1">
      <alignment horizontal="center" vertical="center"/>
      <protection locked="0"/>
    </xf>
    <xf numFmtId="0" fontId="7" fillId="27" borderId="11" xfId="0" applyFont="1" applyFill="1" applyBorder="1" applyAlignment="1" applyProtection="1">
      <alignment horizontal="center" vertical="center"/>
      <protection locked="0"/>
    </xf>
    <xf numFmtId="0" fontId="0" fillId="29" borderId="0" xfId="0" applyFill="1"/>
    <xf numFmtId="0" fontId="37" fillId="29" borderId="0" xfId="0" applyFont="1" applyFill="1"/>
    <xf numFmtId="9" fontId="0" fillId="29" borderId="0" xfId="0" applyNumberFormat="1" applyFill="1" applyAlignment="1">
      <alignment horizontal="right"/>
    </xf>
    <xf numFmtId="0" fontId="7" fillId="27" borderId="43" xfId="0" applyFont="1" applyFill="1" applyBorder="1" applyAlignment="1" applyProtection="1">
      <alignment horizontal="center" vertical="center"/>
      <protection locked="0"/>
    </xf>
    <xf numFmtId="0" fontId="7" fillId="29" borderId="12" xfId="0" applyFont="1" applyFill="1" applyBorder="1"/>
    <xf numFmtId="0" fontId="9" fillId="29" borderId="12" xfId="0" applyFont="1" applyFill="1" applyBorder="1"/>
    <xf numFmtId="0" fontId="35" fillId="29" borderId="12" xfId="0" applyFont="1" applyFill="1" applyBorder="1" applyAlignment="1">
      <alignment horizontal="center" vertical="center"/>
    </xf>
    <xf numFmtId="0" fontId="7" fillId="29" borderId="12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35" fillId="29" borderId="36" xfId="0" applyFont="1" applyFill="1" applyBorder="1"/>
    <xf numFmtId="167" fontId="37" fillId="29" borderId="0" xfId="28" applyNumberFormat="1" applyFont="1" applyFill="1" applyBorder="1" applyAlignment="1"/>
    <xf numFmtId="167" fontId="0" fillId="29" borderId="0" xfId="28" applyNumberFormat="1" applyFont="1" applyFill="1" applyBorder="1" applyAlignment="1"/>
    <xf numFmtId="9" fontId="49" fillId="29" borderId="0" xfId="44" applyFont="1" applyFill="1" applyBorder="1"/>
    <xf numFmtId="167" fontId="49" fillId="29" borderId="0" xfId="28" applyNumberFormat="1" applyFont="1" applyFill="1" applyBorder="1" applyAlignment="1"/>
    <xf numFmtId="0" fontId="0" fillId="29" borderId="18" xfId="0" applyFill="1" applyBorder="1"/>
    <xf numFmtId="0" fontId="9" fillId="29" borderId="16" xfId="0" applyFont="1" applyFill="1" applyBorder="1" applyAlignment="1">
      <alignment horizontal="center"/>
    </xf>
    <xf numFmtId="0" fontId="9" fillId="29" borderId="15" xfId="0" applyFont="1" applyFill="1" applyBorder="1" applyAlignment="1">
      <alignment horizontal="center"/>
    </xf>
    <xf numFmtId="167" fontId="7" fillId="29" borderId="0" xfId="28" applyNumberFormat="1" applyFont="1" applyFill="1" applyBorder="1" applyAlignment="1"/>
    <xf numFmtId="9" fontId="0" fillId="29" borderId="0" xfId="44" applyFont="1" applyFill="1" applyBorder="1"/>
    <xf numFmtId="0" fontId="0" fillId="29" borderId="26" xfId="0" applyFill="1" applyBorder="1"/>
    <xf numFmtId="0" fontId="47" fillId="29" borderId="34" xfId="0" applyFont="1" applyFill="1" applyBorder="1"/>
    <xf numFmtId="0" fontId="0" fillId="29" borderId="34" xfId="0" applyFill="1" applyBorder="1"/>
    <xf numFmtId="0" fontId="7" fillId="29" borderId="34" xfId="0" applyFont="1" applyFill="1" applyBorder="1"/>
    <xf numFmtId="0" fontId="49" fillId="29" borderId="34" xfId="0" applyFont="1" applyFill="1" applyBorder="1"/>
    <xf numFmtId="0" fontId="49" fillId="29" borderId="27" xfId="0" applyFont="1" applyFill="1" applyBorder="1"/>
    <xf numFmtId="0" fontId="0" fillId="29" borderId="22" xfId="0" applyFill="1" applyBorder="1"/>
    <xf numFmtId="0" fontId="9" fillId="29" borderId="0" xfId="0" applyFont="1" applyFill="1"/>
    <xf numFmtId="0" fontId="7" fillId="29" borderId="0" xfId="0" applyFont="1" applyFill="1"/>
    <xf numFmtId="0" fontId="49" fillId="29" borderId="0" xfId="0" applyFont="1" applyFill="1"/>
    <xf numFmtId="0" fontId="49" fillId="29" borderId="23" xfId="0" applyFont="1" applyFill="1" applyBorder="1"/>
    <xf numFmtId="0" fontId="41" fillId="29" borderId="0" xfId="0" applyFont="1" applyFill="1"/>
    <xf numFmtId="0" fontId="50" fillId="29" borderId="0" xfId="0" applyFont="1" applyFill="1" applyAlignment="1">
      <alignment horizontal="right"/>
    </xf>
    <xf numFmtId="0" fontId="51" fillId="29" borderId="23" xfId="0" applyFont="1" applyFill="1" applyBorder="1" applyAlignment="1">
      <alignment horizontal="right"/>
    </xf>
    <xf numFmtId="0" fontId="51" fillId="29" borderId="23" xfId="0" applyFont="1" applyFill="1" applyBorder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9" borderId="23" xfId="0" applyFill="1" applyBorder="1"/>
    <xf numFmtId="0" fontId="9" fillId="29" borderId="0" xfId="0" applyFont="1" applyFill="1" applyAlignment="1">
      <alignment horizontal="right"/>
    </xf>
    <xf numFmtId="0" fontId="9" fillId="29" borderId="0" xfId="0" applyFont="1" applyFill="1" applyAlignment="1">
      <alignment horizontal="center" vertical="center"/>
    </xf>
    <xf numFmtId="0" fontId="10" fillId="29" borderId="0" xfId="0" applyFont="1" applyFill="1"/>
    <xf numFmtId="0" fontId="9" fillId="29" borderId="0" xfId="0" applyFont="1" applyFill="1" applyAlignment="1">
      <alignment horizontal="left"/>
    </xf>
    <xf numFmtId="0" fontId="37" fillId="29" borderId="22" xfId="0" applyFont="1" applyFill="1" applyBorder="1"/>
    <xf numFmtId="0" fontId="51" fillId="29" borderId="0" xfId="0" applyFont="1" applyFill="1" applyAlignment="1">
      <alignment vertical="center"/>
    </xf>
    <xf numFmtId="0" fontId="37" fillId="29" borderId="23" xfId="0" applyFont="1" applyFill="1" applyBorder="1"/>
    <xf numFmtId="0" fontId="9" fillId="26" borderId="0" xfId="0" applyFont="1" applyFill="1" applyAlignment="1">
      <alignment horizontal="left"/>
    </xf>
    <xf numFmtId="0" fontId="35" fillId="0" borderId="0" xfId="0" applyFont="1"/>
    <xf numFmtId="0" fontId="35" fillId="29" borderId="0" xfId="0" applyFont="1" applyFill="1"/>
    <xf numFmtId="0" fontId="0" fillId="29" borderId="24" xfId="0" applyFill="1" applyBorder="1"/>
    <xf numFmtId="0" fontId="0" fillId="29" borderId="35" xfId="0" applyFill="1" applyBorder="1"/>
    <xf numFmtId="0" fontId="35" fillId="0" borderId="16" xfId="0" applyFont="1" applyBorder="1"/>
    <xf numFmtId="0" fontId="35" fillId="0" borderId="36" xfId="0" applyFont="1" applyBorder="1"/>
    <xf numFmtId="0" fontId="0" fillId="0" borderId="36" xfId="0" applyBorder="1"/>
    <xf numFmtId="0" fontId="10" fillId="29" borderId="18" xfId="0" applyFont="1" applyFill="1" applyBorder="1"/>
    <xf numFmtId="0" fontId="9" fillId="0" borderId="40" xfId="0" applyFont="1" applyBorder="1" applyAlignment="1">
      <alignment horizontal="center" vertical="center"/>
    </xf>
    <xf numFmtId="0" fontId="0" fillId="27" borderId="22" xfId="0" applyFill="1" applyBorder="1"/>
    <xf numFmtId="0" fontId="48" fillId="35" borderId="26" xfId="0" applyFont="1" applyFill="1" applyBorder="1" applyAlignment="1">
      <alignment horizontal="left"/>
    </xf>
    <xf numFmtId="0" fontId="0" fillId="35" borderId="34" xfId="0" applyFill="1" applyBorder="1"/>
    <xf numFmtId="0" fontId="9" fillId="35" borderId="34" xfId="0" applyFont="1" applyFill="1" applyBorder="1" applyAlignment="1">
      <alignment horizontal="center" vertical="center"/>
    </xf>
    <xf numFmtId="0" fontId="9" fillId="35" borderId="27" xfId="0" applyFont="1" applyFill="1" applyBorder="1" applyAlignment="1">
      <alignment horizontal="center" vertical="center"/>
    </xf>
    <xf numFmtId="0" fontId="0" fillId="35" borderId="22" xfId="0" applyFill="1" applyBorder="1"/>
    <xf numFmtId="0" fontId="0" fillId="35" borderId="0" xfId="0" applyFill="1"/>
    <xf numFmtId="6" fontId="0" fillId="35" borderId="0" xfId="0" applyNumberFormat="1" applyFill="1" applyAlignment="1">
      <alignment horizontal="center" vertical="center"/>
    </xf>
    <xf numFmtId="6" fontId="0" fillId="35" borderId="23" xfId="0" applyNumberFormat="1" applyFill="1" applyBorder="1" applyAlignment="1">
      <alignment horizontal="center" vertical="center"/>
    </xf>
    <xf numFmtId="0" fontId="0" fillId="35" borderId="24" xfId="0" applyFill="1" applyBorder="1"/>
    <xf numFmtId="0" fontId="0" fillId="35" borderId="35" xfId="0" applyFill="1" applyBorder="1"/>
    <xf numFmtId="6" fontId="0" fillId="35" borderId="35" xfId="0" applyNumberFormat="1" applyFill="1" applyBorder="1" applyAlignment="1">
      <alignment horizontal="center" vertical="center"/>
    </xf>
    <xf numFmtId="6" fontId="0" fillId="35" borderId="25" xfId="0" applyNumberFormat="1" applyFill="1" applyBorder="1" applyAlignment="1">
      <alignment horizontal="center" vertical="center"/>
    </xf>
    <xf numFmtId="9" fontId="49" fillId="32" borderId="22" xfId="44" applyFont="1" applyFill="1" applyBorder="1" applyAlignment="1">
      <alignment horizontal="center"/>
    </xf>
    <xf numFmtId="0" fontId="0" fillId="29" borderId="25" xfId="0" applyFill="1" applyBorder="1"/>
    <xf numFmtId="0" fontId="9" fillId="35" borderId="0" xfId="0" applyFont="1" applyFill="1"/>
    <xf numFmtId="0" fontId="0" fillId="36" borderId="0" xfId="0" applyFill="1"/>
    <xf numFmtId="0" fontId="53" fillId="36" borderId="0" xfId="0" applyFont="1" applyFill="1" applyAlignment="1">
      <alignment horizontal="left" vertical="top"/>
    </xf>
    <xf numFmtId="8" fontId="35" fillId="36" borderId="0" xfId="0" applyNumberFormat="1" applyFont="1" applyFill="1" applyAlignment="1">
      <alignment horizontal="left" vertical="top"/>
    </xf>
    <xf numFmtId="0" fontId="9" fillId="36" borderId="0" xfId="0" applyFont="1" applyFill="1" applyAlignment="1">
      <alignment horizontal="left" vertical="top"/>
    </xf>
    <xf numFmtId="0" fontId="53" fillId="36" borderId="0" xfId="0" applyFont="1" applyFill="1"/>
    <xf numFmtId="0" fontId="9" fillId="26" borderId="16" xfId="0" applyFont="1" applyFill="1" applyBorder="1" applyAlignment="1">
      <alignment horizontal="left"/>
    </xf>
    <xf numFmtId="0" fontId="0" fillId="26" borderId="0" xfId="0" applyFill="1"/>
    <xf numFmtId="0" fontId="9" fillId="26" borderId="0" xfId="0" applyFont="1" applyFill="1"/>
    <xf numFmtId="0" fontId="10" fillId="29" borderId="0" xfId="0" applyFont="1" applyFill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9" fillId="26" borderId="0" xfId="0" applyFont="1" applyFill="1" applyAlignment="1">
      <alignment horizontal="left" vertical="center"/>
    </xf>
    <xf numFmtId="0" fontId="0" fillId="27" borderId="11" xfId="0" applyFill="1" applyBorder="1"/>
    <xf numFmtId="0" fontId="9" fillId="29" borderId="12" xfId="0" applyFont="1" applyFill="1" applyBorder="1" applyAlignment="1">
      <alignment horizontal="left" vertical="center"/>
    </xf>
    <xf numFmtId="0" fontId="10" fillId="29" borderId="26" xfId="0" applyFont="1" applyFill="1" applyBorder="1"/>
    <xf numFmtId="0" fontId="9" fillId="29" borderId="27" xfId="0" applyFont="1" applyFill="1" applyBorder="1"/>
    <xf numFmtId="0" fontId="10" fillId="29" borderId="24" xfId="0" applyFont="1" applyFill="1" applyBorder="1"/>
    <xf numFmtId="0" fontId="7" fillId="29" borderId="34" xfId="0" applyFont="1" applyFill="1" applyBorder="1" applyAlignment="1">
      <alignment horizontal="right"/>
    </xf>
    <xf numFmtId="0" fontId="7" fillId="29" borderId="35" xfId="0" applyFont="1" applyFill="1" applyBorder="1" applyAlignment="1">
      <alignment horizontal="right"/>
    </xf>
    <xf numFmtId="0" fontId="35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9" fontId="9" fillId="0" borderId="11" xfId="0" applyNumberFormat="1" applyFont="1" applyBorder="1" applyAlignment="1">
      <alignment horizontal="center" vertical="center" wrapText="1"/>
    </xf>
    <xf numFmtId="9" fontId="0" fillId="29" borderId="25" xfId="44" applyFont="1" applyFill="1" applyBorder="1"/>
    <xf numFmtId="0" fontId="7" fillId="37" borderId="11" xfId="0" applyFont="1" applyFill="1" applyBorder="1"/>
    <xf numFmtId="9" fontId="7" fillId="37" borderId="11" xfId="0" applyNumberFormat="1" applyFont="1" applyFill="1" applyBorder="1" applyAlignment="1">
      <alignment horizontal="right"/>
    </xf>
    <xf numFmtId="0" fontId="7" fillId="0" borderId="0" xfId="0" applyFont="1" applyAlignment="1">
      <alignment horizontal="right" vertical="top" wrapText="1"/>
    </xf>
    <xf numFmtId="0" fontId="7" fillId="0" borderId="0" xfId="67"/>
    <xf numFmtId="0" fontId="54" fillId="27" borderId="0" xfId="67" applyFont="1" applyFill="1"/>
    <xf numFmtId="0" fontId="7" fillId="38" borderId="0" xfId="67" applyFill="1"/>
    <xf numFmtId="0" fontId="7" fillId="0" borderId="0" xfId="67" quotePrefix="1"/>
    <xf numFmtId="0" fontId="7" fillId="0" borderId="0" xfId="67" applyAlignment="1">
      <alignment wrapText="1"/>
    </xf>
    <xf numFmtId="0" fontId="7" fillId="0" borderId="0" xfId="67" applyAlignment="1">
      <alignment horizontal="center"/>
    </xf>
    <xf numFmtId="0" fontId="7" fillId="0" borderId="0" xfId="67" applyAlignment="1">
      <alignment horizontal="center" wrapText="1"/>
    </xf>
    <xf numFmtId="8" fontId="7" fillId="0" borderId="0" xfId="67" applyNumberFormat="1"/>
    <xf numFmtId="8" fontId="7" fillId="28" borderId="0" xfId="67" applyNumberFormat="1" applyFill="1"/>
    <xf numFmtId="0" fontId="45" fillId="0" borderId="0" xfId="0" applyFont="1"/>
    <xf numFmtId="9" fontId="40" fillId="28" borderId="0" xfId="0" applyNumberFormat="1" applyFont="1" applyFill="1"/>
    <xf numFmtId="6" fontId="40" fillId="0" borderId="0" xfId="0" applyNumberFormat="1" applyFont="1"/>
    <xf numFmtId="165" fontId="40" fillId="0" borderId="0" xfId="0" applyNumberFormat="1" applyFont="1"/>
    <xf numFmtId="9" fontId="40" fillId="0" borderId="0" xfId="0" applyNumberFormat="1" applyFont="1"/>
    <xf numFmtId="6" fontId="55" fillId="0" borderId="0" xfId="0" applyNumberFormat="1" applyFont="1"/>
    <xf numFmtId="0" fontId="40" fillId="0" borderId="0" xfId="0" quotePrefix="1" applyFont="1"/>
    <xf numFmtId="0" fontId="40" fillId="37" borderId="0" xfId="0" applyFont="1" applyFill="1"/>
    <xf numFmtId="168" fontId="55" fillId="37" borderId="0" xfId="0" applyNumberFormat="1" applyFont="1" applyFill="1"/>
    <xf numFmtId="169" fontId="40" fillId="37" borderId="0" xfId="0" applyNumberFormat="1" applyFont="1" applyFill="1"/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right"/>
    </xf>
    <xf numFmtId="0" fontId="7" fillId="0" borderId="17" xfId="0" applyFont="1" applyBorder="1"/>
    <xf numFmtId="8" fontId="40" fillId="0" borderId="0" xfId="0" applyNumberFormat="1" applyFont="1"/>
    <xf numFmtId="167" fontId="40" fillId="0" borderId="0" xfId="28" applyNumberFormat="1" applyFont="1" applyAlignment="1">
      <alignment horizontal="center" vertical="center"/>
    </xf>
    <xf numFmtId="167" fontId="40" fillId="0" borderId="0" xfId="28" applyNumberFormat="1" applyFont="1" applyFill="1" applyAlignment="1">
      <alignment horizontal="center" vertical="center" wrapText="1"/>
    </xf>
    <xf numFmtId="6" fontId="40" fillId="0" borderId="0" xfId="28" applyNumberFormat="1" applyFont="1" applyFill="1" applyAlignment="1">
      <alignment horizontal="right" vertical="center"/>
    </xf>
    <xf numFmtId="167" fontId="40" fillId="0" borderId="0" xfId="28" applyNumberFormat="1" applyFont="1" applyAlignment="1">
      <alignment horizontal="right" vertical="center"/>
    </xf>
    <xf numFmtId="0" fontId="40" fillId="0" borderId="0" xfId="0" applyFont="1" applyAlignment="1">
      <alignment wrapText="1"/>
    </xf>
    <xf numFmtId="167" fontId="40" fillId="0" borderId="0" xfId="44" applyNumberFormat="1" applyFont="1" applyFill="1"/>
    <xf numFmtId="0" fontId="0" fillId="0" borderId="11" xfId="28" applyNumberFormat="1" applyFont="1" applyFill="1" applyBorder="1"/>
    <xf numFmtId="14" fontId="40" fillId="29" borderId="34" xfId="0" applyNumberFormat="1" applyFont="1" applyFill="1" applyBorder="1" applyAlignment="1">
      <alignment horizontal="left"/>
    </xf>
    <xf numFmtId="0" fontId="40" fillId="29" borderId="0" xfId="0" applyFont="1" applyFill="1"/>
    <xf numFmtId="0" fontId="39" fillId="33" borderId="26" xfId="0" applyFont="1" applyFill="1" applyBorder="1"/>
    <xf numFmtId="0" fontId="0" fillId="33" borderId="27" xfId="0" applyFill="1" applyBorder="1"/>
    <xf numFmtId="0" fontId="7" fillId="33" borderId="22" xfId="0" applyFont="1" applyFill="1" applyBorder="1" applyAlignment="1">
      <alignment horizontal="left" vertical="top"/>
    </xf>
    <xf numFmtId="0" fontId="7" fillId="33" borderId="24" xfId="0" applyFont="1" applyFill="1" applyBorder="1" applyAlignment="1">
      <alignment horizontal="left" vertical="top"/>
    </xf>
    <xf numFmtId="0" fontId="10" fillId="0" borderId="10" xfId="0" applyFont="1" applyBorder="1" applyAlignment="1">
      <alignment horizontal="right"/>
    </xf>
    <xf numFmtId="8" fontId="10" fillId="0" borderId="40" xfId="0" applyNumberFormat="1" applyFont="1" applyBorder="1"/>
    <xf numFmtId="0" fontId="40" fillId="29" borderId="0" xfId="0" applyFont="1" applyFill="1" applyAlignment="1">
      <alignment horizontal="right"/>
    </xf>
    <xf numFmtId="9" fontId="40" fillId="29" borderId="0" xfId="0" applyNumberFormat="1" applyFont="1" applyFill="1"/>
    <xf numFmtId="9" fontId="40" fillId="29" borderId="0" xfId="44" applyFont="1" applyFill="1" applyBorder="1"/>
    <xf numFmtId="0" fontId="40" fillId="29" borderId="0" xfId="0" applyFont="1" applyFill="1" applyAlignment="1">
      <alignment vertical="center"/>
    </xf>
    <xf numFmtId="0" fontId="0" fillId="37" borderId="27" xfId="0" applyFill="1" applyBorder="1"/>
    <xf numFmtId="0" fontId="0" fillId="37" borderId="22" xfId="0" applyFill="1" applyBorder="1"/>
    <xf numFmtId="0" fontId="9" fillId="37" borderId="23" xfId="0" applyFont="1" applyFill="1" applyBorder="1"/>
    <xf numFmtId="0" fontId="37" fillId="37" borderId="22" xfId="0" applyFont="1" applyFill="1" applyBorder="1"/>
    <xf numFmtId="167" fontId="40" fillId="37" borderId="0" xfId="28" applyNumberFormat="1" applyFont="1" applyFill="1" applyBorder="1" applyAlignment="1">
      <alignment horizontal="right"/>
    </xf>
    <xf numFmtId="167" fontId="7" fillId="37" borderId="0" xfId="28" applyNumberFormat="1" applyFont="1" applyFill="1" applyBorder="1" applyAlignment="1">
      <alignment horizontal="right"/>
    </xf>
    <xf numFmtId="167" fontId="7" fillId="37" borderId="24" xfId="28" applyNumberFormat="1" applyFont="1" applyFill="1" applyBorder="1" applyAlignment="1"/>
    <xf numFmtId="167" fontId="7" fillId="37" borderId="35" xfId="28" applyNumberFormat="1" applyFont="1" applyFill="1" applyBorder="1" applyAlignment="1">
      <alignment horizontal="right"/>
    </xf>
    <xf numFmtId="0" fontId="9" fillId="37" borderId="0" xfId="0" applyFont="1" applyFill="1" applyAlignment="1">
      <alignment horizontal="right"/>
    </xf>
    <xf numFmtId="0" fontId="39" fillId="37" borderId="26" xfId="0" applyFont="1" applyFill="1" applyBorder="1" applyAlignment="1">
      <alignment horizontal="left" vertical="top"/>
    </xf>
    <xf numFmtId="0" fontId="0" fillId="37" borderId="34" xfId="0" applyFill="1" applyBorder="1"/>
    <xf numFmtId="0" fontId="0" fillId="33" borderId="23" xfId="0" applyFill="1" applyBorder="1"/>
    <xf numFmtId="0" fontId="0" fillId="33" borderId="34" xfId="0" applyFill="1" applyBorder="1"/>
    <xf numFmtId="0" fontId="7" fillId="33" borderId="0" xfId="0" applyFont="1" applyFill="1" applyAlignment="1">
      <alignment horizontal="left"/>
    </xf>
    <xf numFmtId="0" fontId="7" fillId="33" borderId="35" xfId="0" applyFont="1" applyFill="1" applyBorder="1" applyAlignment="1">
      <alignment horizontal="left"/>
    </xf>
    <xf numFmtId="0" fontId="49" fillId="29" borderId="0" xfId="0" applyFont="1" applyFill="1" applyAlignment="1">
      <alignment vertical="center"/>
    </xf>
    <xf numFmtId="0" fontId="0" fillId="33" borderId="25" xfId="0" applyFill="1" applyBorder="1"/>
    <xf numFmtId="167" fontId="0" fillId="27" borderId="11" xfId="28" applyNumberFormat="1" applyFont="1" applyFill="1" applyBorder="1"/>
    <xf numFmtId="44" fontId="0" fillId="27" borderId="11" xfId="28" applyFont="1" applyFill="1" applyBorder="1"/>
    <xf numFmtId="44" fontId="0" fillId="27" borderId="11" xfId="28" applyFont="1" applyFill="1" applyBorder="1" applyAlignment="1">
      <alignment horizontal="right"/>
    </xf>
    <xf numFmtId="0" fontId="39" fillId="0" borderId="10" xfId="0" applyFont="1" applyBorder="1"/>
    <xf numFmtId="0" fontId="10" fillId="0" borderId="18" xfId="0" applyFont="1" applyBorder="1"/>
    <xf numFmtId="0" fontId="7" fillId="28" borderId="52" xfId="0" applyFont="1" applyFill="1" applyBorder="1" applyAlignment="1">
      <alignment horizontal="right"/>
    </xf>
    <xf numFmtId="0" fontId="7" fillId="28" borderId="0" xfId="0" applyFont="1" applyFill="1" applyAlignment="1">
      <alignment horizontal="right"/>
    </xf>
    <xf numFmtId="0" fontId="7" fillId="28" borderId="53" xfId="0" applyFont="1" applyFill="1" applyBorder="1" applyAlignment="1">
      <alignment horizontal="right"/>
    </xf>
    <xf numFmtId="0" fontId="7" fillId="0" borderId="0" xfId="0" applyFont="1" applyAlignment="1">
      <alignment horizontal="left" vertical="top"/>
    </xf>
    <xf numFmtId="0" fontId="7" fillId="24" borderId="0" xfId="0" applyFont="1" applyFill="1"/>
    <xf numFmtId="0" fontId="7" fillId="28" borderId="0" xfId="0" applyFont="1" applyFill="1"/>
    <xf numFmtId="0" fontId="7" fillId="25" borderId="0" xfId="0" applyFont="1" applyFill="1"/>
    <xf numFmtId="0" fontId="7" fillId="26" borderId="0" xfId="0" applyFont="1" applyFill="1"/>
    <xf numFmtId="0" fontId="7" fillId="28" borderId="0" xfId="0" applyFont="1" applyFill="1" applyAlignment="1" applyProtection="1">
      <alignment wrapText="1"/>
      <protection locked="0"/>
    </xf>
    <xf numFmtId="2" fontId="7" fillId="0" borderId="0" xfId="0" applyNumberFormat="1" applyFont="1"/>
    <xf numFmtId="0" fontId="7" fillId="28" borderId="0" xfId="0" applyFont="1" applyFill="1" applyProtection="1">
      <protection locked="0"/>
    </xf>
    <xf numFmtId="6" fontId="7" fillId="28" borderId="0" xfId="0" applyNumberFormat="1" applyFont="1" applyFill="1"/>
    <xf numFmtId="0" fontId="56" fillId="0" borderId="0" xfId="0" applyFont="1"/>
    <xf numFmtId="0" fontId="7" fillId="0" borderId="12" xfId="0" applyFont="1" applyBorder="1" applyAlignment="1" applyProtection="1">
      <alignment wrapText="1"/>
      <protection locked="0"/>
    </xf>
    <xf numFmtId="9" fontId="7" fillId="24" borderId="0" xfId="0" applyNumberFormat="1" applyFont="1" applyFill="1"/>
    <xf numFmtId="164" fontId="7" fillId="0" borderId="0" xfId="0" applyNumberFormat="1" applyFont="1"/>
    <xf numFmtId="0" fontId="7" fillId="0" borderId="0" xfId="35" applyFont="1" applyAlignment="1" applyProtection="1"/>
    <xf numFmtId="0" fontId="7" fillId="0" borderId="23" xfId="0" applyFont="1" applyBorder="1"/>
    <xf numFmtId="0" fontId="7" fillId="30" borderId="27" xfId="0" applyFont="1" applyFill="1" applyBorder="1"/>
    <xf numFmtId="2" fontId="7" fillId="0" borderId="23" xfId="0" applyNumberFormat="1" applyFont="1" applyBorder="1"/>
    <xf numFmtId="44" fontId="7" fillId="30" borderId="23" xfId="28" applyFont="1" applyFill="1" applyBorder="1"/>
    <xf numFmtId="44" fontId="7" fillId="30" borderId="38" xfId="28" applyFont="1" applyFill="1" applyBorder="1"/>
    <xf numFmtId="0" fontId="7" fillId="30" borderId="24" xfId="0" applyFont="1" applyFill="1" applyBorder="1"/>
    <xf numFmtId="44" fontId="7" fillId="30" borderId="25" xfId="0" applyNumberFormat="1" applyFont="1" applyFill="1" applyBorder="1"/>
    <xf numFmtId="43" fontId="7" fillId="0" borderId="0" xfId="61" applyFont="1"/>
    <xf numFmtId="43" fontId="7" fillId="27" borderId="0" xfId="61" applyFont="1" applyFill="1"/>
    <xf numFmtId="8" fontId="7" fillId="30" borderId="23" xfId="28" applyNumberFormat="1" applyFont="1" applyFill="1" applyBorder="1"/>
    <xf numFmtId="167" fontId="40" fillId="0" borderId="0" xfId="28" applyNumberFormat="1" applyFont="1" applyFill="1"/>
    <xf numFmtId="44" fontId="40" fillId="0" borderId="0" xfId="0" applyNumberFormat="1" applyFont="1" applyAlignment="1">
      <alignment wrapText="1"/>
    </xf>
    <xf numFmtId="167" fontId="7" fillId="0" borderId="0" xfId="44" applyNumberFormat="1" applyFont="1" applyFill="1"/>
    <xf numFmtId="167" fontId="45" fillId="0" borderId="0" xfId="44" applyNumberFormat="1" applyFont="1" applyFill="1"/>
    <xf numFmtId="1" fontId="34" fillId="0" borderId="0" xfId="0" applyNumberFormat="1" applyFont="1"/>
    <xf numFmtId="170" fontId="7" fillId="0" borderId="0" xfId="61" applyNumberFormat="1" applyFont="1"/>
    <xf numFmtId="165" fontId="9" fillId="0" borderId="36" xfId="0" applyNumberFormat="1" applyFont="1" applyBorder="1"/>
    <xf numFmtId="43" fontId="40" fillId="0" borderId="0" xfId="61" applyFont="1"/>
    <xf numFmtId="0" fontId="49" fillId="0" borderId="0" xfId="0" applyFont="1" applyAlignment="1" applyProtection="1">
      <alignment vertical="top" wrapText="1"/>
      <protection hidden="1"/>
    </xf>
    <xf numFmtId="0" fontId="10" fillId="0" borderId="55" xfId="0" applyFont="1" applyBorder="1"/>
    <xf numFmtId="167" fontId="0" fillId="27" borderId="0" xfId="28" applyNumberFormat="1" applyFont="1" applyFill="1"/>
    <xf numFmtId="0" fontId="0" fillId="29" borderId="0" xfId="0" applyFill="1" applyAlignment="1">
      <alignment horizontal="right"/>
    </xf>
    <xf numFmtId="0" fontId="0" fillId="29" borderId="54" xfId="0" applyFill="1" applyBorder="1" applyAlignment="1">
      <alignment horizontal="right"/>
    </xf>
    <xf numFmtId="9" fontId="57" fillId="0" borderId="0" xfId="0" applyNumberFormat="1" applyFont="1"/>
    <xf numFmtId="6" fontId="58" fillId="0" borderId="0" xfId="0" applyNumberFormat="1" applyFont="1"/>
    <xf numFmtId="0" fontId="57" fillId="0" borderId="0" xfId="0" applyFont="1"/>
    <xf numFmtId="167" fontId="7" fillId="0" borderId="16" xfId="0" applyNumberFormat="1" applyFont="1" applyBorder="1"/>
    <xf numFmtId="167" fontId="37" fillId="27" borderId="11" xfId="28" applyNumberFormat="1" applyFont="1" applyFill="1" applyBorder="1"/>
    <xf numFmtId="0" fontId="0" fillId="0" borderId="11" xfId="0" applyBorder="1" applyAlignment="1">
      <alignment horizontal="left"/>
    </xf>
    <xf numFmtId="44" fontId="0" fillId="0" borderId="0" xfId="28" applyFont="1"/>
    <xf numFmtId="44" fontId="0" fillId="0" borderId="0" xfId="28" applyFont="1" applyAlignment="1">
      <alignment horizontal="right"/>
    </xf>
    <xf numFmtId="9" fontId="40" fillId="29" borderId="0" xfId="44" applyFont="1" applyFill="1"/>
    <xf numFmtId="167" fontId="40" fillId="27" borderId="11" xfId="28" applyNumberFormat="1" applyFont="1" applyFill="1" applyBorder="1"/>
    <xf numFmtId="167" fontId="0" fillId="27" borderId="11" xfId="0" applyNumberFormat="1" applyFill="1" applyBorder="1"/>
    <xf numFmtId="167" fontId="0" fillId="0" borderId="0" xfId="0" applyNumberFormat="1"/>
    <xf numFmtId="0" fontId="59" fillId="0" borderId="0" xfId="0" applyFont="1"/>
    <xf numFmtId="0" fontId="5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6" fontId="0" fillId="27" borderId="11" xfId="28" applyNumberFormat="1" applyFont="1" applyFill="1" applyBorder="1"/>
    <xf numFmtId="0" fontId="0" fillId="40" borderId="0" xfId="0" applyFill="1"/>
    <xf numFmtId="0" fontId="55" fillId="0" borderId="0" xfId="0" applyFont="1"/>
    <xf numFmtId="167" fontId="0" fillId="0" borderId="16" xfId="28" applyNumberFormat="1" applyFont="1" applyBorder="1"/>
    <xf numFmtId="0" fontId="9" fillId="0" borderId="20" xfId="0" applyFont="1" applyBorder="1" applyAlignment="1">
      <alignment horizontal="center" vertical="center"/>
    </xf>
    <xf numFmtId="167" fontId="0" fillId="0" borderId="18" xfId="28" applyNumberFormat="1" applyFont="1" applyBorder="1"/>
    <xf numFmtId="167" fontId="0" fillId="0" borderId="0" xfId="28" applyNumberFormat="1" applyFont="1" applyBorder="1"/>
    <xf numFmtId="167" fontId="0" fillId="0" borderId="13" xfId="28" applyNumberFormat="1" applyFont="1" applyBorder="1"/>
    <xf numFmtId="167" fontId="0" fillId="0" borderId="15" xfId="28" applyNumberFormat="1" applyFont="1" applyBorder="1"/>
    <xf numFmtId="167" fontId="0" fillId="0" borderId="17" xfId="28" applyNumberFormat="1" applyFont="1" applyBorder="1"/>
    <xf numFmtId="167" fontId="37" fillId="27" borderId="0" xfId="28" applyNumberFormat="1" applyFont="1" applyFill="1"/>
    <xf numFmtId="0" fontId="45" fillId="29" borderId="0" xfId="0" applyFont="1" applyFill="1" applyAlignment="1">
      <alignment horizontal="right" vertical="center"/>
    </xf>
    <xf numFmtId="0" fontId="49" fillId="29" borderId="0" xfId="0" applyFont="1" applyFill="1" applyAlignment="1">
      <alignment horizontal="center"/>
    </xf>
    <xf numFmtId="167" fontId="7" fillId="29" borderId="0" xfId="28" applyNumberFormat="1" applyFont="1" applyFill="1" applyBorder="1" applyAlignment="1">
      <alignment horizontal="right"/>
    </xf>
    <xf numFmtId="44" fontId="0" fillId="29" borderId="0" xfId="28" applyFont="1" applyFill="1" applyBorder="1"/>
    <xf numFmtId="0" fontId="0" fillId="0" borderId="11" xfId="28" applyNumberFormat="1" applyFont="1" applyBorder="1"/>
    <xf numFmtId="0" fontId="0" fillId="37" borderId="11" xfId="0" applyFill="1" applyBorder="1"/>
    <xf numFmtId="0" fontId="9" fillId="0" borderId="0" xfId="0" applyFont="1" applyAlignment="1">
      <alignment horizontal="center"/>
    </xf>
    <xf numFmtId="10" fontId="0" fillId="0" borderId="0" xfId="44" applyNumberFormat="1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7" fontId="0" fillId="41" borderId="0" xfId="28" applyNumberFormat="1" applyFont="1" applyFill="1"/>
    <xf numFmtId="167" fontId="0" fillId="41" borderId="18" xfId="28" applyNumberFormat="1" applyFont="1" applyFill="1" applyBorder="1"/>
    <xf numFmtId="167" fontId="0" fillId="41" borderId="0" xfId="28" applyNumberFormat="1" applyFont="1" applyFill="1" applyBorder="1"/>
    <xf numFmtId="167" fontId="0" fillId="41" borderId="13" xfId="28" applyNumberFormat="1" applyFont="1" applyFill="1" applyBorder="1"/>
    <xf numFmtId="167" fontId="7" fillId="27" borderId="11" xfId="28" applyNumberFormat="1" applyFont="1" applyFill="1" applyBorder="1" applyAlignment="1">
      <alignment horizontal="right"/>
    </xf>
    <xf numFmtId="167" fontId="0" fillId="27" borderId="11" xfId="28" applyNumberFormat="1" applyFont="1" applyFill="1" applyBorder="1" applyAlignment="1">
      <alignment horizontal="right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44" fontId="0" fillId="27" borderId="11" xfId="0" applyNumberFormat="1" applyFill="1" applyBorder="1"/>
    <xf numFmtId="167" fontId="7" fillId="0" borderId="0" xfId="0" applyNumberFormat="1" applyFont="1"/>
    <xf numFmtId="167" fontId="40" fillId="0" borderId="16" xfId="44" applyNumberFormat="1" applyFont="1" applyFill="1" applyBorder="1"/>
    <xf numFmtId="166" fontId="7" fillId="0" borderId="16" xfId="0" applyNumberFormat="1" applyFont="1" applyBorder="1" applyAlignment="1">
      <alignment horizontal="right"/>
    </xf>
    <xf numFmtId="170" fontId="0" fillId="0" borderId="0" xfId="61" applyNumberFormat="1" applyFont="1"/>
    <xf numFmtId="1" fontId="0" fillId="0" borderId="0" xfId="0" applyNumberFormat="1"/>
    <xf numFmtId="0" fontId="7" fillId="0" borderId="13" xfId="0" applyFont="1" applyBorder="1"/>
    <xf numFmtId="170" fontId="7" fillId="0" borderId="0" xfId="0" applyNumberFormat="1" applyFont="1"/>
    <xf numFmtId="164" fontId="0" fillId="43" borderId="44" xfId="28" applyNumberFormat="1" applyFont="1" applyFill="1" applyBorder="1" applyAlignment="1">
      <alignment horizontal="center"/>
    </xf>
    <xf numFmtId="164" fontId="0" fillId="43" borderId="45" xfId="28" applyNumberFormat="1" applyFont="1" applyFill="1" applyBorder="1" applyAlignment="1">
      <alignment horizontal="center"/>
    </xf>
    <xf numFmtId="0" fontId="9" fillId="44" borderId="47" xfId="0" applyFont="1" applyFill="1" applyBorder="1" applyAlignment="1">
      <alignment horizontal="center" vertical="center" wrapText="1"/>
    </xf>
    <xf numFmtId="0" fontId="57" fillId="0" borderId="0" xfId="0" applyFont="1" applyAlignment="1">
      <alignment vertical="top"/>
    </xf>
    <xf numFmtId="12" fontId="31" fillId="0" borderId="0" xfId="0" applyNumberFormat="1" applyFont="1"/>
    <xf numFmtId="9" fontId="0" fillId="0" borderId="16" xfId="44" applyFont="1" applyBorder="1"/>
    <xf numFmtId="0" fontId="0" fillId="29" borderId="27" xfId="0" applyFill="1" applyBorder="1"/>
    <xf numFmtId="0" fontId="45" fillId="0" borderId="0" xfId="0" applyFont="1" applyAlignment="1">
      <alignment horizontal="right" vertical="center"/>
    </xf>
    <xf numFmtId="0" fontId="45" fillId="0" borderId="13" xfId="0" applyFont="1" applyBorder="1" applyAlignment="1">
      <alignment horizontal="right" vertical="center"/>
    </xf>
    <xf numFmtId="0" fontId="10" fillId="0" borderId="36" xfId="0" applyFont="1" applyBorder="1" applyAlignment="1">
      <alignment horizontal="left" vertical="center"/>
    </xf>
    <xf numFmtId="167" fontId="9" fillId="42" borderId="39" xfId="28" applyNumberFormat="1" applyFont="1" applyFill="1" applyBorder="1" applyAlignment="1">
      <alignment horizontal="center" vertical="center" wrapText="1"/>
    </xf>
    <xf numFmtId="167" fontId="9" fillId="42" borderId="46" xfId="28" applyNumberFormat="1" applyFont="1" applyFill="1" applyBorder="1" applyAlignment="1">
      <alignment horizontal="center" vertical="center" wrapText="1"/>
    </xf>
    <xf numFmtId="164" fontId="0" fillId="39" borderId="48" xfId="28" applyNumberFormat="1" applyFont="1" applyFill="1" applyBorder="1" applyAlignment="1">
      <alignment horizontal="center" vertical="center"/>
    </xf>
    <xf numFmtId="164" fontId="0" fillId="39" borderId="21" xfId="28" applyNumberFormat="1" applyFont="1" applyFill="1" applyBorder="1" applyAlignment="1">
      <alignment horizontal="center" vertical="center"/>
    </xf>
    <xf numFmtId="164" fontId="0" fillId="39" borderId="22" xfId="28" applyNumberFormat="1" applyFont="1" applyFill="1" applyBorder="1" applyAlignment="1">
      <alignment horizontal="center" vertical="center"/>
    </xf>
    <xf numFmtId="164" fontId="0" fillId="39" borderId="13" xfId="28" applyNumberFormat="1" applyFont="1" applyFill="1" applyBorder="1" applyAlignment="1">
      <alignment horizontal="center" vertical="center"/>
    </xf>
    <xf numFmtId="164" fontId="0" fillId="39" borderId="24" xfId="28" applyNumberFormat="1" applyFont="1" applyFill="1" applyBorder="1" applyAlignment="1">
      <alignment horizontal="center" vertical="center"/>
    </xf>
    <xf numFmtId="164" fontId="0" fillId="39" borderId="49" xfId="28" applyNumberFormat="1" applyFont="1" applyFill="1" applyBorder="1" applyAlignment="1">
      <alignment horizontal="center" vertical="center"/>
    </xf>
    <xf numFmtId="0" fontId="35" fillId="29" borderId="20" xfId="0" applyFont="1" applyFill="1" applyBorder="1" applyAlignment="1">
      <alignment horizontal="center"/>
    </xf>
    <xf numFmtId="0" fontId="35" fillId="29" borderId="36" xfId="0" applyFont="1" applyFill="1" applyBorder="1" applyAlignment="1">
      <alignment horizontal="center"/>
    </xf>
    <xf numFmtId="0" fontId="10" fillId="29" borderId="18" xfId="0" applyFont="1" applyFill="1" applyBorder="1" applyAlignment="1">
      <alignment horizontal="left"/>
    </xf>
    <xf numFmtId="0" fontId="10" fillId="29" borderId="0" xfId="0" applyFont="1" applyFill="1" applyAlignment="1">
      <alignment horizontal="left"/>
    </xf>
    <xf numFmtId="9" fontId="40" fillId="29" borderId="0" xfId="44" applyFont="1" applyFill="1" applyBorder="1" applyAlignment="1">
      <alignment horizontal="left" wrapText="1"/>
    </xf>
    <xf numFmtId="0" fontId="7" fillId="0" borderId="0" xfId="0" quotePrefix="1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49" fillId="32" borderId="14" xfId="0" applyFont="1" applyFill="1" applyBorder="1" applyProtection="1">
      <protection locked="0"/>
    </xf>
    <xf numFmtId="0" fontId="49" fillId="32" borderId="11" xfId="0" applyFont="1" applyFill="1" applyBorder="1" applyProtection="1">
      <protection locked="0"/>
    </xf>
    <xf numFmtId="0" fontId="49" fillId="32" borderId="41" xfId="0" applyFont="1" applyFill="1" applyBorder="1" applyProtection="1">
      <protection locked="0"/>
    </xf>
    <xf numFmtId="9" fontId="49" fillId="32" borderId="11" xfId="44" applyFont="1" applyFill="1" applyBorder="1" applyAlignment="1" applyProtection="1">
      <alignment horizontal="center"/>
      <protection locked="0"/>
    </xf>
    <xf numFmtId="44" fontId="40" fillId="27" borderId="50" xfId="28" applyFont="1" applyFill="1" applyBorder="1" applyProtection="1">
      <protection locked="0"/>
    </xf>
    <xf numFmtId="44" fontId="0" fillId="27" borderId="50" xfId="28" applyFont="1" applyFill="1" applyBorder="1" applyProtection="1">
      <protection locked="0"/>
    </xf>
    <xf numFmtId="44" fontId="0" fillId="27" borderId="51" xfId="28" applyFont="1" applyFill="1" applyBorder="1" applyProtection="1">
      <protection locked="0"/>
    </xf>
    <xf numFmtId="9" fontId="40" fillId="27" borderId="11" xfId="0" applyNumberFormat="1" applyFont="1" applyFill="1" applyBorder="1" applyAlignment="1" applyProtection="1">
      <alignment horizontal="center" vertical="center"/>
      <protection locked="0"/>
    </xf>
    <xf numFmtId="0" fontId="49" fillId="32" borderId="11" xfId="0" applyFont="1" applyFill="1" applyBorder="1" applyAlignment="1" applyProtection="1">
      <alignment horizontal="center"/>
      <protection locked="0"/>
    </xf>
    <xf numFmtId="0" fontId="49" fillId="32" borderId="14" xfId="0" applyFont="1" applyFill="1" applyBorder="1" applyAlignment="1" applyProtection="1">
      <alignment horizontal="center"/>
      <protection locked="0"/>
    </xf>
    <xf numFmtId="0" fontId="40" fillId="27" borderId="11" xfId="0" applyFont="1" applyFill="1" applyBorder="1" applyAlignment="1" applyProtection="1">
      <alignment horizontal="center"/>
      <protection locked="0"/>
    </xf>
    <xf numFmtId="0" fontId="0" fillId="27" borderId="11" xfId="0" applyFill="1" applyBorder="1" applyAlignment="1" applyProtection="1">
      <alignment horizontal="center" vertical="center"/>
      <protection locked="0"/>
    </xf>
    <xf numFmtId="9" fontId="0" fillId="27" borderId="11" xfId="0" applyNumberFormat="1" applyFill="1" applyBorder="1" applyAlignment="1" applyProtection="1">
      <alignment horizontal="right"/>
      <protection locked="0"/>
    </xf>
    <xf numFmtId="0" fontId="7" fillId="27" borderId="11" xfId="0" applyFont="1" applyFill="1" applyBorder="1" applyProtection="1">
      <protection locked="0"/>
    </xf>
    <xf numFmtId="9" fontId="7" fillId="27" borderId="11" xfId="0" applyNumberFormat="1" applyFont="1" applyFill="1" applyBorder="1" applyAlignment="1" applyProtection="1">
      <alignment horizontal="right"/>
      <protection locked="0"/>
    </xf>
    <xf numFmtId="0" fontId="0" fillId="27" borderId="55" xfId="0" applyFill="1" applyBorder="1" applyAlignment="1" applyProtection="1">
      <alignment horizontal="center"/>
      <protection locked="0"/>
    </xf>
  </cellXfs>
  <cellStyles count="6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7" xr:uid="{00000000-0005-0000-0000-00001B000000}"/>
    <cellStyle name="Comma 3" xfId="61" xr:uid="{00000000-0005-0000-0000-00001C000000}"/>
    <cellStyle name="Currency" xfId="28" builtinId="4"/>
    <cellStyle name="Currency 2" xfId="52" xr:uid="{00000000-0005-0000-0000-00001E000000}"/>
    <cellStyle name="Currency 2 2" xfId="56" xr:uid="{00000000-0005-0000-0000-00001F000000}"/>
    <cellStyle name="Currency 2 3" xfId="64" xr:uid="{54B92CF2-DC33-F549-A2EC-046BD2B2D406}"/>
    <cellStyle name="Currency 3" xfId="54" xr:uid="{00000000-0005-0000-0000-000020000000}"/>
    <cellStyle name="Currency 4" xfId="59" xr:uid="{00000000-0005-0000-0000-000021000000}"/>
    <cellStyle name="Currency 5" xfId="66" xr:uid="{77741308-79E3-DF4D-B987-554A22D72CB3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5" xr:uid="{00000000-0005-0000-0000-00002D000000}"/>
    <cellStyle name="Normal 2 2" xfId="55" xr:uid="{00000000-0005-0000-0000-00002E000000}"/>
    <cellStyle name="Normal 2 3" xfId="63" xr:uid="{073E5740-0F4E-1143-952E-49B4E3561A97}"/>
    <cellStyle name="Normal 3" xfId="47" xr:uid="{00000000-0005-0000-0000-00002F000000}"/>
    <cellStyle name="Normal 3 2" xfId="67" xr:uid="{584964AF-28CB-324B-A1AA-4736EAAD57EC}"/>
    <cellStyle name="Normal 4" xfId="49" xr:uid="{00000000-0005-0000-0000-000030000000}"/>
    <cellStyle name="Normal 5" xfId="51" xr:uid="{00000000-0005-0000-0000-000031000000}"/>
    <cellStyle name="Normal 6" xfId="53" xr:uid="{00000000-0005-0000-0000-000032000000}"/>
    <cellStyle name="Normal 7" xfId="58" xr:uid="{00000000-0005-0000-0000-000033000000}"/>
    <cellStyle name="Normal 8" xfId="60" xr:uid="{00000000-0005-0000-0000-000034000000}"/>
    <cellStyle name="Normal 9" xfId="62" xr:uid="{134BEEEC-DE54-2148-8802-28946ED0A017}"/>
    <cellStyle name="Note" xfId="39" builtinId="10" customBuiltin="1"/>
    <cellStyle name="Output" xfId="40" builtinId="21" customBuiltin="1"/>
    <cellStyle name="Percent" xfId="44" builtinId="5"/>
    <cellStyle name="Percent 2" xfId="46" xr:uid="{00000000-0005-0000-0000-000039000000}"/>
    <cellStyle name="Percent 2 2" xfId="65" xr:uid="{08534AB9-3840-3F45-877E-12B738DBD5D2}"/>
    <cellStyle name="Percent 3" xfId="48" xr:uid="{00000000-0005-0000-0000-00003A000000}"/>
    <cellStyle name="Percent 4" xfId="50" xr:uid="{00000000-0005-0000-0000-00003B000000}"/>
    <cellStyle name="Title" xfId="41" builtinId="15" customBuiltin="1"/>
    <cellStyle name="Total" xfId="42" builtinId="25" customBuiltin="1"/>
    <cellStyle name="Warning Text" xfId="43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5F7530"/>
      <color rgb="FFFDE9D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nterforamericanprogress-my.sharepoint.com/personal/sworkman_americanprogress_org/Documents/Oregon%20COVID%20cost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nterforamericanprogress-my.sharepoint.com/C:/Users/Owner/Desktop/SF_Center_RE_Model_2016%20samp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nterforamericanprogress-my.sharepoint.com/Users/sworkman/OneDrive%20-%20Center%20For%20American%20Progress/Copy%20of%20SF_RE_Model_Centerbased_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99cb6bf57e6c3811/Washington%20Fiscal/final%20docs/WA%20CB%20RE%20Model_ICF%20July%202020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nterforamericanprogress-my.sharepoint.com/Users/sworkman/OneDrive%20-%20Center%20For%20American%20Progress/North%20Carolina%20PCI/NC-Center%20based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sINPUT-CTR"/>
      <sheetName val="Quality Center Profile"/>
      <sheetName val="VariablesINPUT-FCC"/>
      <sheetName val="QualityHomeProfile"/>
      <sheetName val="System costs"/>
      <sheetName val="Ratios"/>
      <sheetName val="Wages"/>
      <sheetName val="Nonpersonnel PCQC"/>
    </sheetNames>
    <sheetDataSet>
      <sheetData sheetId="0"/>
      <sheetData sheetId="1">
        <row r="9">
          <cell r="F9">
            <v>2</v>
          </cell>
        </row>
        <row r="39">
          <cell r="C39">
            <v>5380</v>
          </cell>
        </row>
        <row r="40">
          <cell r="D40">
            <v>718686.46710000001</v>
          </cell>
        </row>
      </sheetData>
      <sheetData sheetId="2">
        <row r="2">
          <cell r="F2" t="str">
            <v>Metro</v>
          </cell>
        </row>
        <row r="16">
          <cell r="D16" t="str">
            <v>BLS</v>
          </cell>
        </row>
        <row r="20">
          <cell r="D20" t="str">
            <v>Yes</v>
          </cell>
        </row>
        <row r="21">
          <cell r="D21">
            <v>10</v>
          </cell>
        </row>
        <row r="22">
          <cell r="D22">
            <v>10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sINPUT-CTR"/>
      <sheetName val="Quality Center Profile"/>
      <sheetName val="Child Finance Charts"/>
      <sheetName val="Wages BLS"/>
      <sheetName val="Nonpersonnel Aggregated"/>
      <sheetName val="Nonpersonnel from interviews"/>
      <sheetName val="Tuition Rates&amp;SMI"/>
      <sheetName val="FCS"/>
      <sheetName val="State Vouchers"/>
      <sheetName val="State Contracts"/>
      <sheetName val="Fed CACFP"/>
      <sheetName val="Fed EHS HS"/>
      <sheetName val="FamilyIncome&amp;HomePrices"/>
      <sheetName val="ECERS Cost by Level"/>
    </sheetNames>
    <sheetDataSet>
      <sheetData sheetId="0">
        <row r="6">
          <cell r="D6" t="str">
            <v>infants (0-24 mos.)</v>
          </cell>
        </row>
        <row r="26">
          <cell r="C26">
            <v>2</v>
          </cell>
          <cell r="D26">
            <v>7</v>
          </cell>
          <cell r="F26">
            <v>0</v>
          </cell>
        </row>
        <row r="27">
          <cell r="C27">
            <v>2</v>
          </cell>
          <cell r="D27">
            <v>6</v>
          </cell>
          <cell r="F27">
            <v>1</v>
          </cell>
        </row>
        <row r="28">
          <cell r="C28">
            <v>7</v>
          </cell>
          <cell r="D28">
            <v>11</v>
          </cell>
          <cell r="F28">
            <v>5</v>
          </cell>
        </row>
        <row r="29">
          <cell r="C29">
            <v>5</v>
          </cell>
          <cell r="D29">
            <v>8</v>
          </cell>
          <cell r="F29">
            <v>11</v>
          </cell>
        </row>
      </sheetData>
      <sheetData sheetId="1"/>
      <sheetData sheetId="2"/>
      <sheetData sheetId="3">
        <row r="19">
          <cell r="C19">
            <v>13</v>
          </cell>
        </row>
      </sheetData>
      <sheetData sheetId="4">
        <row r="21">
          <cell r="B21">
            <v>1535.0875411152008</v>
          </cell>
        </row>
        <row r="23">
          <cell r="B23">
            <v>2535.2442193985435</v>
          </cell>
        </row>
      </sheetData>
      <sheetData sheetId="5"/>
      <sheetData sheetId="6">
        <row r="4">
          <cell r="C4">
            <v>1900</v>
          </cell>
        </row>
      </sheetData>
      <sheetData sheetId="7"/>
      <sheetData sheetId="8">
        <row r="4">
          <cell r="B4">
            <v>1662.14</v>
          </cell>
        </row>
      </sheetData>
      <sheetData sheetId="9">
        <row r="7">
          <cell r="C7">
            <v>1444.6458333333333</v>
          </cell>
        </row>
      </sheetData>
      <sheetData sheetId="10">
        <row r="6">
          <cell r="J6">
            <v>3.5999999999999996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lity Center Profile"/>
      <sheetName val="VariablesINPUT-CTR"/>
      <sheetName val="Child Finance Charts"/>
      <sheetName val="Wages BLS"/>
      <sheetName val="Nonpersonnel Aggregated"/>
      <sheetName val="Nonpersonnel from interviews"/>
      <sheetName val="Tuition Rates&amp;SMI"/>
      <sheetName val="C- Wages"/>
      <sheetName val="PFA"/>
      <sheetName val="City Child Care"/>
      <sheetName val="ACCESS"/>
      <sheetName val="FCS"/>
      <sheetName val="State Vouchers"/>
      <sheetName val="State Contracts"/>
      <sheetName val="Fed CACFP"/>
      <sheetName val="Fed EHS HS"/>
      <sheetName val="Revenue-NOT USED"/>
      <sheetName val="FamilyIncome&amp;HomePrices"/>
      <sheetName val="ECERS Cost by Level"/>
      <sheetName val="Apdx C - Center Baseline"/>
    </sheetNames>
    <sheetDataSet>
      <sheetData sheetId="0" refreshError="1"/>
      <sheetData sheetId="1" refreshError="1">
        <row r="26">
          <cell r="C26">
            <v>2</v>
          </cell>
          <cell r="E26">
            <v>0</v>
          </cell>
        </row>
        <row r="27">
          <cell r="E27">
            <v>3</v>
          </cell>
        </row>
        <row r="28">
          <cell r="E28">
            <v>1</v>
          </cell>
        </row>
      </sheetData>
      <sheetData sheetId="2">
        <row r="3">
          <cell r="C3" t="str">
            <v>infant</v>
          </cell>
        </row>
      </sheetData>
      <sheetData sheetId="3" refreshError="1"/>
      <sheetData sheetId="4">
        <row r="21">
          <cell r="B21">
            <v>1535.0875411152008</v>
          </cell>
        </row>
      </sheetData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sINPUT-CTR"/>
      <sheetName val="ob"/>
      <sheetName val="Center Output"/>
      <sheetName val="co bas"/>
      <sheetName val="co qua"/>
      <sheetName val="co asp"/>
      <sheetName val="Baseline"/>
      <sheetName val="Quality"/>
      <sheetName val="Aspirational"/>
      <sheetName val="Analysis no SA"/>
      <sheetName val="Analysis with SA"/>
      <sheetName val="Wages Input"/>
      <sheetName val="Wages Data"/>
      <sheetName val="Wages BLS"/>
      <sheetName val="Aggregated Data"/>
      <sheetName val="State Subsidy"/>
      <sheetName val="Tuition"/>
      <sheetName val="ECEAP"/>
      <sheetName val="Fed CACF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B29">
            <v>28146.352499999997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sINPUT-CTR"/>
      <sheetName val="Quality Center Profile"/>
      <sheetName val="Ratios"/>
      <sheetName val="Wages"/>
      <sheetName val="Wages BLS"/>
      <sheetName val="Nonpersonnel Aggregated"/>
      <sheetName val="Nonpersonnel disaggregated"/>
      <sheetName val="Tuition Rates"/>
      <sheetName val="Subsidy rates"/>
      <sheetName val="PreK"/>
      <sheetName val="Fed CACFP"/>
      <sheetName val="County Subsidy rates"/>
    </sheetNames>
    <sheetDataSet>
      <sheetData sheetId="0" refreshError="1"/>
      <sheetData sheetId="1" refreshError="1">
        <row r="7">
          <cell r="A7">
            <v>10</v>
          </cell>
        </row>
        <row r="9">
          <cell r="A9">
            <v>18</v>
          </cell>
          <cell r="F9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regon.gov/DHS/ASSISTANCE/CHILD-CARE/Pages/rates.asp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health.oregonstate.edu/sites/health.oregonstate.edu/files/early-learners/pdf/research/2020_oregon_child_care_market_price_study_-_main_report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M69"/>
  <sheetViews>
    <sheetView tabSelected="1" zoomScaleNormal="130" workbookViewId="0">
      <selection activeCell="F22" sqref="F22"/>
    </sheetView>
  </sheetViews>
  <sheetFormatPr baseColWidth="10" defaultColWidth="8.83203125" defaultRowHeight="13" x14ac:dyDescent="0.15"/>
  <cols>
    <col min="1" max="1" width="3.1640625" customWidth="1"/>
    <col min="2" max="2" width="19.1640625" customWidth="1"/>
    <col min="3" max="3" width="15.6640625" customWidth="1"/>
    <col min="4" max="4" width="15.1640625" customWidth="1"/>
    <col min="5" max="5" width="15.6640625" customWidth="1"/>
    <col min="6" max="6" width="14" customWidth="1"/>
    <col min="7" max="7" width="12.6640625" customWidth="1"/>
    <col min="8" max="8" width="10.6640625" customWidth="1"/>
    <col min="9" max="9" width="15.1640625" customWidth="1"/>
    <col min="10" max="10" width="19.6640625" customWidth="1"/>
    <col min="11" max="11" width="17" customWidth="1"/>
    <col min="12" max="12" width="11" customWidth="1"/>
    <col min="13" max="13" width="11.1640625" customWidth="1"/>
  </cols>
  <sheetData>
    <row r="1" spans="1:13" ht="18" x14ac:dyDescent="0.2">
      <c r="A1" s="160"/>
      <c r="B1" s="161" t="s">
        <v>113</v>
      </c>
      <c r="C1" s="162"/>
      <c r="D1" s="162"/>
      <c r="E1" s="162"/>
      <c r="F1" s="163"/>
      <c r="G1" s="267"/>
      <c r="H1" s="164" t="s">
        <v>114</v>
      </c>
      <c r="I1" s="164" t="s">
        <v>115</v>
      </c>
      <c r="J1" s="164"/>
      <c r="K1" s="165"/>
      <c r="L1" s="133"/>
      <c r="M1" s="75"/>
    </row>
    <row r="2" spans="1:13" ht="15" customHeight="1" x14ac:dyDescent="0.15">
      <c r="A2" s="166"/>
      <c r="B2" s="167"/>
      <c r="C2" s="140"/>
      <c r="D2" s="140"/>
      <c r="E2" s="140"/>
      <c r="F2" s="168"/>
      <c r="G2" s="268"/>
      <c r="H2" s="169" t="s">
        <v>114</v>
      </c>
      <c r="I2" s="169" t="s">
        <v>116</v>
      </c>
      <c r="J2" s="169"/>
      <c r="K2" s="170"/>
      <c r="L2" s="133"/>
      <c r="M2" s="75"/>
    </row>
    <row r="3" spans="1:13" ht="8" customHeight="1" x14ac:dyDescent="0.15">
      <c r="A3" s="166"/>
      <c r="B3" s="167"/>
      <c r="C3" s="140"/>
      <c r="D3" s="140"/>
      <c r="E3" s="140"/>
      <c r="F3" s="168"/>
      <c r="G3" s="268"/>
      <c r="H3" s="169" t="s">
        <v>114</v>
      </c>
      <c r="I3" s="169" t="s">
        <v>119</v>
      </c>
      <c r="J3" s="169" t="s">
        <v>115</v>
      </c>
      <c r="K3" s="170" t="s">
        <v>120</v>
      </c>
      <c r="L3" s="133" t="s">
        <v>121</v>
      </c>
      <c r="M3" s="75"/>
    </row>
    <row r="4" spans="1:13" ht="14" x14ac:dyDescent="0.15">
      <c r="A4" s="196"/>
      <c r="B4" s="171" t="s">
        <v>202</v>
      </c>
      <c r="C4" s="141"/>
      <c r="D4" s="141"/>
      <c r="E4" s="141"/>
      <c r="F4" s="141"/>
      <c r="G4" s="141"/>
      <c r="H4" s="169"/>
      <c r="I4" s="169"/>
      <c r="J4" s="169"/>
      <c r="K4" s="170"/>
      <c r="L4" s="133"/>
      <c r="M4" s="133"/>
    </row>
    <row r="5" spans="1:13" ht="14" x14ac:dyDescent="0.15">
      <c r="A5" s="209"/>
      <c r="B5" s="171" t="s">
        <v>151</v>
      </c>
      <c r="C5" s="141"/>
      <c r="D5" s="141"/>
      <c r="E5" s="141"/>
      <c r="F5" s="141"/>
      <c r="G5" s="141"/>
      <c r="H5" s="169"/>
      <c r="I5" s="169"/>
      <c r="J5" s="169"/>
      <c r="K5" s="170"/>
      <c r="L5" s="133"/>
      <c r="M5" s="133"/>
    </row>
    <row r="6" spans="1:13" ht="15" customHeight="1" x14ac:dyDescent="0.15">
      <c r="A6" s="166"/>
      <c r="B6" s="167"/>
      <c r="C6" s="140"/>
      <c r="D6" s="140"/>
      <c r="E6" s="140"/>
      <c r="F6" s="168"/>
      <c r="G6" s="140"/>
      <c r="H6" s="169" t="s">
        <v>114</v>
      </c>
      <c r="I6" s="169" t="s">
        <v>119</v>
      </c>
      <c r="J6" s="169" t="s">
        <v>116</v>
      </c>
      <c r="K6" s="170" t="s">
        <v>121</v>
      </c>
      <c r="L6" s="133"/>
      <c r="M6" s="133"/>
    </row>
    <row r="7" spans="1:13" x14ac:dyDescent="0.15">
      <c r="A7" s="166"/>
      <c r="B7" s="219" t="s">
        <v>51</v>
      </c>
      <c r="C7" s="140"/>
      <c r="D7" s="140"/>
      <c r="E7" s="140"/>
      <c r="F7" s="140"/>
      <c r="G7" s="140"/>
      <c r="H7" s="169"/>
      <c r="I7" s="172"/>
      <c r="J7" s="169"/>
      <c r="K7" s="173"/>
      <c r="L7" s="134"/>
      <c r="M7" s="135"/>
    </row>
    <row r="8" spans="1:13" x14ac:dyDescent="0.15">
      <c r="A8" s="166"/>
      <c r="B8" s="144" t="s">
        <v>135</v>
      </c>
      <c r="C8" s="145" t="s">
        <v>122</v>
      </c>
      <c r="D8" s="145" t="s">
        <v>134</v>
      </c>
      <c r="E8" s="146" t="s">
        <v>1</v>
      </c>
      <c r="F8" s="147" t="s">
        <v>81</v>
      </c>
      <c r="G8" s="224" t="s">
        <v>23</v>
      </c>
      <c r="H8" s="169"/>
      <c r="I8" s="169"/>
      <c r="J8" s="169"/>
      <c r="K8" s="174"/>
      <c r="L8" s="134"/>
      <c r="M8" s="133"/>
    </row>
    <row r="9" spans="1:13" ht="16" customHeight="1" x14ac:dyDescent="0.15">
      <c r="A9" s="166"/>
      <c r="B9" s="143">
        <v>1</v>
      </c>
      <c r="C9" s="175" t="s">
        <v>95</v>
      </c>
      <c r="D9" s="431" t="s">
        <v>114</v>
      </c>
      <c r="E9" s="176">
        <f>IF(D9=H$1,Ratios!B3,IF(D9=I$1,Ratios!C3,IF(D9=K$1,Ratios!D3)))</f>
        <v>4</v>
      </c>
      <c r="F9" s="176">
        <f>IF(D9=H$1,Ratios!B9,IF(D9=I$1,Ratios!C9, ))</f>
        <v>8</v>
      </c>
      <c r="G9" s="177">
        <f>B9*F9</f>
        <v>8</v>
      </c>
      <c r="H9" s="169"/>
      <c r="I9" s="169"/>
      <c r="J9" s="169"/>
      <c r="K9" s="170"/>
      <c r="L9" s="137"/>
      <c r="M9" s="137"/>
    </row>
    <row r="10" spans="1:13" ht="17" customHeight="1" x14ac:dyDescent="0.15">
      <c r="A10" s="166"/>
      <c r="B10" s="84">
        <v>1</v>
      </c>
      <c r="C10" s="175" t="s">
        <v>96</v>
      </c>
      <c r="D10" s="432" t="s">
        <v>114</v>
      </c>
      <c r="E10" s="176">
        <f>IF(D10=H$1,Ratios!B4,IF(D10=I$1,Ratios!C4,IF(D10=K$1,Ratios!D4)))</f>
        <v>5</v>
      </c>
      <c r="F10" s="176">
        <f>IF(D10=H$1,Ratios!B10,IF(D10=I$1,Ratios!C10, ))</f>
        <v>10</v>
      </c>
      <c r="G10" s="177">
        <f>B10*F10</f>
        <v>10</v>
      </c>
      <c r="H10" s="169"/>
      <c r="I10" s="169" t="s">
        <v>92</v>
      </c>
      <c r="J10" s="169" t="s">
        <v>93</v>
      </c>
      <c r="K10" s="170" t="s">
        <v>94</v>
      </c>
      <c r="L10" s="137"/>
      <c r="M10" s="137"/>
    </row>
    <row r="11" spans="1:13" ht="15" customHeight="1" x14ac:dyDescent="0.15">
      <c r="A11" s="166"/>
      <c r="B11" s="138">
        <v>1</v>
      </c>
      <c r="C11" s="175" t="s">
        <v>97</v>
      </c>
      <c r="D11" s="432" t="s">
        <v>114</v>
      </c>
      <c r="E11" s="176">
        <f>IF(D11=H$2,Ratios!B5,IF(D11=I$2,Ratios!D5,))</f>
        <v>10</v>
      </c>
      <c r="F11" s="176">
        <f>IF(D11=H$2,Ratios!B11,IF(D11=I$2,Ratios!D11,))</f>
        <v>20</v>
      </c>
      <c r="G11" s="177">
        <f>B11*F11</f>
        <v>20</v>
      </c>
      <c r="H11" s="140"/>
      <c r="I11" s="140"/>
      <c r="J11" s="140"/>
      <c r="K11" s="178"/>
      <c r="L11" s="29"/>
      <c r="M11" s="20"/>
    </row>
    <row r="12" spans="1:13" ht="15" customHeight="1" x14ac:dyDescent="0.15">
      <c r="A12" s="166"/>
      <c r="B12" s="139">
        <v>1</v>
      </c>
      <c r="C12" s="175" t="s">
        <v>118</v>
      </c>
      <c r="D12" s="433" t="s">
        <v>114</v>
      </c>
      <c r="E12" s="176">
        <f>Ratios!B6</f>
        <v>15</v>
      </c>
      <c r="F12" s="176">
        <f>Ratios!B12</f>
        <v>30</v>
      </c>
      <c r="G12" s="177">
        <f>B12*F12</f>
        <v>30</v>
      </c>
      <c r="H12" s="167"/>
      <c r="I12" s="140"/>
      <c r="J12" s="140"/>
      <c r="K12" s="178"/>
      <c r="L12" s="29"/>
      <c r="M12" s="20"/>
    </row>
    <row r="13" spans="1:13" ht="19" customHeight="1" x14ac:dyDescent="0.15">
      <c r="A13" s="166"/>
      <c r="B13" s="111">
        <f>SUM(B9:B12)</f>
        <v>4</v>
      </c>
      <c r="C13" s="109" t="s">
        <v>136</v>
      </c>
      <c r="D13" s="35"/>
      <c r="E13" s="35"/>
      <c r="F13" s="111" t="s">
        <v>9</v>
      </c>
      <c r="G13" s="111">
        <f>SUM(G9:G12)</f>
        <v>68</v>
      </c>
      <c r="H13" s="167"/>
      <c r="I13" s="140"/>
      <c r="J13" s="140"/>
      <c r="K13" s="178"/>
    </row>
    <row r="14" spans="1:13" ht="12.75" customHeight="1" x14ac:dyDescent="0.15">
      <c r="A14" s="166"/>
      <c r="B14" s="179"/>
      <c r="C14" s="180"/>
      <c r="D14" s="140"/>
      <c r="E14" s="167"/>
      <c r="F14" s="140"/>
      <c r="G14" s="167"/>
      <c r="H14" s="167"/>
      <c r="I14" s="140"/>
      <c r="J14" s="168"/>
      <c r="K14" s="178"/>
    </row>
    <row r="15" spans="1:13" ht="12.75" customHeight="1" x14ac:dyDescent="0.15">
      <c r="A15" s="166"/>
      <c r="B15" s="179"/>
      <c r="C15" s="180"/>
      <c r="D15" s="141"/>
      <c r="E15" s="167"/>
      <c r="F15" s="140"/>
      <c r="G15" s="167"/>
      <c r="H15" s="140"/>
      <c r="I15" s="140"/>
      <c r="J15" s="168"/>
      <c r="K15" s="178"/>
    </row>
    <row r="16" spans="1:13" x14ac:dyDescent="0.15">
      <c r="A16" s="166"/>
      <c r="B16" s="140"/>
      <c r="C16" s="140"/>
      <c r="D16" s="140"/>
      <c r="E16" s="140"/>
      <c r="F16" s="140"/>
      <c r="G16" s="140"/>
      <c r="H16" s="140"/>
      <c r="I16" s="140"/>
      <c r="J16" s="140"/>
      <c r="K16" s="178"/>
    </row>
    <row r="17" spans="1:11" x14ac:dyDescent="0.15">
      <c r="A17" s="166"/>
      <c r="B17" s="217" t="s">
        <v>207</v>
      </c>
      <c r="C17" s="186"/>
      <c r="D17" s="218"/>
      <c r="E17" s="142"/>
      <c r="F17" s="181"/>
      <c r="G17" s="140"/>
      <c r="H17" s="140"/>
      <c r="I17" s="140"/>
      <c r="J17" s="140"/>
      <c r="K17" s="178"/>
    </row>
    <row r="18" spans="1:11" ht="14" thickBot="1" x14ac:dyDescent="0.2">
      <c r="A18" s="166"/>
      <c r="B18" s="220" t="s">
        <v>208</v>
      </c>
      <c r="C18" s="150"/>
      <c r="D18" s="411" t="s">
        <v>133</v>
      </c>
      <c r="E18" s="412"/>
      <c r="F18" s="411" t="s">
        <v>150</v>
      </c>
      <c r="G18" s="412"/>
      <c r="H18" s="155"/>
      <c r="I18" s="140"/>
      <c r="J18" s="140"/>
      <c r="K18" s="178"/>
    </row>
    <row r="19" spans="1:11" x14ac:dyDescent="0.15">
      <c r="A19" s="166"/>
      <c r="B19" s="140"/>
      <c r="C19" s="156" t="s">
        <v>78</v>
      </c>
      <c r="D19" s="157" t="s">
        <v>302</v>
      </c>
      <c r="E19" s="156" t="s">
        <v>132</v>
      </c>
      <c r="F19" s="157" t="s">
        <v>79</v>
      </c>
      <c r="G19" s="156" t="s">
        <v>149</v>
      </c>
      <c r="H19" s="155"/>
      <c r="I19" s="269" t="s">
        <v>306</v>
      </c>
      <c r="J19" s="291"/>
      <c r="K19" s="270"/>
    </row>
    <row r="20" spans="1:11" x14ac:dyDescent="0.15">
      <c r="A20" s="166"/>
      <c r="B20" s="148" t="s">
        <v>123</v>
      </c>
      <c r="C20" s="434"/>
      <c r="D20" s="434"/>
      <c r="E20" s="434"/>
      <c r="F20" s="434"/>
      <c r="G20" s="434"/>
      <c r="H20" s="140"/>
      <c r="I20" s="271" t="s">
        <v>115</v>
      </c>
      <c r="J20" s="292" t="s">
        <v>307</v>
      </c>
      <c r="K20" s="290"/>
    </row>
    <row r="21" spans="1:11" x14ac:dyDescent="0.15">
      <c r="A21" s="166"/>
      <c r="B21" s="26" t="s">
        <v>182</v>
      </c>
      <c r="C21" s="434"/>
      <c r="D21" s="434"/>
      <c r="E21" s="434">
        <v>0.5</v>
      </c>
      <c r="F21" s="434"/>
      <c r="G21" s="434">
        <v>0.5</v>
      </c>
      <c r="H21" s="140"/>
      <c r="I21" s="271" t="s">
        <v>115</v>
      </c>
      <c r="J21" s="292" t="s">
        <v>308</v>
      </c>
      <c r="K21" s="290"/>
    </row>
    <row r="22" spans="1:11" ht="14" thickBot="1" x14ac:dyDescent="0.2">
      <c r="A22" s="166"/>
      <c r="B22" s="26" t="s">
        <v>183</v>
      </c>
      <c r="C22" s="434"/>
      <c r="D22" s="434">
        <v>0.5</v>
      </c>
      <c r="E22" s="434">
        <v>0.5</v>
      </c>
      <c r="F22" s="434">
        <v>0.5</v>
      </c>
      <c r="G22" s="434">
        <v>0.5</v>
      </c>
      <c r="H22" s="140"/>
      <c r="I22" s="272" t="s">
        <v>309</v>
      </c>
      <c r="J22" s="293" t="s">
        <v>310</v>
      </c>
      <c r="K22" s="295"/>
    </row>
    <row r="23" spans="1:11" x14ac:dyDescent="0.15">
      <c r="A23" s="166"/>
      <c r="B23" s="26" t="s">
        <v>137</v>
      </c>
      <c r="C23" s="434">
        <v>1</v>
      </c>
      <c r="D23" s="434">
        <v>0.5</v>
      </c>
      <c r="E23" s="434"/>
      <c r="F23" s="434">
        <v>0.5</v>
      </c>
      <c r="G23" s="434"/>
      <c r="H23" s="140"/>
      <c r="I23" s="140"/>
      <c r="J23" s="140"/>
      <c r="K23" s="399"/>
    </row>
    <row r="24" spans="1:11" x14ac:dyDescent="0.15">
      <c r="A24" s="166"/>
      <c r="B24" s="149" t="s">
        <v>184</v>
      </c>
      <c r="C24" s="434"/>
      <c r="D24" s="434"/>
      <c r="E24" s="434"/>
      <c r="F24" s="434"/>
      <c r="G24" s="434"/>
      <c r="H24" s="140"/>
      <c r="J24" s="140"/>
      <c r="K24" s="178"/>
    </row>
    <row r="25" spans="1:11" x14ac:dyDescent="0.15">
      <c r="A25" s="166"/>
      <c r="B25" s="275"/>
      <c r="C25" s="276">
        <f>SUM(C20:C24)</f>
        <v>1</v>
      </c>
      <c r="D25" s="277">
        <f>SUM(D20:D24)</f>
        <v>1</v>
      </c>
      <c r="E25" s="277">
        <f>SUM(E20:E24)</f>
        <v>1</v>
      </c>
      <c r="F25" s="349">
        <f>SUM(F20:F24)</f>
        <v>1</v>
      </c>
      <c r="G25" s="349">
        <f>SUM(G20:G24)</f>
        <v>1</v>
      </c>
      <c r="H25" s="140"/>
      <c r="I25" s="140"/>
      <c r="J25" s="140"/>
      <c r="K25" s="178"/>
    </row>
    <row r="26" spans="1:11" ht="14" thickBot="1" x14ac:dyDescent="0.2">
      <c r="A26" s="166"/>
      <c r="B26" s="275"/>
      <c r="C26" s="276"/>
      <c r="D26" s="277"/>
      <c r="E26" s="277"/>
      <c r="F26" s="153"/>
      <c r="G26" s="153"/>
      <c r="H26" s="140"/>
      <c r="I26" s="140"/>
      <c r="J26" s="140"/>
      <c r="K26" s="178"/>
    </row>
    <row r="27" spans="1:11" x14ac:dyDescent="0.15">
      <c r="A27" s="166"/>
      <c r="B27" s="275" t="s">
        <v>269</v>
      </c>
      <c r="C27" s="438" t="s">
        <v>270</v>
      </c>
      <c r="D27" s="415" t="s">
        <v>293</v>
      </c>
      <c r="E27" s="415"/>
      <c r="F27" s="415"/>
      <c r="G27" s="153" t="s">
        <v>80</v>
      </c>
      <c r="H27" s="288" t="s">
        <v>269</v>
      </c>
      <c r="I27" s="289"/>
      <c r="J27" s="279"/>
      <c r="K27" s="178"/>
    </row>
    <row r="28" spans="1:11" x14ac:dyDescent="0.15">
      <c r="A28" s="166"/>
      <c r="B28" s="268"/>
      <c r="C28" s="278" t="str">
        <f>IF(C25=1," ","total must=100%")</f>
        <v xml:space="preserve"> </v>
      </c>
      <c r="D28" s="415"/>
      <c r="E28" s="415"/>
      <c r="F28" s="415"/>
      <c r="G28" s="294" t="s">
        <v>270</v>
      </c>
      <c r="H28" s="280"/>
      <c r="I28" s="287" t="s">
        <v>273</v>
      </c>
      <c r="J28" s="281" t="s">
        <v>274</v>
      </c>
      <c r="K28" s="178"/>
    </row>
    <row r="29" spans="1:11" s="22" customFormat="1" x14ac:dyDescent="0.15">
      <c r="A29" s="183"/>
      <c r="B29" s="186" t="s">
        <v>288</v>
      </c>
      <c r="C29" s="184"/>
      <c r="D29" s="169"/>
      <c r="E29" s="169"/>
      <c r="F29" s="154"/>
      <c r="G29" s="154"/>
      <c r="H29" s="282"/>
      <c r="I29" s="283" t="s">
        <v>328</v>
      </c>
      <c r="J29" s="435"/>
      <c r="K29" s="185"/>
    </row>
    <row r="30" spans="1:11" ht="17" customHeight="1" x14ac:dyDescent="0.15">
      <c r="A30" s="166"/>
      <c r="B30" s="402" t="s">
        <v>130</v>
      </c>
      <c r="C30" s="402"/>
      <c r="D30" s="221" t="s">
        <v>133</v>
      </c>
      <c r="E30" s="195" t="s">
        <v>86</v>
      </c>
      <c r="F30" s="152"/>
      <c r="G30" s="151"/>
      <c r="H30" s="280"/>
      <c r="I30" s="284" t="s">
        <v>271</v>
      </c>
      <c r="J30" s="436"/>
      <c r="K30" s="178"/>
    </row>
    <row r="31" spans="1:11" ht="17" customHeight="1" x14ac:dyDescent="0.15">
      <c r="A31" s="166"/>
      <c r="B31" s="400" t="s">
        <v>117</v>
      </c>
      <c r="C31" s="401"/>
      <c r="D31" s="439" t="s">
        <v>114</v>
      </c>
      <c r="E31" s="440" t="s">
        <v>114</v>
      </c>
      <c r="F31" s="152"/>
      <c r="G31" s="158"/>
      <c r="H31" s="280"/>
      <c r="I31" s="284" t="s">
        <v>272</v>
      </c>
      <c r="J31" s="436"/>
      <c r="K31" s="178"/>
    </row>
    <row r="32" spans="1:11" ht="17" customHeight="1" x14ac:dyDescent="0.15">
      <c r="A32" s="166"/>
      <c r="C32" s="105" t="s">
        <v>128</v>
      </c>
      <c r="D32" s="439" t="s">
        <v>114</v>
      </c>
      <c r="E32" s="439" t="s">
        <v>114</v>
      </c>
      <c r="F32" s="152"/>
      <c r="G32" s="152"/>
      <c r="H32" s="280"/>
      <c r="I32" s="284" t="s">
        <v>327</v>
      </c>
      <c r="J32" s="436"/>
      <c r="K32" s="178"/>
    </row>
    <row r="33" spans="1:11" ht="17" customHeight="1" thickBot="1" x14ac:dyDescent="0.2">
      <c r="A33" s="166"/>
      <c r="C33" s="105" t="s">
        <v>129</v>
      </c>
      <c r="D33" s="439" t="s">
        <v>114</v>
      </c>
      <c r="E33" s="439" t="s">
        <v>114</v>
      </c>
      <c r="F33" s="152"/>
      <c r="G33" s="152"/>
      <c r="H33" s="285"/>
      <c r="I33" s="286" t="s">
        <v>77</v>
      </c>
      <c r="J33" s="437"/>
      <c r="K33" s="178"/>
    </row>
    <row r="34" spans="1:11" ht="17" customHeight="1" x14ac:dyDescent="0.15">
      <c r="A34" s="166"/>
      <c r="B34" s="186" t="s">
        <v>317</v>
      </c>
      <c r="C34" s="107"/>
      <c r="D34" s="368"/>
      <c r="E34" s="368"/>
      <c r="F34" s="152"/>
      <c r="G34" s="152"/>
      <c r="H34" s="158"/>
      <c r="I34" s="369"/>
      <c r="J34" s="370"/>
      <c r="K34" s="178"/>
    </row>
    <row r="35" spans="1:11" ht="17" customHeight="1" x14ac:dyDescent="0.15">
      <c r="A35" s="166"/>
      <c r="B35" s="140"/>
      <c r="C35" s="367" t="s">
        <v>311</v>
      </c>
      <c r="D35" s="441">
        <v>0</v>
      </c>
      <c r="E35" s="181" t="s">
        <v>312</v>
      </c>
      <c r="F35" s="152"/>
      <c r="G35" s="152"/>
      <c r="H35" s="158"/>
      <c r="I35" s="369"/>
      <c r="J35" s="370"/>
      <c r="K35" s="178"/>
    </row>
    <row r="36" spans="1:11" ht="17" customHeight="1" x14ac:dyDescent="0.15">
      <c r="A36" s="166"/>
      <c r="B36" s="141"/>
      <c r="C36" s="141"/>
      <c r="D36" s="140"/>
      <c r="E36" s="168"/>
      <c r="F36" s="140"/>
      <c r="G36" s="140"/>
      <c r="H36" s="140"/>
      <c r="I36" s="140"/>
      <c r="J36" s="140"/>
      <c r="K36" s="178"/>
    </row>
    <row r="37" spans="1:11" ht="18" customHeight="1" x14ac:dyDescent="0.15">
      <c r="A37" s="166"/>
      <c r="B37" s="222" t="s">
        <v>201</v>
      </c>
      <c r="C37" s="129" t="s">
        <v>76</v>
      </c>
      <c r="D37" s="139" t="s">
        <v>80</v>
      </c>
      <c r="E37" s="413" t="s">
        <v>85</v>
      </c>
      <c r="F37" s="414"/>
      <c r="G37" s="414"/>
      <c r="H37" s="414"/>
      <c r="I37" s="414"/>
      <c r="J37" s="414"/>
      <c r="K37" s="178"/>
    </row>
    <row r="38" spans="1:11" ht="17" customHeight="1" x14ac:dyDescent="0.15">
      <c r="A38" s="166"/>
      <c r="B38" s="140"/>
      <c r="C38" s="130" t="s">
        <v>83</v>
      </c>
      <c r="D38" s="442">
        <v>10</v>
      </c>
      <c r="E38" s="413" t="s">
        <v>105</v>
      </c>
      <c r="F38" s="414"/>
      <c r="G38" s="414"/>
      <c r="H38" s="414"/>
      <c r="I38" s="414"/>
      <c r="J38" s="414"/>
      <c r="K38" s="178"/>
    </row>
    <row r="39" spans="1:11" ht="17" customHeight="1" x14ac:dyDescent="0.15">
      <c r="A39" s="166"/>
      <c r="B39" s="140"/>
      <c r="C39" s="131" t="s">
        <v>84</v>
      </c>
      <c r="D39" s="442">
        <v>10</v>
      </c>
      <c r="E39" s="194" t="s">
        <v>106</v>
      </c>
      <c r="F39" s="140"/>
      <c r="G39" s="140"/>
      <c r="H39" s="140"/>
      <c r="I39" s="140"/>
      <c r="J39" s="140"/>
      <c r="K39" s="178"/>
    </row>
    <row r="40" spans="1:11" ht="16" customHeight="1" x14ac:dyDescent="0.15">
      <c r="A40" s="166"/>
      <c r="B40" s="140"/>
      <c r="C40" s="140"/>
      <c r="D40" s="140"/>
      <c r="E40" s="140"/>
      <c r="F40" s="140"/>
      <c r="G40" s="140"/>
      <c r="H40" s="141"/>
      <c r="I40" s="140"/>
      <c r="J40" s="140"/>
      <c r="K40" s="178"/>
    </row>
    <row r="41" spans="1:11" ht="13" customHeight="1" x14ac:dyDescent="0.15">
      <c r="A41" s="166"/>
      <c r="B41" s="186" t="s">
        <v>54</v>
      </c>
      <c r="C41" s="192" t="s">
        <v>67</v>
      </c>
      <c r="D41" s="193"/>
      <c r="E41" s="443">
        <v>0.85</v>
      </c>
      <c r="F41" s="181" t="s">
        <v>52</v>
      </c>
      <c r="G41" s="140"/>
      <c r="H41" s="140"/>
      <c r="I41" s="140"/>
      <c r="J41" s="140"/>
      <c r="K41" s="178"/>
    </row>
    <row r="42" spans="1:11" x14ac:dyDescent="0.15">
      <c r="A42" s="166"/>
      <c r="B42" s="107"/>
      <c r="C42" s="191" t="s">
        <v>53</v>
      </c>
      <c r="D42" s="100"/>
      <c r="E42" s="443">
        <v>0.03</v>
      </c>
      <c r="F42" s="181" t="s">
        <v>24</v>
      </c>
      <c r="G42" s="140"/>
      <c r="H42" s="140"/>
      <c r="I42" s="140"/>
      <c r="J42" s="140"/>
      <c r="K42" s="178"/>
    </row>
    <row r="43" spans="1:11" x14ac:dyDescent="0.15">
      <c r="A43" s="166"/>
      <c r="B43" s="182"/>
      <c r="C43" s="188"/>
      <c r="D43" s="140"/>
      <c r="E43" s="142"/>
      <c r="F43" s="181"/>
      <c r="G43" s="140"/>
      <c r="H43" s="140"/>
      <c r="I43" s="140"/>
      <c r="J43" s="140"/>
      <c r="K43" s="178"/>
    </row>
    <row r="44" spans="1:11" x14ac:dyDescent="0.15">
      <c r="A44" s="166"/>
      <c r="B44" s="182"/>
      <c r="C44" s="188"/>
      <c r="D44" s="140"/>
      <c r="E44" s="142"/>
      <c r="F44" s="181"/>
      <c r="G44" s="140"/>
      <c r="H44" s="140"/>
      <c r="I44" s="140"/>
      <c r="J44" s="140"/>
      <c r="K44" s="178"/>
    </row>
    <row r="45" spans="1:11" x14ac:dyDescent="0.15">
      <c r="A45" s="166"/>
      <c r="B45" s="186" t="s">
        <v>209</v>
      </c>
      <c r="C45" s="188"/>
      <c r="D45" s="140"/>
      <c r="E45" s="142"/>
      <c r="F45" s="181"/>
      <c r="G45" s="140"/>
      <c r="H45" s="140"/>
      <c r="I45" s="140"/>
      <c r="J45" s="140"/>
      <c r="K45" s="178"/>
    </row>
    <row r="46" spans="1:11" x14ac:dyDescent="0.15">
      <c r="A46" s="166"/>
      <c r="B46" s="220" t="s">
        <v>217</v>
      </c>
      <c r="C46" s="187"/>
      <c r="E46" s="104"/>
      <c r="F46" s="181"/>
      <c r="G46" s="140"/>
      <c r="H46" s="140"/>
      <c r="I46" s="140"/>
      <c r="J46" s="140"/>
      <c r="K46" s="178"/>
    </row>
    <row r="47" spans="1:11" ht="28" customHeight="1" x14ac:dyDescent="0.15">
      <c r="A47" s="166"/>
      <c r="B47" s="140"/>
      <c r="C47" s="230" t="s">
        <v>210</v>
      </c>
      <c r="D47" s="231" t="s">
        <v>115</v>
      </c>
      <c r="E47" s="231" t="s">
        <v>213</v>
      </c>
      <c r="F47" s="232" t="s">
        <v>116</v>
      </c>
      <c r="G47" s="231" t="s">
        <v>267</v>
      </c>
      <c r="H47" s="231" t="s">
        <v>214</v>
      </c>
      <c r="I47" s="140"/>
      <c r="J47" s="168"/>
      <c r="K47" s="178"/>
    </row>
    <row r="48" spans="1:11" x14ac:dyDescent="0.15">
      <c r="A48" s="166"/>
      <c r="B48" s="30" t="s">
        <v>95</v>
      </c>
      <c r="C48" s="444">
        <v>0</v>
      </c>
      <c r="D48" s="444">
        <v>0</v>
      </c>
      <c r="E48" s="445"/>
      <c r="F48" s="234"/>
      <c r="G48" s="234"/>
      <c r="H48" s="266">
        <f>G9-C48-D48-E48-F48-G48</f>
        <v>8</v>
      </c>
      <c r="I48" s="140"/>
      <c r="J48" s="140"/>
      <c r="K48" s="178"/>
    </row>
    <row r="49" spans="1:11" x14ac:dyDescent="0.15">
      <c r="A49" s="166"/>
      <c r="B49" s="30" t="s">
        <v>96</v>
      </c>
      <c r="C49" s="444"/>
      <c r="D49" s="444">
        <v>0</v>
      </c>
      <c r="E49" s="445"/>
      <c r="F49" s="234"/>
      <c r="G49" s="234"/>
      <c r="H49" s="371">
        <f>G10-C49-D49-E49-F49-G49</f>
        <v>10</v>
      </c>
      <c r="I49" s="140"/>
      <c r="J49" s="140"/>
      <c r="K49" s="178"/>
    </row>
    <row r="50" spans="1:11" x14ac:dyDescent="0.15">
      <c r="A50" s="166"/>
      <c r="B50" s="30" t="s">
        <v>97</v>
      </c>
      <c r="C50" s="444"/>
      <c r="D50" s="234"/>
      <c r="E50" s="235"/>
      <c r="F50" s="444"/>
      <c r="G50" s="444"/>
      <c r="H50" s="371">
        <f>G11-C50-D50-E50-F50-G50</f>
        <v>20</v>
      </c>
      <c r="I50" s="140"/>
      <c r="J50" s="140"/>
      <c r="K50" s="178"/>
    </row>
    <row r="51" spans="1:11" x14ac:dyDescent="0.15">
      <c r="A51" s="166"/>
      <c r="B51" s="30" t="s">
        <v>118</v>
      </c>
      <c r="C51" s="444"/>
      <c r="D51" s="234"/>
      <c r="E51" s="235"/>
      <c r="F51" s="234"/>
      <c r="G51" s="234"/>
      <c r="H51" s="371">
        <f>G12-C51-D51-E51-F51-G51</f>
        <v>30</v>
      </c>
      <c r="I51" s="140"/>
      <c r="J51" s="140"/>
      <c r="K51" s="178"/>
    </row>
    <row r="52" spans="1:11" x14ac:dyDescent="0.15">
      <c r="A52" s="166"/>
      <c r="B52" s="30" t="s">
        <v>186</v>
      </c>
      <c r="C52" s="444"/>
      <c r="D52" s="234"/>
      <c r="E52" s="235"/>
      <c r="F52" s="234"/>
      <c r="G52" s="372"/>
      <c r="H52" s="372"/>
      <c r="I52" s="140"/>
      <c r="J52" s="140"/>
      <c r="K52" s="178"/>
    </row>
    <row r="53" spans="1:11" ht="14" thickBot="1" x14ac:dyDescent="0.2">
      <c r="A53" s="166"/>
      <c r="B53" s="107" t="s">
        <v>25</v>
      </c>
      <c r="C53" s="71">
        <f>SUM(C48:C52)</f>
        <v>0</v>
      </c>
      <c r="D53" s="71">
        <f t="shared" ref="D53:G53" si="0">SUM(D48:D51)</f>
        <v>0</v>
      </c>
      <c r="E53" s="71">
        <f t="shared" si="0"/>
        <v>0</v>
      </c>
      <c r="F53" s="71">
        <f t="shared" si="0"/>
        <v>0</v>
      </c>
      <c r="G53" s="123">
        <f t="shared" si="0"/>
        <v>0</v>
      </c>
      <c r="H53" s="266">
        <f>G13-C53-D53-E53-F53-G53</f>
        <v>68</v>
      </c>
      <c r="I53" s="140"/>
      <c r="J53" s="140"/>
      <c r="K53" s="178"/>
    </row>
    <row r="54" spans="1:11" x14ac:dyDescent="0.15">
      <c r="A54" s="166"/>
      <c r="B54" s="140"/>
      <c r="C54" s="188"/>
      <c r="D54" s="188"/>
      <c r="E54" s="140"/>
      <c r="F54" s="225"/>
      <c r="G54" s="228" t="s">
        <v>215</v>
      </c>
      <c r="H54" s="226">
        <f>SUM(C53:G53)</f>
        <v>0</v>
      </c>
      <c r="I54" s="140"/>
      <c r="J54" s="140"/>
      <c r="K54" s="178"/>
    </row>
    <row r="55" spans="1:11" ht="14" thickBot="1" x14ac:dyDescent="0.2">
      <c r="A55" s="166"/>
      <c r="B55" s="140"/>
      <c r="C55" s="188"/>
      <c r="D55" s="188"/>
      <c r="E55" s="140"/>
      <c r="F55" s="227"/>
      <c r="G55" s="229" t="s">
        <v>216</v>
      </c>
      <c r="H55" s="233">
        <f>H54/G13</f>
        <v>0</v>
      </c>
      <c r="J55" s="140"/>
      <c r="K55" s="178"/>
    </row>
    <row r="56" spans="1:11" ht="16" customHeight="1" thickBot="1" x14ac:dyDescent="0.2">
      <c r="A56" s="166"/>
      <c r="B56" s="140"/>
      <c r="C56" s="140"/>
      <c r="D56" s="140"/>
      <c r="E56" s="159"/>
      <c r="F56" s="140"/>
      <c r="G56" s="140"/>
      <c r="H56" s="140"/>
      <c r="I56" s="140"/>
      <c r="J56" s="140"/>
      <c r="K56" s="178"/>
    </row>
    <row r="57" spans="1:11" ht="28" customHeight="1" x14ac:dyDescent="0.15">
      <c r="A57" s="166"/>
      <c r="B57" s="197" t="s">
        <v>88</v>
      </c>
      <c r="C57" s="198"/>
      <c r="D57" s="199" t="s">
        <v>203</v>
      </c>
      <c r="E57" s="199" t="s">
        <v>28</v>
      </c>
      <c r="F57" s="200" t="s">
        <v>204</v>
      </c>
      <c r="G57" s="140"/>
      <c r="H57" s="403" t="s">
        <v>326</v>
      </c>
      <c r="I57" s="404"/>
      <c r="J57" s="395" t="s">
        <v>264</v>
      </c>
      <c r="K57" s="178"/>
    </row>
    <row r="58" spans="1:11" x14ac:dyDescent="0.15">
      <c r="A58" s="166"/>
      <c r="B58" s="201"/>
      <c r="C58" s="202" t="str">
        <f>C9</f>
        <v>Infants</v>
      </c>
      <c r="D58" s="203">
        <f>'Quality Center Profile'!H7</f>
        <v>19260.586896071331</v>
      </c>
      <c r="E58" s="203">
        <f>D58/12</f>
        <v>1605.0489080059442</v>
      </c>
      <c r="F58" s="204">
        <f>D58/52</f>
        <v>370.39590184752558</v>
      </c>
      <c r="G58" s="339" t="s">
        <v>95</v>
      </c>
      <c r="H58" s="405">
        <f>('Quality Center Profile'!C79-D58)/12</f>
        <v>-190.04890800594421</v>
      </c>
      <c r="I58" s="406"/>
      <c r="J58" s="393">
        <f>(D58-'Quality Center Profile'!C75)/12</f>
        <v>135.04890800594421</v>
      </c>
      <c r="K58" s="178"/>
    </row>
    <row r="59" spans="1:11" x14ac:dyDescent="0.15">
      <c r="A59" s="166"/>
      <c r="B59" s="201"/>
      <c r="C59" s="202" t="str">
        <f>C10</f>
        <v>Toddlers</v>
      </c>
      <c r="D59" s="203">
        <f>'Quality Center Profile'!H8</f>
        <v>16831.710573955945</v>
      </c>
      <c r="E59" s="203">
        <f>D59/12</f>
        <v>1402.6425478296621</v>
      </c>
      <c r="F59" s="204">
        <f>D59/52</f>
        <v>323.68674180684508</v>
      </c>
      <c r="G59" s="339" t="s">
        <v>96</v>
      </c>
      <c r="H59" s="407">
        <f>('Quality Center Profile'!C80-D59)/12</f>
        <v>1.3574521703379407</v>
      </c>
      <c r="I59" s="408"/>
      <c r="J59" s="393">
        <f>(D59-'Quality Center Profile'!C76)/12</f>
        <v>-54.357452170337943</v>
      </c>
      <c r="K59" s="178"/>
    </row>
    <row r="60" spans="1:11" x14ac:dyDescent="0.15">
      <c r="A60" s="166"/>
      <c r="B60" s="201"/>
      <c r="C60" s="202" t="str">
        <f>C11</f>
        <v>Preschoolers</v>
      </c>
      <c r="D60" s="203">
        <f>'Quality Center Profile'!H9</f>
        <v>11800.957929725177</v>
      </c>
      <c r="E60" s="203">
        <f>D60/12</f>
        <v>983.41316081043135</v>
      </c>
      <c r="F60" s="204">
        <f>D60/52</f>
        <v>226.94149864856109</v>
      </c>
      <c r="G60" s="339" t="s">
        <v>97</v>
      </c>
      <c r="H60" s="407">
        <f>('Quality Center Profile'!C81-D60)/12</f>
        <v>76.586839189568607</v>
      </c>
      <c r="I60" s="408"/>
      <c r="J60" s="393">
        <f>(D60-'Quality Center Profile'!C77)/12</f>
        <v>-151.58683918956862</v>
      </c>
      <c r="K60" s="178"/>
    </row>
    <row r="61" spans="1:11" ht="14" thickBot="1" x14ac:dyDescent="0.2">
      <c r="A61" s="166"/>
      <c r="B61" s="205"/>
      <c r="C61" s="206" t="str">
        <f>C12</f>
        <v>School age</v>
      </c>
      <c r="D61" s="207">
        <f>'Quality Center Profile'!H10</f>
        <v>4908.737943518784</v>
      </c>
      <c r="E61" s="207">
        <f>D61/12</f>
        <v>409.06149529323199</v>
      </c>
      <c r="F61" s="208">
        <f>D61/52</f>
        <v>94.398806606130464</v>
      </c>
      <c r="G61" s="340" t="s">
        <v>118</v>
      </c>
      <c r="H61" s="409">
        <f>('Quality Center Profile'!C82-D61)/12</f>
        <v>231.93850470676799</v>
      </c>
      <c r="I61" s="410"/>
      <c r="J61" s="394">
        <f>(D61-'Quality Center Profile'!C78)/12</f>
        <v>-240.93850470676799</v>
      </c>
      <c r="K61" s="178"/>
    </row>
    <row r="62" spans="1:11" ht="14" thickBot="1" x14ac:dyDescent="0.2">
      <c r="A62" s="189"/>
      <c r="B62" s="190"/>
      <c r="C62" s="190"/>
      <c r="D62" s="190"/>
      <c r="E62" s="190"/>
      <c r="F62" s="190"/>
      <c r="G62" s="190"/>
      <c r="H62" s="337" t="s">
        <v>286</v>
      </c>
      <c r="I62" s="446" t="s">
        <v>179</v>
      </c>
      <c r="J62" s="446" t="s">
        <v>260</v>
      </c>
      <c r="K62" s="210"/>
    </row>
    <row r="63" spans="1:11" x14ac:dyDescent="0.15">
      <c r="H63" s="23"/>
    </row>
    <row r="68" spans="5:6" x14ac:dyDescent="0.15">
      <c r="E68" s="23"/>
      <c r="F68" s="23"/>
    </row>
    <row r="69" spans="5:6" x14ac:dyDescent="0.15">
      <c r="E69" s="23"/>
    </row>
  </sheetData>
  <sheetProtection algorithmName="SHA-512" hashValue="VyXD2Weu53wVHf3f7nieJ5AOjNoSXOl3oxR5doOlvMO+tud++BIkDNoIoup901/uQ389/dk3tFxXcpYErlapqg==" saltValue="pRgmHTxLA4+OgncQhwIDSw==" spinCount="100000" sheet="1" objects="1" scenarios="1"/>
  <mergeCells count="12">
    <mergeCell ref="H61:I61"/>
    <mergeCell ref="F18:G18"/>
    <mergeCell ref="D18:E18"/>
    <mergeCell ref="E38:J38"/>
    <mergeCell ref="E37:J37"/>
    <mergeCell ref="H60:I60"/>
    <mergeCell ref="D27:F28"/>
    <mergeCell ref="B31:C31"/>
    <mergeCell ref="B30:C30"/>
    <mergeCell ref="H57:I57"/>
    <mergeCell ref="H58:I58"/>
    <mergeCell ref="H59:I59"/>
  </mergeCells>
  <phoneticPr fontId="8" type="noConversion"/>
  <dataValidations count="8">
    <dataValidation type="list" allowBlank="1" showInputMessage="1" showErrorMessage="1" sqref="D37" xr:uid="{C2CF9409-A270-DB47-8547-2D1B6985602C}">
      <formula1>#REF!</formula1>
    </dataValidation>
    <dataValidation type="whole" allowBlank="1" showInputMessage="1" showErrorMessage="1" errorTitle="Enter a whole number" promptTitle="Enter number of days" prompt="Enter number of days of paid sick leave per year per staff member_x000a_" sqref="D38" xr:uid="{18AE733C-7F46-9946-ACAB-7914FD730588}">
      <formula1>0</formula1>
      <formula2>100</formula2>
    </dataValidation>
    <dataValidation type="list" allowBlank="1" showInputMessage="1" showErrorMessage="1" sqref="D34" xr:uid="{6BFCF02B-77CF-0241-914E-697D6462F5D7}">
      <formula1>$H$1:$L$1</formula1>
    </dataValidation>
    <dataValidation type="list" allowBlank="1" showInputMessage="1" showErrorMessage="1" sqref="D12 E34" xr:uid="{C084B7F3-A5CB-6146-8BC0-87AF37BAF2F0}">
      <formula1>$H$2:$K$2</formula1>
    </dataValidation>
    <dataValidation type="list" allowBlank="1" showInputMessage="1" showErrorMessage="1" sqref="D9:D10 D31:D33" xr:uid="{3954439C-7101-6449-A1CC-3D9F523B4883}">
      <formula1>$H$1:$I$1</formula1>
    </dataValidation>
    <dataValidation allowBlank="1" showInputMessage="1" showErrorMessage="1" promptTitle="Enter number of days " prompt="Enter number of days paid leave offered to staff per year (not including holidays where program is closed)" sqref="D39" xr:uid="{38DE5AB1-75D8-9E49-87E4-584A9244F140}"/>
    <dataValidation type="list" allowBlank="1" showInputMessage="1" showErrorMessage="1" sqref="C27" xr:uid="{7B0980EA-FE60-944F-B9FF-460FE27F8A1E}">
      <formula1>$G$27:$G$28</formula1>
    </dataValidation>
    <dataValidation type="list" allowBlank="1" showInputMessage="1" showErrorMessage="1" sqref="D11:D12 E31 E32 E33" xr:uid="{E9E79F96-BFA9-E84E-8760-6F565BDE897D}">
      <formula1>$H$2:$I$2</formula1>
    </dataValidation>
  </dataValidations>
  <pageMargins left="0.25" right="0.25" top="0.25" bottom="0.25" header="0.05" footer="0.05"/>
  <pageSetup scale="75" orientation="landscape" horizontalDpi="4294967293" r:id="rId1"/>
  <headerFooter alignWithMargins="0">
    <oddFooter>&amp;CDRAFT - Not for Distribution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7CEB4CD-4A9B-954A-A64B-EB598A04B09C}">
          <x14:formula1>
            <xm:f>'Quality Center Profile'!$I$70:$K$70</xm:f>
          </x14:formula1>
          <xm:sqref>I62</xm:sqref>
        </x14:dataValidation>
        <x14:dataValidation type="list" allowBlank="1" showInputMessage="1" showErrorMessage="1" xr:uid="{CC8C6B45-2104-4640-8569-402253C316FA}">
          <x14:formula1>
            <xm:f>'Quality Center Profile'!$I$71:$M$71</xm:f>
          </x14:formula1>
          <xm:sqref>J62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14B1-3C32-4648-AB63-784D0460E564}">
  <sheetPr>
    <tabColor theme="5"/>
  </sheetPr>
  <dimension ref="A1:D8"/>
  <sheetViews>
    <sheetView zoomScale="130" zoomScaleNormal="130" workbookViewId="0">
      <selection activeCell="K1" sqref="K1:R1048576"/>
    </sheetView>
  </sheetViews>
  <sheetFormatPr baseColWidth="10" defaultRowHeight="13" x14ac:dyDescent="0.15"/>
  <cols>
    <col min="1" max="1" width="17.6640625" customWidth="1"/>
    <col min="2" max="2" width="11.1640625" bestFit="1" customWidth="1"/>
  </cols>
  <sheetData>
    <row r="1" spans="1:4" x14ac:dyDescent="0.15">
      <c r="B1" s="1" t="s">
        <v>265</v>
      </c>
    </row>
    <row r="2" spans="1:4" x14ac:dyDescent="0.15">
      <c r="A2" s="1" t="s">
        <v>115</v>
      </c>
      <c r="B2" s="366">
        <v>15000</v>
      </c>
      <c r="C2" s="23" t="s">
        <v>287</v>
      </c>
    </row>
    <row r="3" spans="1:4" x14ac:dyDescent="0.15">
      <c r="A3" s="23" t="s">
        <v>213</v>
      </c>
      <c r="B3" s="338">
        <v>13300</v>
      </c>
      <c r="C3" s="23" t="s">
        <v>266</v>
      </c>
    </row>
    <row r="4" spans="1:4" x14ac:dyDescent="0.15">
      <c r="B4" s="73"/>
    </row>
    <row r="5" spans="1:4" x14ac:dyDescent="0.15">
      <c r="A5" s="1" t="s">
        <v>116</v>
      </c>
      <c r="B5" s="338">
        <v>12000</v>
      </c>
      <c r="D5" s="352"/>
    </row>
    <row r="6" spans="1:4" x14ac:dyDescent="0.15">
      <c r="A6" s="23" t="s">
        <v>212</v>
      </c>
      <c r="B6" s="338">
        <v>9208</v>
      </c>
    </row>
    <row r="7" spans="1:4" x14ac:dyDescent="0.15">
      <c r="A7" s="23" t="s">
        <v>211</v>
      </c>
      <c r="B7" s="338">
        <v>9208</v>
      </c>
      <c r="C7" s="23" t="s">
        <v>266</v>
      </c>
    </row>
    <row r="8" spans="1:4" x14ac:dyDescent="0.15">
      <c r="A8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</sheetPr>
  <dimension ref="A1:R95"/>
  <sheetViews>
    <sheetView topLeftCell="A37" zoomScale="110" zoomScaleNormal="110" workbookViewId="0">
      <selection activeCell="E23" sqref="E23"/>
    </sheetView>
  </sheetViews>
  <sheetFormatPr baseColWidth="10" defaultColWidth="8.83203125" defaultRowHeight="13" x14ac:dyDescent="0.15"/>
  <cols>
    <col min="1" max="1" width="4.83203125" style="23" customWidth="1"/>
    <col min="2" max="2" width="44.5" style="23" customWidth="1"/>
    <col min="3" max="3" width="12.33203125" style="23" customWidth="1"/>
    <col min="4" max="4" width="12.1640625" style="23" customWidth="1"/>
    <col min="5" max="5" width="11" style="23" customWidth="1"/>
    <col min="6" max="6" width="12" style="23" customWidth="1"/>
    <col min="7" max="7" width="11.83203125" style="23" customWidth="1"/>
    <col min="8" max="8" width="13.1640625" style="23" customWidth="1"/>
    <col min="9" max="9" width="14.83203125" style="23" customWidth="1"/>
    <col min="10" max="10" width="9.83203125" style="23" customWidth="1"/>
    <col min="11" max="12" width="10.5" style="23" hidden="1" customWidth="1"/>
    <col min="13" max="13" width="10" style="23" hidden="1" customWidth="1"/>
    <col min="14" max="14" width="9.5" style="23" hidden="1" customWidth="1"/>
    <col min="15" max="15" width="12.83203125" style="23" hidden="1" customWidth="1"/>
    <col min="16" max="16" width="12.33203125" style="23" hidden="1" customWidth="1"/>
    <col min="17" max="17" width="13.6640625" style="23" hidden="1" customWidth="1"/>
    <col min="18" max="18" width="5.5" style="23" hidden="1" customWidth="1"/>
    <col min="19" max="19" width="11.5" style="23" customWidth="1"/>
    <col min="20" max="16384" width="8.83203125" style="23"/>
  </cols>
  <sheetData>
    <row r="1" spans="1:17" ht="16.5" customHeight="1" x14ac:dyDescent="0.15">
      <c r="A1" s="1" t="s">
        <v>98</v>
      </c>
      <c r="B1" s="304"/>
      <c r="C1" s="1"/>
      <c r="D1" s="1"/>
      <c r="E1" s="1"/>
      <c r="F1" s="1"/>
      <c r="G1" s="1"/>
    </row>
    <row r="2" spans="1:17" x14ac:dyDescent="0.15">
      <c r="A2" s="2"/>
      <c r="B2" s="2" t="s">
        <v>6</v>
      </c>
      <c r="E2" s="305"/>
      <c r="F2" s="23" t="s">
        <v>69</v>
      </c>
    </row>
    <row r="3" spans="1:17" x14ac:dyDescent="0.15">
      <c r="A3" s="2"/>
      <c r="B3" s="2" t="s">
        <v>22</v>
      </c>
      <c r="E3" s="306"/>
      <c r="F3" s="23" t="s">
        <v>68</v>
      </c>
    </row>
    <row r="4" spans="1:17" x14ac:dyDescent="0.15">
      <c r="A4" s="18" t="s">
        <v>20</v>
      </c>
      <c r="B4" s="307"/>
      <c r="C4" s="307"/>
      <c r="D4" s="307"/>
      <c r="E4" s="307"/>
      <c r="F4" s="307"/>
      <c r="G4" s="307"/>
      <c r="H4" s="308"/>
      <c r="I4" s="308"/>
    </row>
    <row r="5" spans="1:17" x14ac:dyDescent="0.15">
      <c r="K5" s="136"/>
      <c r="L5" s="136"/>
      <c r="M5" s="136"/>
      <c r="N5" s="136"/>
      <c r="O5" s="136"/>
      <c r="P5" s="2"/>
    </row>
    <row r="6" spans="1:17" ht="25.5" customHeight="1" x14ac:dyDescent="0.15">
      <c r="B6" s="1" t="s">
        <v>9</v>
      </c>
      <c r="C6" s="23" t="s">
        <v>0</v>
      </c>
      <c r="D6" s="26" t="s">
        <v>1</v>
      </c>
      <c r="E6" s="23" t="s">
        <v>87</v>
      </c>
      <c r="F6" s="23" t="s">
        <v>11</v>
      </c>
      <c r="H6" s="83" t="s">
        <v>26</v>
      </c>
      <c r="I6" s="1" t="s">
        <v>28</v>
      </c>
      <c r="J6" s="27"/>
      <c r="K6" s="264" t="s">
        <v>166</v>
      </c>
      <c r="L6" s="264" t="s">
        <v>280</v>
      </c>
      <c r="M6" s="264" t="s">
        <v>167</v>
      </c>
      <c r="N6" s="264" t="s">
        <v>168</v>
      </c>
      <c r="O6" s="264" t="s">
        <v>169</v>
      </c>
      <c r="P6" s="264" t="s">
        <v>334</v>
      </c>
      <c r="Q6" s="264" t="s">
        <v>279</v>
      </c>
    </row>
    <row r="7" spans="1:17" ht="14" customHeight="1" x14ac:dyDescent="0.15">
      <c r="A7" s="23">
        <f>C7*F7</f>
        <v>8</v>
      </c>
      <c r="B7" s="23" t="str">
        <f>'VariablesINPUT-CTR'!C9</f>
        <v>Infants</v>
      </c>
      <c r="C7" s="309">
        <f>'VariablesINPUT-CTR'!F9</f>
        <v>8</v>
      </c>
      <c r="D7" s="68">
        <f>'VariablesINPUT-CTR'!E9</f>
        <v>4</v>
      </c>
      <c r="E7" s="310">
        <f>SUM(A7/D7)</f>
        <v>2</v>
      </c>
      <c r="F7" s="311">
        <f>'VariablesINPUT-CTR'!B9</f>
        <v>1</v>
      </c>
      <c r="G7" s="23" t="str">
        <f>B7</f>
        <v>Infants</v>
      </c>
      <c r="H7" s="312">
        <f>IF(InfantClassrooms&gt;0,(SUM(K7:Q7)/Infants),0)</f>
        <v>19260.586896071331</v>
      </c>
      <c r="I7" s="312">
        <f>H7/12</f>
        <v>1605.0489080059442</v>
      </c>
      <c r="J7" s="259"/>
      <c r="K7" s="260">
        <f>((LeadTeacher/SUM(F7:F8))+(Asst_Teacher/SUM(F7:F8)))*InfantClassrooms</f>
        <v>66943</v>
      </c>
      <c r="L7" s="260">
        <f>SUM(Subs+Floater_Assts+D29)/(TotalClassrooms-SchoolageClassroom)*InfantClassrooms</f>
        <v>18389.402884615385</v>
      </c>
      <c r="M7" s="261">
        <f>SUM(NP_Occupancy/TotalClassrooms)*InfantClassrooms</f>
        <v>11822.65</v>
      </c>
      <c r="N7" s="261">
        <f>SUM(Admin_Staff+MandatoryBenefits+AdditionalBenefits+NP_EdProgram+NP_MgtAdmin+Reserve_Fund)/TotalChildren*Infants</f>
        <v>43266.528135806002</v>
      </c>
      <c r="O7" s="262">
        <f>SUM(D50:D52)/SUM(A7:A8)*Infants</f>
        <v>0</v>
      </c>
      <c r="Q7" s="248">
        <f>Q10/(TotalChildren-Schoolagers)*Infants</f>
        <v>13663.114148149265</v>
      </c>
    </row>
    <row r="8" spans="1:17" ht="14" customHeight="1" x14ac:dyDescent="0.2">
      <c r="A8" s="23">
        <f>C8*F8</f>
        <v>10</v>
      </c>
      <c r="B8" s="23" t="str">
        <f>'VariablesINPUT-CTR'!C10</f>
        <v>Toddlers</v>
      </c>
      <c r="C8" s="309">
        <f>'VariablesINPUT-CTR'!F10</f>
        <v>10</v>
      </c>
      <c r="D8" s="68">
        <f>'VariablesINPUT-CTR'!E10</f>
        <v>5</v>
      </c>
      <c r="E8" s="310">
        <f t="shared" ref="E8" si="0">SUM(A8/D8)</f>
        <v>2</v>
      </c>
      <c r="F8" s="311">
        <f>'VariablesINPUT-CTR'!B10</f>
        <v>1</v>
      </c>
      <c r="G8" s="23" t="str">
        <f>B8</f>
        <v>Toddlers</v>
      </c>
      <c r="H8" s="312">
        <f>IF(ToddlerClassrooms&gt;0,(SUM(K8:Q8)/Toddlers),0)</f>
        <v>16831.710573955945</v>
      </c>
      <c r="I8" s="312">
        <f>H8/12</f>
        <v>1402.6425478296621</v>
      </c>
      <c r="J8" s="313"/>
      <c r="K8" s="260">
        <f>((LeadTeacher/SUM(F7:F8))+(Asst_Teacher/SUM(F7:F8)))*ToddlerClassrooms</f>
        <v>66943</v>
      </c>
      <c r="L8" s="260">
        <f>SUM(Subs+Floater_Assts+D29)/(TotalClassrooms-SchoolageClassroom)*ToddlerClassrooms</f>
        <v>18389.402884615385</v>
      </c>
      <c r="M8" s="261">
        <f>SUM(NP_Occupancy/TotalClassrooms)*ToddlerClassrooms</f>
        <v>11822.65</v>
      </c>
      <c r="N8" s="261">
        <f>SUM(Admin_Staff+MandatoryBenefits+AdditionalBenefits+NP_EdProgram+NP_MgtAdmin+Reserve_Fund)/TotalChildren*Toddlers</f>
        <v>54083.160169757502</v>
      </c>
      <c r="O8" s="262">
        <f>SUM(D50:D52)/SUM(A7:A8)*Toddlers</f>
        <v>0</v>
      </c>
      <c r="Q8" s="248">
        <f>Q10/(TotalChildren-Schoolagers)*Toddlers</f>
        <v>17078.89268518658</v>
      </c>
    </row>
    <row r="9" spans="1:17" ht="14" customHeight="1" x14ac:dyDescent="0.2">
      <c r="A9" s="23">
        <f>C9*F9</f>
        <v>20</v>
      </c>
      <c r="B9" s="23" t="str">
        <f>'VariablesINPUT-CTR'!C11</f>
        <v>Preschoolers</v>
      </c>
      <c r="C9" s="309">
        <f>'VariablesINPUT-CTR'!F11</f>
        <v>20</v>
      </c>
      <c r="D9" s="68">
        <f>'VariablesINPUT-CTR'!E11</f>
        <v>10</v>
      </c>
      <c r="E9" s="310">
        <f>SUM(A9/D9)</f>
        <v>2</v>
      </c>
      <c r="F9" s="311">
        <f>'VariablesINPUT-CTR'!B11</f>
        <v>1</v>
      </c>
      <c r="G9" s="23" t="str">
        <f>B9</f>
        <v>Preschoolers</v>
      </c>
      <c r="H9" s="312">
        <f>IF(PreschoolersClassroom&gt;0,(SUM(K9:Q9)/Preschoolers),0)</f>
        <v>11800.957929725177</v>
      </c>
      <c r="I9" s="312">
        <f>H9/12</f>
        <v>983.41316081043135</v>
      </c>
      <c r="J9" s="313"/>
      <c r="K9" s="260">
        <f>SUM(D24+D25)*PreschoolersClassroom</f>
        <v>63483</v>
      </c>
      <c r="L9" s="261">
        <f>SUM(Subs+Floater_Assts+D29)/(TotalClassrooms-SchoolageClassroom)*PreschoolersClassroom</f>
        <v>18389.402884615385</v>
      </c>
      <c r="M9" s="261">
        <f>SUM(NP_Occupancy/TotalClassrooms)*PreschoolersClassroom</f>
        <v>11822.65</v>
      </c>
      <c r="N9" s="261">
        <f>SUM(Admin_Staff+MandatoryBenefits+AdditionalBenefits+NP_EdProgram+NP_MgtAdmin+Reserve_Fund)/TotalChildren*Preschoolers</f>
        <v>108166.320339515</v>
      </c>
      <c r="O9" s="262">
        <f>SUM(D54:D56)/SUM(A9:A10)*Preschoolers</f>
        <v>0</v>
      </c>
      <c r="Q9" s="248">
        <f>Q10/(TotalChildren-Schoolagers)*Preschoolers</f>
        <v>34157.78537037316</v>
      </c>
    </row>
    <row r="10" spans="1:17" ht="14" customHeight="1" x14ac:dyDescent="0.2">
      <c r="A10" s="23">
        <f>C10*F10</f>
        <v>30</v>
      </c>
      <c r="B10" s="23" t="str">
        <f>'VariablesINPUT-CTR'!C12</f>
        <v>School age</v>
      </c>
      <c r="C10" s="309">
        <f>'VariablesINPUT-CTR'!F12</f>
        <v>30</v>
      </c>
      <c r="D10" s="68">
        <f>'VariablesINPUT-CTR'!E12</f>
        <v>15</v>
      </c>
      <c r="E10" s="310">
        <f>SUM(A10/D10)</f>
        <v>2</v>
      </c>
      <c r="F10" s="311">
        <f>'VariablesINPUT-CTR'!B12</f>
        <v>1</v>
      </c>
      <c r="G10" s="23" t="str">
        <f>B10</f>
        <v>School age</v>
      </c>
      <c r="H10" s="312">
        <f>IF(SchoolageClassroom&gt;0,(SUM(K10:P10,-Q10)/Schoolagers),0)</f>
        <v>4908.737943518784</v>
      </c>
      <c r="I10" s="312">
        <f>H10/12</f>
        <v>409.06149529323199</v>
      </c>
      <c r="J10" s="313"/>
      <c r="K10" s="260">
        <f>SUM(D26+D27)*SchoolageClassroom</f>
        <v>38089.800000000003</v>
      </c>
      <c r="L10" s="260"/>
      <c r="M10" s="260">
        <f>NP_Occupancy/TotalClassrooms*SchoolageClassroom</f>
        <v>11822.65</v>
      </c>
      <c r="N10" s="260">
        <f>SUM(Admin_Staff+MandatoryBenefits+AdditionalBenefits+NP_EdProgram+NP_MgtAdmin+Reserve_Fund)/TotalChildren*Schoolagers</f>
        <v>162249.48050927251</v>
      </c>
      <c r="O10" s="263">
        <f>SUM(D54:D56)/SUM(A9:A10)*Schoolagers</f>
        <v>0</v>
      </c>
      <c r="P10" s="25">
        <f>D63</f>
        <v>0</v>
      </c>
      <c r="Q10" s="248">
        <f>IF(SUM(F7:F9)&gt;0,N10*40%,0)</f>
        <v>64899.79220370901</v>
      </c>
    </row>
    <row r="11" spans="1:17" ht="14" customHeight="1" x14ac:dyDescent="0.15">
      <c r="A11" s="46">
        <f>SUM(A7:A10)</f>
        <v>68</v>
      </c>
      <c r="B11" s="76"/>
      <c r="C11" s="314"/>
      <c r="D11" s="77"/>
      <c r="E11" s="46">
        <f>SUM(E7:E10)</f>
        <v>8</v>
      </c>
      <c r="F11" s="46">
        <f>SUM(F7:F10)</f>
        <v>4</v>
      </c>
      <c r="H11" s="11"/>
      <c r="J11" s="259"/>
      <c r="K11" s="265"/>
      <c r="L11" s="265"/>
      <c r="M11" s="265"/>
      <c r="N11" s="331" t="s">
        <v>281</v>
      </c>
      <c r="O11" s="265"/>
      <c r="P11" s="248"/>
      <c r="Q11" s="75"/>
    </row>
    <row r="12" spans="1:17" ht="26" customHeight="1" x14ac:dyDescent="0.15">
      <c r="F12" s="315">
        <v>0.2</v>
      </c>
      <c r="G12" s="416" t="s">
        <v>276</v>
      </c>
      <c r="H12" s="416"/>
      <c r="I12" s="416"/>
      <c r="J12" s="75"/>
      <c r="K12" s="328"/>
      <c r="L12" s="328"/>
      <c r="M12" s="329"/>
      <c r="N12" s="329"/>
      <c r="O12" s="250"/>
      <c r="P12" s="248"/>
      <c r="Q12" s="75"/>
    </row>
    <row r="13" spans="1:17" x14ac:dyDescent="0.15">
      <c r="F13" s="69"/>
      <c r="G13" s="417" t="s">
        <v>107</v>
      </c>
      <c r="H13" s="417"/>
      <c r="I13" s="417"/>
      <c r="K13" s="330"/>
      <c r="L13" s="330"/>
      <c r="O13" s="69"/>
      <c r="P13" s="11"/>
    </row>
    <row r="14" spans="1:17" x14ac:dyDescent="0.15">
      <c r="F14" s="69"/>
      <c r="G14" s="417"/>
      <c r="H14" s="417"/>
      <c r="I14" s="417"/>
      <c r="K14" s="59"/>
      <c r="L14" s="59"/>
      <c r="O14" s="69"/>
      <c r="P14" s="11"/>
    </row>
    <row r="15" spans="1:17" x14ac:dyDescent="0.15">
      <c r="B15" s="1" t="s">
        <v>56</v>
      </c>
      <c r="D15" s="14" t="s">
        <v>19</v>
      </c>
      <c r="E15" s="14" t="s">
        <v>18</v>
      </c>
      <c r="J15" s="11"/>
      <c r="K15" s="59"/>
      <c r="L15" s="59"/>
      <c r="O15" s="59"/>
      <c r="P15" s="11"/>
    </row>
    <row r="16" spans="1:17" x14ac:dyDescent="0.15">
      <c r="A16" s="31">
        <f>SUM(A17:A28)</f>
        <v>12.2</v>
      </c>
      <c r="B16" s="1" t="s">
        <v>10</v>
      </c>
      <c r="C16" s="256"/>
      <c r="E16" s="26" t="s">
        <v>17</v>
      </c>
      <c r="J16" s="25"/>
      <c r="K16" s="59"/>
      <c r="L16" s="59"/>
      <c r="O16" s="59"/>
      <c r="P16" s="11"/>
    </row>
    <row r="17" spans="1:13" x14ac:dyDescent="0.15">
      <c r="A17" s="57">
        <f>IF(A11&gt;0,1)</f>
        <v>1</v>
      </c>
      <c r="B17" s="23" t="s">
        <v>77</v>
      </c>
      <c r="C17" s="69"/>
      <c r="D17" s="11">
        <f>A17*E17</f>
        <v>52899</v>
      </c>
      <c r="E17" s="352">
        <f>IF('VariablesINPUT-CTR'!C$27="Yes",'VariablesINPUT-CTR'!J33,
IF(OR('VariablesINPUT-CTR'!D$9="Point 2",'VariablesINPUT-CTR'!D$10="Point 2",'VariablesINPUT-CTR'!D$11="Point 2"),Wages!B20,
IF(OR('VariablesINPUT-CTR'!D$9="Baby Promise",'VariablesINPUT-CTR'!D$10="Baby Promise",'VariablesINPUT-CTR'!D$11="Preschool Promise"),Wages!B30,
IF(OR('VariablesINPUT-CTR'!D$9="EHS/Aspirational",'VariablesINPUT-CTR'!D$10="EHS/Aspirational",'VariablesINPUT-CTR'!D$11="Aspirational"),Wages!B40,Wages!B10))))</f>
        <v>52899</v>
      </c>
      <c r="F17" s="11"/>
      <c r="G17" s="23" t="s">
        <v>285</v>
      </c>
      <c r="J17" s="25"/>
    </row>
    <row r="18" spans="1:13" x14ac:dyDescent="0.15">
      <c r="A18" s="57">
        <f>IF(A11&lt;31,0.5,IF(A11&lt;100,1,IF(A11&lt;151,1.5,2)))</f>
        <v>1</v>
      </c>
      <c r="B18" s="23" t="s">
        <v>282</v>
      </c>
      <c r="C18" s="69"/>
      <c r="D18" s="11">
        <f t="shared" ref="D18:D19" si="1">A18*E18</f>
        <v>42319.200000000004</v>
      </c>
      <c r="E18" s="386">
        <f>IF('VariablesINPUT-CTR'!C$27="Yes",'VariablesINPUT-CTR'!J36,
IF(OR('VariablesINPUT-CTR'!D$9="Point 2",'VariablesINPUT-CTR'!D$10="Point 2",'VariablesINPUT-CTR'!D$11="Point 2"),Wages!C20,
IF(OR('VariablesINPUT-CTR'!D$9="Baby Promise",'VariablesINPUT-CTR'!D$10="Baby Promise",'VariablesINPUT-CTR'!D$11="Preschool Promise"),Wages!C30,
IF(OR('VariablesINPUT-CTR'!D$9="EHS/Aspirational",'VariablesINPUT-CTR'!D$10="EHS/Aspirational",'VariablesINPUT-CTR'!D$11="Aspirational"),Wages!C40,Wages!C$10))))</f>
        <v>42319.200000000004</v>
      </c>
      <c r="F18" s="121"/>
      <c r="G18" s="23" t="s">
        <v>283</v>
      </c>
    </row>
    <row r="19" spans="1:13" x14ac:dyDescent="0.15">
      <c r="A19" s="57">
        <f>IF(A11&lt;31,0.5,IF(A11&lt;100,1,IF(A11&lt;151,1.5,2)))</f>
        <v>1</v>
      </c>
      <c r="B19" s="23" t="s">
        <v>284</v>
      </c>
      <c r="C19" s="69"/>
      <c r="D19" s="10">
        <f t="shared" si="1"/>
        <v>31184.5</v>
      </c>
      <c r="E19" s="352">
        <f>IF('VariablesINPUT-CTR'!C$27="Yes",'VariablesINPUT-CTR'!J37,
IF(OR('VariablesINPUT-CTR'!D$9="Point 2",'VariablesINPUT-CTR'!D$10="Point 2",'VariablesINPUT-CTR'!D$11="Point 2"),Wages!D20,
IF(OR('VariablesINPUT-CTR'!D$9="Baby Promise",'VariablesINPUT-CTR'!D$10="Baby Promise",'VariablesINPUT-CTR'!D$11="Preschool Promise"),Wages!D30,
IF(OR('VariablesINPUT-CTR'!D$9="EHS/Aspirational",'VariablesINPUT-CTR'!D$10="EHS/Aspirational",'VariablesINPUT-CTR'!D$11="Aspirational"),Wages!D40,Wages!D$10))))</f>
        <v>31184.5</v>
      </c>
      <c r="F19" s="121"/>
      <c r="G19" s="23" t="s">
        <v>283</v>
      </c>
    </row>
    <row r="20" spans="1:13" x14ac:dyDescent="0.15">
      <c r="A20" s="57"/>
      <c r="B20" s="26" t="s">
        <v>71</v>
      </c>
      <c r="C20" s="69"/>
      <c r="D20" s="64">
        <f>SUM(D17:D19)</f>
        <v>126402.70000000001</v>
      </c>
      <c r="E20" s="386"/>
      <c r="F20" s="64"/>
    </row>
    <row r="21" spans="1:13" ht="8.5" customHeight="1" x14ac:dyDescent="0.15">
      <c r="A21" s="57"/>
      <c r="B21" s="26"/>
      <c r="C21" s="69"/>
      <c r="D21" s="11"/>
      <c r="E21" s="386"/>
      <c r="F21" s="121"/>
    </row>
    <row r="22" spans="1:13" x14ac:dyDescent="0.15">
      <c r="A22" s="57">
        <f>SUM(F7:F8)</f>
        <v>2</v>
      </c>
      <c r="B22" s="23" t="s">
        <v>160</v>
      </c>
      <c r="C22" s="69"/>
      <c r="D22" s="386">
        <f>A22*E22</f>
        <v>67924</v>
      </c>
      <c r="E22" s="386">
        <f>IF('VariablesINPUT-CTR'!C$27="Yes",'VariablesINPUT-CTR'!J29,
IF(OR('VariablesINPUT-CTR'!D$9="Point 2",'VariablesINPUT-CTR'!D$10="Point 2",'VariablesINPUT-CTR'!D$11="Point 2"),Wages!E20,
IF(OR('VariablesINPUT-CTR'!D$9="Baby Promise",'VariablesINPUT-CTR'!D$10="Baby Promise",'VariablesINPUT-CTR'!D$11="Preschool Promise"),Wages!E30,
IF(OR('VariablesINPUT-CTR'!D$9="EHS/Aspirational",'VariablesINPUT-CTR'!D$10="EHS/Aspirational",'VariablesINPUT-CTR'!D$11="Aspirational"),Wages!E40,Wages!E10))))</f>
        <v>33962</v>
      </c>
      <c r="F22" s="121"/>
      <c r="G22" s="74"/>
      <c r="H22" s="2"/>
      <c r="I22" s="2"/>
    </row>
    <row r="23" spans="1:13" x14ac:dyDescent="0.15">
      <c r="A23" s="57">
        <f>SUM(E7:E8)-A22</f>
        <v>2</v>
      </c>
      <c r="B23" s="23" t="s">
        <v>159</v>
      </c>
      <c r="C23" s="69"/>
      <c r="D23" s="386">
        <f>A23*E23</f>
        <v>65962</v>
      </c>
      <c r="E23" s="386">
        <f>IF('VariablesINPUT-CTR'!C$27="Yes",'VariablesINPUT-CTR'!J30,
IF(OR('VariablesINPUT-CTR'!D$9="Point 2",'VariablesINPUT-CTR'!D$10="Point 2",'VariablesINPUT-CTR'!D$11="Point 2"),Wages!F20,
IF(OR('VariablesINPUT-CTR'!D$9="Baby Promise",'VariablesINPUT-CTR'!D$10="Baby Promise",'VariablesINPUT-CTR'!D$11="Preschool Promise"),Wages!F30,
IF(OR('VariablesINPUT-CTR'!D$9="EHS/Aspirational",'VariablesINPUT-CTR'!D$10="EHS/Aspirational",'VariablesINPUT-CTR'!D$11="Aspirational"),Wages!F40,Wages!F10))))</f>
        <v>32981</v>
      </c>
      <c r="F23" s="121"/>
      <c r="G23" s="74"/>
    </row>
    <row r="24" spans="1:13" x14ac:dyDescent="0.15">
      <c r="A24" s="57">
        <f>PreschoolersClassroom</f>
        <v>1</v>
      </c>
      <c r="B24" s="23" t="s">
        <v>289</v>
      </c>
      <c r="C24" s="69"/>
      <c r="D24" s="386">
        <f>A24*E24</f>
        <v>34510</v>
      </c>
      <c r="E24" s="386">
        <f>IF('VariablesINPUT-CTR'!C$27="Yes",'VariablesINPUT-CTR'!J31,
IF(OR('VariablesINPUT-CTR'!D$9="Baby Promise",'VariablesINPUT-CTR'!D$10="Baby Promise",'VariablesINPUT-CTR'!D$11="Preschool Promise"),Wages!G30,Wages!G10))</f>
        <v>34510</v>
      </c>
      <c r="F24" s="121"/>
      <c r="G24" s="74"/>
    </row>
    <row r="25" spans="1:13" x14ac:dyDescent="0.15">
      <c r="A25" s="57">
        <f>E9-A24</f>
        <v>1</v>
      </c>
      <c r="B25" s="23" t="s">
        <v>290</v>
      </c>
      <c r="C25" s="69"/>
      <c r="D25" s="386">
        <f t="shared" ref="D25" si="2">A25*E25</f>
        <v>28973</v>
      </c>
      <c r="E25" s="386">
        <f>IF('VariablesINPUT-CTR'!C$27="Yes",'VariablesINPUT-CTR'!J32,
IF(OR('VariablesINPUT-CTR'!D$9="Point 2",'VariablesINPUT-CTR'!D$10="Point 2",'VariablesINPUT-CTR'!D$11="Point 2"),Wages!H20,
IF(OR('VariablesINPUT-CTR'!D$9="Baby Promise",'VariablesINPUT-CTR'!D$10="Baby Promise",'VariablesINPUT-CTR'!D$11="Preschool Promise"),Wages!H30,
IF(OR('VariablesINPUT-CTR'!D$9="Aspirational",'VariablesINPUT-CTR'!D$10="Aspirational",'VariablesINPUT-CTR'!D$11="Aspirational"),Wages!H40,Wages!H10))))</f>
        <v>28973</v>
      </c>
      <c r="F25" s="121"/>
      <c r="G25" s="74"/>
    </row>
    <row r="26" spans="1:13" x14ac:dyDescent="0.15">
      <c r="A26" s="57">
        <f>SchoolageClassroom</f>
        <v>1</v>
      </c>
      <c r="B26" s="23" t="s">
        <v>278</v>
      </c>
      <c r="C26" s="69"/>
      <c r="D26" s="386">
        <f>A26*E26*60%</f>
        <v>20706</v>
      </c>
      <c r="E26" s="386">
        <f>E24</f>
        <v>34510</v>
      </c>
      <c r="F26" s="121"/>
      <c r="G26" s="74"/>
    </row>
    <row r="27" spans="1:13" x14ac:dyDescent="0.15">
      <c r="A27" s="57">
        <f>E10-A26</f>
        <v>1</v>
      </c>
      <c r="B27" s="23" t="s">
        <v>277</v>
      </c>
      <c r="C27" s="69"/>
      <c r="D27" s="386">
        <f>A27*E27*60%</f>
        <v>17383.8</v>
      </c>
      <c r="E27" s="386">
        <f>E25</f>
        <v>28973</v>
      </c>
      <c r="F27" s="121"/>
      <c r="G27" s="74"/>
    </row>
    <row r="28" spans="1:13" x14ac:dyDescent="0.15">
      <c r="A28" s="57">
        <f>SUM(E7:E9)*F12</f>
        <v>1.2000000000000002</v>
      </c>
      <c r="B28" s="24" t="s">
        <v>55</v>
      </c>
      <c r="C28" s="69"/>
      <c r="D28" s="265">
        <f>E28*A28</f>
        <v>36370.800000000003</v>
      </c>
      <c r="E28" s="386">
        <f>AVERAGE(E23,E25,E27)</f>
        <v>30309</v>
      </c>
      <c r="G28" s="121"/>
    </row>
    <row r="29" spans="1:13" x14ac:dyDescent="0.15">
      <c r="A29" s="388">
        <f>'VariablesINPUT-CTR'!D35</f>
        <v>0</v>
      </c>
      <c r="B29" s="24" t="s">
        <v>318</v>
      </c>
      <c r="C29" s="69"/>
      <c r="D29" s="387">
        <f>E29*A29</f>
        <v>0</v>
      </c>
      <c r="E29" s="344">
        <f>AVERAGE(E23,E25,E27)</f>
        <v>30309</v>
      </c>
      <c r="G29" s="121"/>
    </row>
    <row r="30" spans="1:13" x14ac:dyDescent="0.15">
      <c r="A30" s="65">
        <f>SUM(A22:A28)</f>
        <v>9.1999999999999993</v>
      </c>
      <c r="B30" s="26" t="s">
        <v>72</v>
      </c>
      <c r="D30" s="64">
        <f>SUM(D22:D29)</f>
        <v>271829.59999999998</v>
      </c>
      <c r="F30" s="64"/>
      <c r="M30" s="11"/>
    </row>
    <row r="31" spans="1:13" x14ac:dyDescent="0.15">
      <c r="B31" s="26" t="s">
        <v>73</v>
      </c>
      <c r="D31" s="11">
        <f>D20+D30</f>
        <v>398232.3</v>
      </c>
      <c r="F31" s="11"/>
    </row>
    <row r="32" spans="1:13" ht="7.5" customHeight="1" x14ac:dyDescent="0.15">
      <c r="B32" s="26"/>
    </row>
    <row r="33" spans="2:8" x14ac:dyDescent="0.15">
      <c r="B33" s="23" t="s">
        <v>61</v>
      </c>
      <c r="D33" s="11">
        <f>SUM(A22:A25,A28)*E33*8*(E28/2080)</f>
        <v>8393.2615384615383</v>
      </c>
      <c r="E33" s="306">
        <f>Paid_Leave</f>
        <v>10</v>
      </c>
      <c r="F33" s="23" t="s">
        <v>74</v>
      </c>
    </row>
    <row r="34" spans="2:8" x14ac:dyDescent="0.15">
      <c r="B34" s="23" t="s">
        <v>62</v>
      </c>
      <c r="D34" s="11">
        <f>SUM(A22:A25,A28)*E34*8*(E28/2080)</f>
        <v>8393.2615384615383</v>
      </c>
      <c r="E34" s="306">
        <f>Sick_Days</f>
        <v>10</v>
      </c>
      <c r="F34" s="23" t="s">
        <v>60</v>
      </c>
    </row>
    <row r="35" spans="2:8" x14ac:dyDescent="0.15">
      <c r="B35" s="30" t="s">
        <v>291</v>
      </c>
      <c r="D35" s="344">
        <f>_NumberTeachingStaff*(E28/2080)*E35</f>
        <v>2010.8855769230768</v>
      </c>
      <c r="E35" s="23">
        <v>15</v>
      </c>
      <c r="F35" s="23" t="s">
        <v>292</v>
      </c>
    </row>
    <row r="36" spans="2:8" x14ac:dyDescent="0.15">
      <c r="B36" s="26" t="s">
        <v>70</v>
      </c>
      <c r="D36" s="265">
        <f>SUM(D33:D35)</f>
        <v>18797.408653846152</v>
      </c>
      <c r="F36" s="23" t="s">
        <v>165</v>
      </c>
    </row>
    <row r="37" spans="2:8" ht="6.5" customHeight="1" x14ac:dyDescent="0.15">
      <c r="B37" s="26"/>
      <c r="D37" s="10"/>
    </row>
    <row r="38" spans="2:8" x14ac:dyDescent="0.15">
      <c r="B38" s="26" t="s">
        <v>7</v>
      </c>
      <c r="C38" s="316"/>
      <c r="D38" s="12">
        <f>D31+D36</f>
        <v>417029.70865384612</v>
      </c>
    </row>
    <row r="39" spans="2:8" x14ac:dyDescent="0.15">
      <c r="B39" s="56" t="s">
        <v>14</v>
      </c>
    </row>
    <row r="40" spans="2:8" x14ac:dyDescent="0.15">
      <c r="B40" s="23" t="s">
        <v>50</v>
      </c>
      <c r="C40" s="62">
        <v>6.2E-2</v>
      </c>
      <c r="D40" s="11">
        <f>C40*D38</f>
        <v>25855.841936538458</v>
      </c>
    </row>
    <row r="41" spans="2:8" ht="12.5" customHeight="1" x14ac:dyDescent="0.15">
      <c r="B41" s="23" t="s">
        <v>15</v>
      </c>
      <c r="C41" s="62">
        <v>1.4500000000000001E-2</v>
      </c>
      <c r="D41" s="11">
        <f>C41*D38</f>
        <v>6046.9307754807687</v>
      </c>
      <c r="G41" s="17"/>
    </row>
    <row r="42" spans="2:8" ht="18.5" customHeight="1" x14ac:dyDescent="0.15">
      <c r="B42" s="23" t="s">
        <v>89</v>
      </c>
      <c r="C42" s="85">
        <v>0.01</v>
      </c>
      <c r="D42" s="11">
        <f>C42*((7000*A16)+SUM(D33:D34))</f>
        <v>1021.8652307692307</v>
      </c>
      <c r="E42" s="67"/>
      <c r="F42" s="30"/>
    </row>
    <row r="43" spans="2:8" ht="12.5" customHeight="1" x14ac:dyDescent="0.15">
      <c r="B43" s="23" t="s">
        <v>16</v>
      </c>
      <c r="C43" s="85">
        <v>0.02</v>
      </c>
      <c r="D43" s="11">
        <f>C43*D38</f>
        <v>8340.5941730769227</v>
      </c>
      <c r="E43" s="67"/>
      <c r="F43" s="30"/>
    </row>
    <row r="44" spans="2:8" ht="12.5" customHeight="1" x14ac:dyDescent="0.15">
      <c r="B44" s="26" t="s">
        <v>8</v>
      </c>
      <c r="C44" s="62">
        <f>SUM(C40:C43)</f>
        <v>0.1065</v>
      </c>
      <c r="D44" s="11">
        <f>SUM(D40:D43)</f>
        <v>41265.232115865379</v>
      </c>
      <c r="E44" s="11"/>
      <c r="F44" s="317"/>
      <c r="G44" s="17"/>
    </row>
    <row r="45" spans="2:8" x14ac:dyDescent="0.15">
      <c r="B45" s="56" t="s">
        <v>63</v>
      </c>
      <c r="C45" s="310"/>
      <c r="D45" s="13"/>
      <c r="E45" s="11"/>
    </row>
    <row r="46" spans="2:8" x14ac:dyDescent="0.15">
      <c r="B46" s="30" t="s">
        <v>66</v>
      </c>
      <c r="C46" s="118">
        <v>5496</v>
      </c>
      <c r="D46" s="10">
        <f>IF(HealthIns="Yes", (Addl_benefits_per_staff*A16), 0)</f>
        <v>67051.199999999997</v>
      </c>
      <c r="E46" s="2" t="s">
        <v>162</v>
      </c>
      <c r="F46" s="2"/>
    </row>
    <row r="47" spans="2:8" x14ac:dyDescent="0.15">
      <c r="B47" s="16" t="s">
        <v>5</v>
      </c>
      <c r="C47" s="13"/>
      <c r="D47" s="12">
        <f>D38+D44+D46</f>
        <v>525346.14076971146</v>
      </c>
      <c r="E47" s="69">
        <f>D47/D68</f>
        <v>0.74445050816917724</v>
      </c>
      <c r="F47" s="23" t="s">
        <v>4</v>
      </c>
    </row>
    <row r="48" spans="2:8" x14ac:dyDescent="0.15">
      <c r="B48" s="16"/>
      <c r="C48" s="13"/>
      <c r="D48" s="12"/>
      <c r="E48" s="69"/>
      <c r="H48" s="26"/>
    </row>
    <row r="49" spans="1:9" x14ac:dyDescent="0.15">
      <c r="B49" s="107" t="s">
        <v>153</v>
      </c>
      <c r="C49" s="13"/>
      <c r="D49" s="12"/>
      <c r="E49" s="69"/>
      <c r="H49" s="26"/>
    </row>
    <row r="50" spans="1:9" x14ac:dyDescent="0.15">
      <c r="B50" s="30" t="str">
        <f>QualVar!A8</f>
        <v>Family Engagement</v>
      </c>
      <c r="C50" s="13"/>
      <c r="D50" s="11">
        <f>IF('VariablesINPUT-CTR'!D31=QualVar!B8,QualVar!B12,IF('VariablesINPUT-CTR'!D31=QualVar!C8,QualVar!C12,IF('VariablesINPUT-CTR'!D31=QualVar!D8,QualVar!D12,0)))</f>
        <v>0</v>
      </c>
      <c r="E50" s="69"/>
      <c r="H50" s="26"/>
    </row>
    <row r="51" spans="1:9" x14ac:dyDescent="0.15">
      <c r="B51" s="30" t="str">
        <f>QualVar!A14</f>
        <v>Professional Development Supports</v>
      </c>
      <c r="C51" s="13"/>
      <c r="D51" s="11">
        <f>IF('VariablesINPUT-CTR'!D32=QualVar!B14,QualVar!B17,IF('VariablesINPUT-CTR'!D32=QualVar!C14,QualVar!C17,IF('VariablesINPUT-CTR'!D32=QualVar!D14,QualVar!D17,0)))</f>
        <v>0</v>
      </c>
      <c r="E51" s="69"/>
      <c r="H51" s="26"/>
    </row>
    <row r="52" spans="1:9" x14ac:dyDescent="0.15">
      <c r="B52" s="30" t="str">
        <f>QualVar!A19</f>
        <v>Planning/Release Time</v>
      </c>
      <c r="C52" s="13"/>
      <c r="D52" s="11">
        <f>IF('VariablesINPUT-CTR'!D33=QualVar!B19,QualVar!B20,IF('VariablesINPUT-CTR'!D33=QualVar!C19,QualVar!C20,IF('VariablesINPUT-CTR'!D33=QualVar!D19,QualVar!D20,0)))</f>
        <v>0</v>
      </c>
      <c r="E52" s="69"/>
      <c r="H52" s="26"/>
    </row>
    <row r="53" spans="1:9" x14ac:dyDescent="0.15">
      <c r="B53" s="107" t="s">
        <v>154</v>
      </c>
      <c r="C53" s="13"/>
      <c r="D53" s="12"/>
      <c r="E53" s="69"/>
      <c r="H53" s="26"/>
    </row>
    <row r="54" spans="1:9" x14ac:dyDescent="0.15">
      <c r="B54" s="30" t="str">
        <f>B50</f>
        <v>Family Engagement</v>
      </c>
      <c r="C54" s="13"/>
      <c r="D54" s="11">
        <f>IF('VariablesINPUT-CTR'!E31=QualVar!B28,QualVar!B32,
IF('VariablesINPUT-CTR'!E31=QualVar!C28,QualVar!C32,
IF('VariablesINPUT-CTR'!E31=QualVar!D28,QualVar!D32,
IF('VariablesINPUT-CTR'!E31=QualVar!D28,QualVar!E32,0))))</f>
        <v>0</v>
      </c>
      <c r="E54" s="69"/>
      <c r="H54" s="26"/>
    </row>
    <row r="55" spans="1:9" x14ac:dyDescent="0.15">
      <c r="B55" s="30" t="str">
        <f>B51</f>
        <v>Professional Development Supports</v>
      </c>
      <c r="C55" s="13"/>
      <c r="D55" s="11">
        <f>IF('VariablesINPUT-CTR'!E32=QualVar!B34,QualVar!B37,
IF('VariablesINPUT-CTR'!E32=QualVar!C34,QualVar!C37,
IF('VariablesINPUT-CTR'!E32=QualVar!D34,QualVar!D37,
IF('VariablesINPUT-CTR'!E32=QualVar!D34,QualVar!E37,0))))</f>
        <v>0</v>
      </c>
      <c r="E55" s="69"/>
      <c r="H55" s="26"/>
    </row>
    <row r="56" spans="1:9" x14ac:dyDescent="0.15">
      <c r="B56" s="30" t="str">
        <f>B52</f>
        <v>Planning/Release Time</v>
      </c>
      <c r="C56" s="13"/>
      <c r="D56" s="11">
        <f>IF('VariablesINPUT-CTR'!E33=QualVar!B39,QualVar!B40,
IF('VariablesINPUT-CTR'!E33=QualVar!C39,QualVar!C40,
IF('VariablesINPUT-CTR'!E33=QualVar!D39,QualVar!D40,
IF('VariablesINPUT-CTR'!E33=QualVar!D39,QualVar!E40,0))))</f>
        <v>0</v>
      </c>
      <c r="E56" s="69"/>
      <c r="H56" s="26"/>
    </row>
    <row r="57" spans="1:9" x14ac:dyDescent="0.15">
      <c r="B57" s="16" t="s">
        <v>161</v>
      </c>
      <c r="C57" s="13"/>
      <c r="D57" s="12">
        <f>SUM(D50:D56)</f>
        <v>0</v>
      </c>
      <c r="E57" s="69"/>
      <c r="H57" s="26"/>
    </row>
    <row r="58" spans="1:9" x14ac:dyDescent="0.15">
      <c r="B58" s="16"/>
      <c r="C58" s="13"/>
      <c r="D58" s="12"/>
      <c r="E58" s="69"/>
      <c r="H58" s="26"/>
    </row>
    <row r="59" spans="1:9" x14ac:dyDescent="0.15">
      <c r="B59" s="1" t="s">
        <v>57</v>
      </c>
      <c r="C59" s="310"/>
      <c r="D59" s="13"/>
    </row>
    <row r="60" spans="1:9" ht="14" thickBot="1" x14ac:dyDescent="0.2">
      <c r="A60" s="61"/>
      <c r="B60" s="30" t="s">
        <v>58</v>
      </c>
      <c r="C60" s="310"/>
      <c r="D60" s="25">
        <f>'Nonpersonnel PCQC'!C40*TotalChildren</f>
        <v>87443.199999999983</v>
      </c>
    </row>
    <row r="61" spans="1:9" x14ac:dyDescent="0.15">
      <c r="A61" s="63"/>
      <c r="B61" s="30" t="s">
        <v>38</v>
      </c>
      <c r="C61" s="58"/>
      <c r="D61" s="25">
        <f>'Nonpersonnel PCQC'!C39*TotalClassrooms</f>
        <v>47290.6</v>
      </c>
      <c r="G61" s="318"/>
      <c r="H61" s="87" t="s">
        <v>82</v>
      </c>
      <c r="I61" s="319"/>
    </row>
    <row r="62" spans="1:9" x14ac:dyDescent="0.15">
      <c r="A62" s="61"/>
      <c r="B62" s="30" t="s">
        <v>59</v>
      </c>
      <c r="C62" s="58"/>
      <c r="D62" s="25">
        <f>'Nonpersonnel PCQC'!C38*TotalChildren</f>
        <v>11999.2</v>
      </c>
      <c r="E62" s="310"/>
      <c r="G62" s="320"/>
      <c r="H62" s="88" t="s">
        <v>102</v>
      </c>
      <c r="I62" s="321">
        <f>H7*Infants</f>
        <v>154084.69516857064</v>
      </c>
    </row>
    <row r="63" spans="1:9" x14ac:dyDescent="0.15">
      <c r="B63" s="30" t="s">
        <v>335</v>
      </c>
      <c r="C63" s="58"/>
      <c r="D63" s="25">
        <v>0</v>
      </c>
      <c r="E63" s="310"/>
      <c r="H63" s="88" t="s">
        <v>103</v>
      </c>
      <c r="I63" s="321">
        <f>H8*Toddlers</f>
        <v>168317.10573955945</v>
      </c>
    </row>
    <row r="64" spans="1:9" x14ac:dyDescent="0.15">
      <c r="A64" s="61"/>
      <c r="B64" s="16" t="s">
        <v>64</v>
      </c>
      <c r="C64" s="12"/>
      <c r="D64" s="60">
        <f>SUM(D60:D63)</f>
        <v>146733</v>
      </c>
      <c r="E64" s="69">
        <f>D64/D68</f>
        <v>0.20793044421177517</v>
      </c>
      <c r="F64" s="23" t="s">
        <v>4</v>
      </c>
      <c r="H64" s="88" t="s">
        <v>104</v>
      </c>
      <c r="I64" s="321">
        <f>H9*Preschoolers</f>
        <v>236019.15859450353</v>
      </c>
    </row>
    <row r="65" spans="1:13" x14ac:dyDescent="0.15">
      <c r="A65" s="61"/>
      <c r="B65" s="16"/>
      <c r="C65" s="12"/>
      <c r="D65" s="60"/>
      <c r="E65" s="69"/>
      <c r="H65" s="88" t="s">
        <v>118</v>
      </c>
      <c r="I65" s="327">
        <f>H10*Schoolagers</f>
        <v>147262.13830556351</v>
      </c>
    </row>
    <row r="66" spans="1:13" ht="13" customHeight="1" x14ac:dyDescent="0.15">
      <c r="A66" s="61"/>
      <c r="B66" s="30" t="s">
        <v>2</v>
      </c>
      <c r="D66" s="25">
        <f>E66*(Personnel+Nonpersonnel)</f>
        <v>33603.957038485576</v>
      </c>
      <c r="E66" s="315">
        <v>0.05</v>
      </c>
      <c r="F66" s="23" t="s">
        <v>4</v>
      </c>
      <c r="H66" s="89" t="s">
        <v>25</v>
      </c>
      <c r="I66" s="322">
        <f>SUM(I62:I65)</f>
        <v>705683.09780819714</v>
      </c>
      <c r="K66" s="26"/>
      <c r="L66" s="26"/>
      <c r="M66" s="11"/>
    </row>
    <row r="67" spans="1:13" ht="13" customHeight="1" x14ac:dyDescent="0.15">
      <c r="A67" s="61"/>
      <c r="B67" s="30"/>
      <c r="D67" s="25"/>
      <c r="E67" s="69"/>
      <c r="H67" s="89"/>
      <c r="I67" s="321"/>
      <c r="K67" s="26"/>
      <c r="L67" s="26"/>
      <c r="M67" s="11"/>
    </row>
    <row r="68" spans="1:13" ht="14" thickBot="1" x14ac:dyDescent="0.2">
      <c r="A68" s="75"/>
      <c r="B68" s="16" t="s">
        <v>65</v>
      </c>
      <c r="D68" s="47">
        <f>SUM(Personnel,QualityVarCost,Nonpersonnel,Reserve_Fund)</f>
        <v>705683.09780819702</v>
      </c>
      <c r="G68" s="75"/>
      <c r="H68" s="323"/>
      <c r="I68" s="324">
        <f>I66-D68</f>
        <v>0</v>
      </c>
    </row>
    <row r="69" spans="1:13" x14ac:dyDescent="0.15">
      <c r="D69" s="25"/>
      <c r="G69" s="103"/>
      <c r="H69" s="103"/>
      <c r="I69" s="103"/>
      <c r="J69" s="103"/>
      <c r="K69" s="103"/>
      <c r="L69" s="103"/>
    </row>
    <row r="70" spans="1:13" ht="14" x14ac:dyDescent="0.15">
      <c r="B70" s="236" t="s">
        <v>262</v>
      </c>
      <c r="C70" s="256" t="str">
        <f>'VariablesINPUT-CTR'!I62</f>
        <v>Urban</v>
      </c>
      <c r="D70" s="396" t="s">
        <v>333</v>
      </c>
      <c r="E70" s="336"/>
      <c r="I70" s="336" t="s">
        <v>179</v>
      </c>
      <c r="J70" s="336" t="s">
        <v>178</v>
      </c>
      <c r="K70" s="336" t="s">
        <v>177</v>
      </c>
    </row>
    <row r="71" spans="1:13" ht="14" x14ac:dyDescent="0.15">
      <c r="B71" s="236" t="s">
        <v>263</v>
      </c>
      <c r="C71" s="256" t="str">
        <f>'VariablesINPUT-CTR'!J62</f>
        <v>Cluster 3</v>
      </c>
      <c r="D71" s="396" t="s">
        <v>333</v>
      </c>
      <c r="I71" s="336" t="s">
        <v>175</v>
      </c>
      <c r="J71" s="336" t="s">
        <v>258</v>
      </c>
      <c r="K71" s="336" t="s">
        <v>259</v>
      </c>
      <c r="L71" s="336" t="s">
        <v>260</v>
      </c>
      <c r="M71" s="336" t="s">
        <v>261</v>
      </c>
    </row>
    <row r="72" spans="1:13" x14ac:dyDescent="0.15">
      <c r="A72" s="23" t="s">
        <v>226</v>
      </c>
      <c r="C72" s="26"/>
      <c r="D72" s="341"/>
      <c r="E72" s="342"/>
      <c r="F72" s="343"/>
      <c r="G72" s="343"/>
      <c r="H72" s="343"/>
      <c r="I72" s="248"/>
    </row>
    <row r="73" spans="1:13" x14ac:dyDescent="0.15">
      <c r="A73" s="332">
        <f>SUM(A75:A82)</f>
        <v>68</v>
      </c>
      <c r="B73" s="1" t="s">
        <v>209</v>
      </c>
      <c r="C73" s="23" t="s">
        <v>218</v>
      </c>
      <c r="D73" s="75"/>
      <c r="E73" s="75"/>
      <c r="F73" s="75"/>
      <c r="G73" s="75"/>
      <c r="H73" s="75"/>
      <c r="I73" s="248"/>
    </row>
    <row r="74" spans="1:13" x14ac:dyDescent="0.15">
      <c r="A74" s="74"/>
      <c r="B74" s="23" t="s">
        <v>219</v>
      </c>
      <c r="C74" s="389"/>
      <c r="D74" s="335">
        <f>SUM(('VariablesINPUT-CTR'!C53*SUM(AVERAGE('Fed CACFP'!J7:J8)*52)),
(SUM('VariablesINPUT-CTR'!D53:H53)*SUM(AVERAGE('Fed CACFP'!J6:J8)*52)),
)</f>
        <v>81151.199999999997</v>
      </c>
      <c r="E74" s="249"/>
      <c r="F74" s="75"/>
      <c r="G74" s="75"/>
      <c r="H74" s="75"/>
      <c r="I74" s="248"/>
    </row>
    <row r="75" spans="1:13" x14ac:dyDescent="0.15">
      <c r="A75" s="74">
        <f>'VariablesINPUT-CTR'!H48</f>
        <v>8</v>
      </c>
      <c r="B75" s="23" t="s">
        <v>220</v>
      </c>
      <c r="C75" s="389">
        <f>IF(C$71="Statewide",'Tuition Rates'!D3,IF(C$71="Cluster 1",'Tuition Rates'!B27,IF(C$71="Cluster 2",'Tuition Rates'!C27,IF(C$71="Cluster 3",'Tuition Rates'!D27,IF(C$71="Cluster 4",'Tuition Rates'!E27,0)))))*12</f>
        <v>17640</v>
      </c>
      <c r="D75" s="325">
        <f t="shared" ref="D75:D78" si="3">A75*C75</f>
        <v>141120</v>
      </c>
      <c r="E75" s="25"/>
      <c r="F75" s="392"/>
      <c r="I75" s="11"/>
    </row>
    <row r="76" spans="1:13" x14ac:dyDescent="0.15">
      <c r="A76" s="74">
        <f>'VariablesINPUT-CTR'!H49</f>
        <v>10</v>
      </c>
      <c r="B76" s="23" t="s">
        <v>221</v>
      </c>
      <c r="C76" s="389">
        <f>IF(C$71="Statewide",'Tuition Rates'!D4,IF(C$71="Cluster 1",'Tuition Rates'!B28,IF(C$71="Cluster 2",'Tuition Rates'!C28,IF(C$71="Cluster 3",'Tuition Rates'!D28,IF(C$71="Cluster 4",'Tuition Rates'!E28,0)))))*12</f>
        <v>17484</v>
      </c>
      <c r="D76" s="325">
        <f t="shared" si="3"/>
        <v>174840</v>
      </c>
      <c r="E76" s="25"/>
      <c r="F76" s="392"/>
      <c r="I76" s="11"/>
    </row>
    <row r="77" spans="1:13" x14ac:dyDescent="0.15">
      <c r="A77" s="74">
        <f>'VariablesINPUT-CTR'!H50</f>
        <v>20</v>
      </c>
      <c r="B77" s="23" t="s">
        <v>222</v>
      </c>
      <c r="C77" s="389">
        <f>IF(C$71="Statewide",'Tuition Rates'!D5,IF(C$71="Cluster 1",'Tuition Rates'!B29,IF(C$71="Cluster 2",'Tuition Rates'!C29,IF(C$71="Cluster 3",'Tuition Rates'!D29,IF(C$71="Cluster 4",'Tuition Rates'!E29,0)))))*12</f>
        <v>13620</v>
      </c>
      <c r="D77" s="325">
        <f t="shared" si="3"/>
        <v>272400</v>
      </c>
      <c r="E77" s="25"/>
      <c r="F77" s="392"/>
      <c r="I77" s="11"/>
    </row>
    <row r="78" spans="1:13" x14ac:dyDescent="0.15">
      <c r="A78" s="74">
        <f>'VariablesINPUT-CTR'!H51</f>
        <v>30</v>
      </c>
      <c r="B78" s="23" t="s">
        <v>223</v>
      </c>
      <c r="C78" s="389">
        <f>IF(C$71="Statewide",'Tuition Rates'!D6,IF(C$71="Cluster 1",'Tuition Rates'!B30,IF(C$71="Cluster 2",'Tuition Rates'!C30,IF(C$71="Cluster 3",'Tuition Rates'!D30,IF(C$71="Cluster 4",'Tuition Rates'!E30,0)))))*12</f>
        <v>7800</v>
      </c>
      <c r="D78" s="325">
        <f t="shared" si="3"/>
        <v>234000</v>
      </c>
      <c r="E78" s="25"/>
      <c r="F78" s="392"/>
    </row>
    <row r="79" spans="1:13" x14ac:dyDescent="0.15">
      <c r="A79" s="74">
        <f>'VariablesINPUT-CTR'!C48</f>
        <v>0</v>
      </c>
      <c r="B79" s="23" t="s">
        <v>227</v>
      </c>
      <c r="C79" s="333">
        <f>IF(C$70="Urban",'Subsidy Rates'!H3,IF(C$70="Suburban",'Subsidy Rates'!H12,'Subsidy Rates'!H21))*12</f>
        <v>16980</v>
      </c>
      <c r="D79" s="325">
        <f>A79*C79</f>
        <v>0</v>
      </c>
      <c r="E79" s="25"/>
      <c r="F79" s="392">
        <f>C79/12</f>
        <v>1415</v>
      </c>
    </row>
    <row r="80" spans="1:13" x14ac:dyDescent="0.15">
      <c r="A80" s="74">
        <f>'VariablesINPUT-CTR'!C49</f>
        <v>0</v>
      </c>
      <c r="B80" s="23" t="s">
        <v>228</v>
      </c>
      <c r="C80" s="333">
        <f>IF(C$70="Urban",'Subsidy Rates'!H4,IF(C$70="Suburban",'Subsidy Rates'!H13,'Subsidy Rates'!H22))*12</f>
        <v>16848</v>
      </c>
      <c r="D80" s="325">
        <f t="shared" ref="D80:D87" si="4">A80*C80</f>
        <v>0</v>
      </c>
      <c r="E80" s="25"/>
      <c r="I80" s="11"/>
    </row>
    <row r="81" spans="1:9" x14ac:dyDescent="0.15">
      <c r="A81" s="74">
        <f>'VariablesINPUT-CTR'!C50</f>
        <v>0</v>
      </c>
      <c r="B81" s="23" t="s">
        <v>229</v>
      </c>
      <c r="C81" s="333">
        <f>IF(C$70="Urban",'Subsidy Rates'!H5,IF(C$70="Suburban",'Subsidy Rates'!H14,'Subsidy Rates'!H23))*12</f>
        <v>12720</v>
      </c>
      <c r="D81" s="325">
        <f t="shared" si="4"/>
        <v>0</v>
      </c>
      <c r="E81" s="25"/>
      <c r="I81" s="11"/>
    </row>
    <row r="82" spans="1:9" x14ac:dyDescent="0.15">
      <c r="A82" s="74">
        <f>'VariablesINPUT-CTR'!C51</f>
        <v>0</v>
      </c>
      <c r="B82" s="23" t="s">
        <v>230</v>
      </c>
      <c r="C82" s="333">
        <f>IF(C$70="Urban",'Subsidy Rates'!K6,IF(C$70="Suburban",'Subsidy Rates'!K15,'Subsidy Rates'!K24))*12</f>
        <v>7692</v>
      </c>
      <c r="D82" s="325">
        <f t="shared" si="4"/>
        <v>0</v>
      </c>
      <c r="E82" s="25"/>
      <c r="F82" s="23" t="s">
        <v>337</v>
      </c>
    </row>
    <row r="83" spans="1:9" x14ac:dyDescent="0.15">
      <c r="A83" s="74">
        <f>'VariablesINPUT-CTR'!C52</f>
        <v>0</v>
      </c>
      <c r="B83" s="23" t="s">
        <v>319</v>
      </c>
      <c r="C83" s="333">
        <f>IF(C$70="Urban",'Subsidy Rates'!H7,IF(C$70="Suburban",'Subsidy Rates'!H16,'Subsidy Rates'!H25))*12</f>
        <v>16980</v>
      </c>
      <c r="D83" s="325">
        <f>A83*C83</f>
        <v>0</v>
      </c>
      <c r="E83" s="25"/>
    </row>
    <row r="84" spans="1:9" x14ac:dyDescent="0.15">
      <c r="A84" s="74">
        <f>SUM('VariablesINPUT-CTR'!D48:D49)</f>
        <v>0</v>
      </c>
      <c r="B84" s="23" t="s">
        <v>115</v>
      </c>
      <c r="C84" s="325">
        <f>'Promise Rates'!B2</f>
        <v>15000</v>
      </c>
      <c r="D84" s="325">
        <f t="shared" si="4"/>
        <v>0</v>
      </c>
      <c r="E84" s="25"/>
    </row>
    <row r="85" spans="1:9" x14ac:dyDescent="0.15">
      <c r="A85" s="74">
        <f>SUM('VariablesINPUT-CTR'!E48:E49)</f>
        <v>0</v>
      </c>
      <c r="B85" s="23" t="s">
        <v>213</v>
      </c>
      <c r="C85" s="325">
        <f>'Promise Rates'!B3</f>
        <v>13300</v>
      </c>
      <c r="D85" s="325">
        <f>A85*C85</f>
        <v>0</v>
      </c>
      <c r="E85" s="25"/>
    </row>
    <row r="86" spans="1:9" x14ac:dyDescent="0.15">
      <c r="A86" s="74">
        <f>'VariablesINPUT-CTR'!F50</f>
        <v>0</v>
      </c>
      <c r="B86" s="23" t="s">
        <v>116</v>
      </c>
      <c r="C86" s="325">
        <f>'Promise Rates'!B5</f>
        <v>12000</v>
      </c>
      <c r="D86" s="325">
        <f t="shared" si="4"/>
        <v>0</v>
      </c>
      <c r="E86" s="25"/>
    </row>
    <row r="87" spans="1:9" x14ac:dyDescent="0.15">
      <c r="A87" s="74">
        <f>'VariablesINPUT-CTR'!G50</f>
        <v>0</v>
      </c>
      <c r="B87" s="23" t="s">
        <v>268</v>
      </c>
      <c r="C87" s="325">
        <f>'Promise Rates'!B7</f>
        <v>9208</v>
      </c>
      <c r="D87" s="325">
        <f t="shared" si="4"/>
        <v>0</v>
      </c>
      <c r="E87" s="25"/>
    </row>
    <row r="88" spans="1:9" x14ac:dyDescent="0.15">
      <c r="B88" s="23" t="s">
        <v>224</v>
      </c>
      <c r="D88" s="326"/>
      <c r="E88" s="25"/>
    </row>
    <row r="89" spans="1:9" x14ac:dyDescent="0.15">
      <c r="B89" s="22"/>
      <c r="D89" s="334">
        <f>SUM(D74:D88)</f>
        <v>903511.2</v>
      </c>
      <c r="E89" s="24" t="s">
        <v>225</v>
      </c>
    </row>
    <row r="91" spans="1:9" x14ac:dyDescent="0.15">
      <c r="B91" s="246" t="s">
        <v>252</v>
      </c>
      <c r="C91" s="75"/>
      <c r="D91" s="75"/>
      <c r="E91" s="75"/>
      <c r="F91" s="75"/>
    </row>
    <row r="92" spans="1:9" x14ac:dyDescent="0.15">
      <c r="B92" s="75" t="s">
        <v>253</v>
      </c>
      <c r="C92" s="247">
        <f>BadDebt</f>
        <v>0.03</v>
      </c>
      <c r="D92" s="248">
        <f>C92*(D89-D88)</f>
        <v>27105.335999999999</v>
      </c>
      <c r="E92" s="75"/>
      <c r="F92" s="75"/>
    </row>
    <row r="93" spans="1:9" x14ac:dyDescent="0.15">
      <c r="B93" s="75" t="s">
        <v>254</v>
      </c>
      <c r="C93" s="247">
        <f>EnrollEffic</f>
        <v>0.85</v>
      </c>
      <c r="D93" s="249">
        <f>(1-C93)*(D89-D92-D88)</f>
        <v>131460.87960000001</v>
      </c>
      <c r="E93" s="75"/>
      <c r="F93" s="75"/>
    </row>
    <row r="94" spans="1:9" x14ac:dyDescent="0.15">
      <c r="B94" s="75"/>
      <c r="C94" s="250"/>
      <c r="D94" s="251">
        <f>D89-D92-D93</f>
        <v>744944.98439999996</v>
      </c>
      <c r="E94" s="252" t="s">
        <v>255</v>
      </c>
      <c r="F94" s="75"/>
    </row>
    <row r="95" spans="1:9" x14ac:dyDescent="0.15">
      <c r="B95" s="253" t="s">
        <v>256</v>
      </c>
      <c r="C95" s="253"/>
      <c r="D95" s="254">
        <f>D94-D68</f>
        <v>39261.886591802933</v>
      </c>
      <c r="E95" s="255">
        <f>D95/D68</f>
        <v>5.5636711030415273E-2</v>
      </c>
      <c r="F95" s="253" t="s">
        <v>4</v>
      </c>
    </row>
  </sheetData>
  <mergeCells count="2">
    <mergeCell ref="G12:I12"/>
    <mergeCell ref="G13:I14"/>
  </mergeCells>
  <phoneticPr fontId="8" type="noConversion"/>
  <conditionalFormatting sqref="I68">
    <cfRule type="cellIs" dxfId="0" priority="1" operator="lessThan">
      <formula>0</formula>
    </cfRule>
  </conditionalFormatting>
  <pageMargins left="0.25" right="0.25" top="0.25" bottom="0.25" header="0" footer="0"/>
  <pageSetup paperSize="5" scale="92" orientation="landscape" horizontalDpi="4294967293" verticalDpi="0" r:id="rId1"/>
  <headerFooter alignWithMargins="0"/>
  <rowBreaks count="1" manualBreakCount="1">
    <brk id="47" max="16383" man="1"/>
  </rowBreaks>
  <colBreaks count="1" manualBreakCount="1">
    <brk id="1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CF50A-16A9-AD4C-8EEA-3C56E15DD8AF}">
  <sheetPr>
    <tabColor theme="6"/>
  </sheetPr>
  <dimension ref="A1:F40"/>
  <sheetViews>
    <sheetView zoomScale="140" zoomScaleNormal="140" workbookViewId="0">
      <selection activeCell="E23" sqref="E23"/>
    </sheetView>
  </sheetViews>
  <sheetFormatPr baseColWidth="10" defaultRowHeight="13" x14ac:dyDescent="0.15"/>
  <cols>
    <col min="1" max="1" width="37.1640625" customWidth="1"/>
    <col min="2" max="3" width="14" customWidth="1"/>
    <col min="4" max="4" width="11.1640625" bestFit="1" customWidth="1"/>
  </cols>
  <sheetData>
    <row r="1" spans="1:6" x14ac:dyDescent="0.15">
      <c r="A1" s="273" t="s">
        <v>148</v>
      </c>
      <c r="B1" s="274">
        <f>'Quality Center Profile'!E28/2080</f>
        <v>14.571634615384616</v>
      </c>
    </row>
    <row r="2" spans="1:6" x14ac:dyDescent="0.15">
      <c r="A2" s="55"/>
      <c r="B2" s="112"/>
    </row>
    <row r="3" spans="1:6" s="215" customFormat="1" x14ac:dyDescent="0.15">
      <c r="A3" s="213" t="s">
        <v>206</v>
      </c>
      <c r="B3" s="214"/>
    </row>
    <row r="4" spans="1:6" x14ac:dyDescent="0.15">
      <c r="A4" s="92" t="s">
        <v>152</v>
      </c>
      <c r="B4" s="66">
        <f>SUM('Quality Center Profile'!A7:A8)</f>
        <v>18</v>
      </c>
    </row>
    <row r="5" spans="1:6" x14ac:dyDescent="0.15">
      <c r="A5" s="34" t="s">
        <v>156</v>
      </c>
      <c r="B5" s="116">
        <f>'Quality Center Profile'!A22</f>
        <v>2</v>
      </c>
    </row>
    <row r="6" spans="1:6" x14ac:dyDescent="0.15">
      <c r="A6" s="72" t="s">
        <v>157</v>
      </c>
      <c r="B6" s="117">
        <f>'Quality Center Profile'!A23</f>
        <v>2</v>
      </c>
    </row>
    <row r="7" spans="1:6" x14ac:dyDescent="0.15">
      <c r="A7" s="23"/>
    </row>
    <row r="8" spans="1:6" x14ac:dyDescent="0.15">
      <c r="A8" s="211" t="s">
        <v>117</v>
      </c>
      <c r="B8" s="1" t="s">
        <v>119</v>
      </c>
      <c r="C8" s="1" t="s">
        <v>115</v>
      </c>
      <c r="D8" s="1" t="s">
        <v>305</v>
      </c>
    </row>
    <row r="9" spans="1:6" x14ac:dyDescent="0.15">
      <c r="A9" s="23" t="s">
        <v>138</v>
      </c>
      <c r="C9" s="8">
        <f>1*B4*B1*2</f>
        <v>524.57884615384614</v>
      </c>
      <c r="D9" s="15">
        <f>1*B4*B1*2</f>
        <v>524.57884615384614</v>
      </c>
      <c r="E9" s="23" t="s">
        <v>142</v>
      </c>
    </row>
    <row r="10" spans="1:6" x14ac:dyDescent="0.15">
      <c r="A10" s="23" t="s">
        <v>139</v>
      </c>
      <c r="C10" s="8">
        <f>1*B4*B1</f>
        <v>262.28942307692307</v>
      </c>
      <c r="E10" s="23" t="s">
        <v>141</v>
      </c>
    </row>
    <row r="11" spans="1:6" x14ac:dyDescent="0.15">
      <c r="A11" s="23" t="s">
        <v>140</v>
      </c>
      <c r="D11" s="114">
        <f>B4/35*E11</f>
        <v>19028.571428571428</v>
      </c>
      <c r="E11" s="11">
        <v>37000</v>
      </c>
      <c r="F11" s="23" t="s">
        <v>143</v>
      </c>
    </row>
    <row r="12" spans="1:6" x14ac:dyDescent="0.15">
      <c r="A12" s="110" t="s">
        <v>25</v>
      </c>
      <c r="B12" s="35">
        <f>SUM(B9:B11)</f>
        <v>0</v>
      </c>
      <c r="C12" s="113">
        <f>SUM(C9:C11)</f>
        <v>786.86826923076922</v>
      </c>
      <c r="D12" s="113">
        <f>SUM(D9:D11)</f>
        <v>19553.150274725274</v>
      </c>
    </row>
    <row r="14" spans="1:6" x14ac:dyDescent="0.15">
      <c r="A14" s="211" t="s">
        <v>128</v>
      </c>
      <c r="B14" s="1" t="s">
        <v>119</v>
      </c>
      <c r="C14" s="1" t="s">
        <v>115</v>
      </c>
      <c r="D14" s="1" t="str">
        <f>D8</f>
        <v>EHS/Aspirational</v>
      </c>
    </row>
    <row r="15" spans="1:6" x14ac:dyDescent="0.15">
      <c r="A15" s="23" t="s">
        <v>144</v>
      </c>
      <c r="C15" s="15">
        <f>SUM(B5:B6)*20*B1</f>
        <v>1165.7307692307693</v>
      </c>
      <c r="D15" s="15">
        <f>SUM(B5:B6)*20*B1</f>
        <v>1165.7307692307693</v>
      </c>
      <c r="E15" s="23" t="s">
        <v>145</v>
      </c>
    </row>
    <row r="16" spans="1:6" x14ac:dyDescent="0.15">
      <c r="A16" s="23" t="s">
        <v>146</v>
      </c>
      <c r="C16" s="15">
        <f>5*12*B1</f>
        <v>874.29807692307691</v>
      </c>
      <c r="D16" s="15">
        <f>5*12*B1</f>
        <v>874.29807692307691</v>
      </c>
      <c r="E16" s="23" t="s">
        <v>147</v>
      </c>
    </row>
    <row r="17" spans="1:6" x14ac:dyDescent="0.15">
      <c r="A17" s="110" t="s">
        <v>25</v>
      </c>
      <c r="B17" s="35">
        <f>SUM(B15:B16)</f>
        <v>0</v>
      </c>
      <c r="C17" s="113">
        <f>SUM(C15:C16)</f>
        <v>2040.0288461538462</v>
      </c>
      <c r="D17" s="113">
        <f>SUM(D15:D16)</f>
        <v>2040.0288461538462</v>
      </c>
    </row>
    <row r="19" spans="1:6" x14ac:dyDescent="0.15">
      <c r="A19" s="211" t="s">
        <v>129</v>
      </c>
      <c r="B19" s="1" t="s">
        <v>119</v>
      </c>
      <c r="C19" s="1" t="s">
        <v>115</v>
      </c>
      <c r="D19" s="1" t="str">
        <f>D14</f>
        <v>EHS/Aspirational</v>
      </c>
    </row>
    <row r="20" spans="1:6" x14ac:dyDescent="0.15">
      <c r="A20" s="110" t="s">
        <v>25</v>
      </c>
      <c r="B20" s="115">
        <f>5*52*B1*B5</f>
        <v>7577.25</v>
      </c>
      <c r="C20" s="115">
        <f>SUM((1.5*5*52*B1*B5),(0.5*5*52*B1*B6))</f>
        <v>15154.5</v>
      </c>
      <c r="D20" s="113">
        <f>SUM((2*5*52*B1*B5),(5*52*B1*B6))</f>
        <v>22731.75</v>
      </c>
    </row>
    <row r="23" spans="1:6" s="212" customFormat="1" x14ac:dyDescent="0.15">
      <c r="A23" s="216" t="s">
        <v>205</v>
      </c>
    </row>
    <row r="24" spans="1:6" x14ac:dyDescent="0.15">
      <c r="A24" s="92" t="s">
        <v>97</v>
      </c>
      <c r="B24" s="66">
        <f>[0]!Preschoolers</f>
        <v>20</v>
      </c>
    </row>
    <row r="25" spans="1:6" x14ac:dyDescent="0.15">
      <c r="A25" s="34" t="s">
        <v>155</v>
      </c>
      <c r="B25" s="116">
        <f>'Quality Center Profile'!A24</f>
        <v>1</v>
      </c>
    </row>
    <row r="26" spans="1:6" x14ac:dyDescent="0.15">
      <c r="A26" s="72" t="s">
        <v>158</v>
      </c>
      <c r="B26" s="117">
        <f>'Quality Center Profile'!A25</f>
        <v>1</v>
      </c>
    </row>
    <row r="27" spans="1:6" x14ac:dyDescent="0.15">
      <c r="A27" s="23"/>
    </row>
    <row r="28" spans="1:6" x14ac:dyDescent="0.15">
      <c r="A28" s="211" t="s">
        <v>117</v>
      </c>
      <c r="B28" s="1" t="s">
        <v>119</v>
      </c>
      <c r="C28" s="1" t="s">
        <v>116</v>
      </c>
      <c r="D28" s="1" t="s">
        <v>121</v>
      </c>
    </row>
    <row r="29" spans="1:6" x14ac:dyDescent="0.15">
      <c r="A29" s="23" t="s">
        <v>138</v>
      </c>
      <c r="C29" s="8">
        <f>1*B24*B1*2</f>
        <v>582.86538461538464</v>
      </c>
      <c r="D29" s="8">
        <f>1*B24*B1*2</f>
        <v>582.86538461538464</v>
      </c>
      <c r="E29" s="23" t="s">
        <v>142</v>
      </c>
    </row>
    <row r="30" spans="1:6" x14ac:dyDescent="0.15">
      <c r="A30" s="23" t="s">
        <v>139</v>
      </c>
      <c r="C30" s="8">
        <f>1*B24*B1</f>
        <v>291.43269230769232</v>
      </c>
      <c r="E30" s="23" t="s">
        <v>141</v>
      </c>
    </row>
    <row r="31" spans="1:6" x14ac:dyDescent="0.15">
      <c r="A31" s="23" t="s">
        <v>140</v>
      </c>
      <c r="D31" s="8">
        <f>B24/35*E31</f>
        <v>21142.857142857141</v>
      </c>
      <c r="E31" s="11">
        <v>37000</v>
      </c>
      <c r="F31" s="23" t="s">
        <v>143</v>
      </c>
    </row>
    <row r="32" spans="1:6" x14ac:dyDescent="0.15">
      <c r="A32" s="110" t="s">
        <v>25</v>
      </c>
      <c r="B32" s="35">
        <f>SUM(B29:B31)</f>
        <v>0</v>
      </c>
      <c r="C32" s="113">
        <f>SUM(C29:C31)</f>
        <v>874.29807692307691</v>
      </c>
      <c r="D32" s="113">
        <f>SUM(D29:D31)</f>
        <v>21725.722527472524</v>
      </c>
    </row>
    <row r="34" spans="1:5" x14ac:dyDescent="0.15">
      <c r="A34" s="211" t="s">
        <v>128</v>
      </c>
      <c r="B34" s="1" t="s">
        <v>119</v>
      </c>
      <c r="C34" s="1" t="s">
        <v>116</v>
      </c>
      <c r="D34" s="1" t="s">
        <v>121</v>
      </c>
    </row>
    <row r="35" spans="1:5" x14ac:dyDescent="0.15">
      <c r="A35" s="23" t="s">
        <v>144</v>
      </c>
      <c r="C35" s="27">
        <f>SUM(B25:B26)*20*B1</f>
        <v>582.86538461538464</v>
      </c>
      <c r="D35" s="15">
        <f>SUM(B25:B26)*20*B1</f>
        <v>582.86538461538464</v>
      </c>
      <c r="E35" s="23" t="s">
        <v>145</v>
      </c>
    </row>
    <row r="36" spans="1:5" x14ac:dyDescent="0.15">
      <c r="A36" s="23" t="s">
        <v>146</v>
      </c>
      <c r="C36" s="27">
        <f>5*12*B1</f>
        <v>874.29807692307691</v>
      </c>
      <c r="D36" s="15">
        <f>5*12*B1</f>
        <v>874.29807692307691</v>
      </c>
      <c r="E36" s="23" t="s">
        <v>147</v>
      </c>
    </row>
    <row r="37" spans="1:5" x14ac:dyDescent="0.15">
      <c r="A37" s="110" t="s">
        <v>25</v>
      </c>
      <c r="B37" s="35">
        <f>SUM(B35:B36)</f>
        <v>0</v>
      </c>
      <c r="C37" s="113">
        <f>SUM(C35:C36)</f>
        <v>1457.1634615384614</v>
      </c>
      <c r="D37" s="113">
        <f>SUM(D35:D36)</f>
        <v>1457.1634615384614</v>
      </c>
    </row>
    <row r="39" spans="1:5" x14ac:dyDescent="0.15">
      <c r="A39" s="211" t="s">
        <v>129</v>
      </c>
      <c r="B39" s="1" t="s">
        <v>119</v>
      </c>
      <c r="C39" s="1" t="s">
        <v>116</v>
      </c>
      <c r="D39" s="1" t="s">
        <v>121</v>
      </c>
    </row>
    <row r="40" spans="1:5" x14ac:dyDescent="0.15">
      <c r="A40" s="35"/>
      <c r="B40" s="115">
        <f>5*52*B1*B25</f>
        <v>3788.625</v>
      </c>
      <c r="C40" s="115">
        <f>SUM((1.5*5*52*B1*B25),(0.5*5*52*B1*B26))</f>
        <v>7577.25</v>
      </c>
      <c r="D40" s="113">
        <f>SUM((2*5*52*B1*B25),(5*52*B1*B26))</f>
        <v>11365.875</v>
      </c>
      <c r="E40" s="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F2153-DDAE-BA49-BC39-D382CDECD0A5}">
  <sheetPr>
    <tabColor theme="0" tint="-0.14999847407452621"/>
  </sheetPr>
  <dimension ref="A1:D12"/>
  <sheetViews>
    <sheetView zoomScale="130" zoomScaleNormal="130" workbookViewId="0">
      <selection activeCell="K1" sqref="K1:R1048576"/>
    </sheetView>
  </sheetViews>
  <sheetFormatPr baseColWidth="10" defaultRowHeight="13" x14ac:dyDescent="0.15"/>
  <cols>
    <col min="3" max="3" width="13" customWidth="1"/>
    <col min="4" max="4" width="16" customWidth="1"/>
  </cols>
  <sheetData>
    <row r="1" spans="1:4" s="94" customFormat="1" x14ac:dyDescent="0.15">
      <c r="A1" s="93" t="s">
        <v>109</v>
      </c>
    </row>
    <row r="2" spans="1:4" s="1" customFormat="1" x14ac:dyDescent="0.15">
      <c r="A2" s="71" t="s">
        <v>1</v>
      </c>
      <c r="B2" s="71" t="s">
        <v>114</v>
      </c>
      <c r="C2" s="71" t="s">
        <v>115</v>
      </c>
      <c r="D2" s="71" t="s">
        <v>116</v>
      </c>
    </row>
    <row r="3" spans="1:4" x14ac:dyDescent="0.15">
      <c r="A3" s="70" t="s">
        <v>90</v>
      </c>
      <c r="B3" s="106">
        <v>4</v>
      </c>
      <c r="C3" s="106">
        <v>4</v>
      </c>
      <c r="D3" s="106"/>
    </row>
    <row r="4" spans="1:4" x14ac:dyDescent="0.15">
      <c r="A4" s="70" t="s">
        <v>91</v>
      </c>
      <c r="B4" s="106">
        <v>5</v>
      </c>
      <c r="C4" s="106">
        <v>5</v>
      </c>
      <c r="D4" s="106"/>
    </row>
    <row r="5" spans="1:4" x14ac:dyDescent="0.15">
      <c r="A5" s="70" t="s">
        <v>86</v>
      </c>
      <c r="B5" s="106">
        <v>10</v>
      </c>
      <c r="C5" s="106"/>
      <c r="D5" s="106">
        <v>10</v>
      </c>
    </row>
    <row r="6" spans="1:4" x14ac:dyDescent="0.15">
      <c r="A6" s="70" t="s">
        <v>118</v>
      </c>
      <c r="B6" s="106">
        <v>15</v>
      </c>
      <c r="C6" s="106"/>
      <c r="D6" s="106"/>
    </row>
    <row r="8" spans="1:4" s="1" customFormat="1" x14ac:dyDescent="0.15">
      <c r="A8" s="71" t="s">
        <v>75</v>
      </c>
      <c r="B8" s="71" t="s">
        <v>114</v>
      </c>
      <c r="C8" s="71" t="s">
        <v>115</v>
      </c>
      <c r="D8" s="71" t="s">
        <v>116</v>
      </c>
    </row>
    <row r="9" spans="1:4" x14ac:dyDescent="0.15">
      <c r="A9" s="70" t="s">
        <v>90</v>
      </c>
      <c r="B9" s="106">
        <v>8</v>
      </c>
      <c r="C9" s="106">
        <v>8</v>
      </c>
      <c r="D9" s="106"/>
    </row>
    <row r="10" spans="1:4" x14ac:dyDescent="0.15">
      <c r="A10" s="70" t="s">
        <v>91</v>
      </c>
      <c r="B10" s="106">
        <v>10</v>
      </c>
      <c r="C10" s="106">
        <v>10</v>
      </c>
      <c r="D10" s="106"/>
    </row>
    <row r="11" spans="1:4" x14ac:dyDescent="0.15">
      <c r="A11" s="70" t="s">
        <v>86</v>
      </c>
      <c r="B11" s="106">
        <v>20</v>
      </c>
      <c r="C11" s="106"/>
      <c r="D11" s="106">
        <v>18</v>
      </c>
    </row>
    <row r="12" spans="1:4" x14ac:dyDescent="0.15">
      <c r="A12" s="70" t="s">
        <v>118</v>
      </c>
      <c r="B12" s="106">
        <v>30</v>
      </c>
      <c r="C12" s="106"/>
      <c r="D12" s="10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241F6-8027-B04A-AE54-122367FE2998}">
  <sheetPr>
    <tabColor theme="0" tint="-0.14999847407452621"/>
  </sheetPr>
  <dimension ref="A1:S88"/>
  <sheetViews>
    <sheetView topLeftCell="A19" zoomScale="140" zoomScaleNormal="140" workbookViewId="0">
      <selection activeCell="E23" sqref="E23"/>
    </sheetView>
  </sheetViews>
  <sheetFormatPr baseColWidth="10" defaultRowHeight="13" x14ac:dyDescent="0.15"/>
  <cols>
    <col min="1" max="1" width="26.6640625" customWidth="1"/>
    <col min="2" max="2" width="12" bestFit="1" customWidth="1"/>
    <col min="3" max="3" width="13.1640625" customWidth="1"/>
    <col min="4" max="4" width="14" customWidth="1"/>
    <col min="5" max="5" width="15.5" customWidth="1"/>
    <col min="6" max="6" width="14.1640625" customWidth="1"/>
    <col min="7" max="7" width="14" customWidth="1"/>
    <col min="8" max="9" width="11.1640625" bestFit="1" customWidth="1"/>
    <col min="10" max="10" width="13.1640625" customWidth="1"/>
  </cols>
  <sheetData>
    <row r="1" spans="1:13" x14ac:dyDescent="0.15">
      <c r="A1" s="7"/>
    </row>
    <row r="2" spans="1:13" x14ac:dyDescent="0.15">
      <c r="A2" s="1" t="s">
        <v>114</v>
      </c>
      <c r="B2" s="1"/>
      <c r="C2" s="1"/>
      <c r="D2" s="1"/>
      <c r="E2" s="421" t="s">
        <v>133</v>
      </c>
      <c r="F2" s="421"/>
      <c r="G2" s="421" t="s">
        <v>86</v>
      </c>
      <c r="H2" s="421"/>
    </row>
    <row r="3" spans="1:13" x14ac:dyDescent="0.15">
      <c r="A3" s="353" t="s">
        <v>297</v>
      </c>
      <c r="B3" s="71" t="s">
        <v>78</v>
      </c>
      <c r="C3" s="71" t="s">
        <v>131</v>
      </c>
      <c r="D3" s="71" t="s">
        <v>163</v>
      </c>
      <c r="E3" s="120" t="s">
        <v>79</v>
      </c>
      <c r="F3" s="120" t="s">
        <v>132</v>
      </c>
      <c r="G3" s="120" t="s">
        <v>79</v>
      </c>
      <c r="H3" s="120" t="s">
        <v>132</v>
      </c>
      <c r="J3" s="383" t="s">
        <v>324</v>
      </c>
      <c r="K3" s="384" t="s">
        <v>322</v>
      </c>
      <c r="L3" s="383" t="s">
        <v>323</v>
      </c>
      <c r="M3" s="383"/>
    </row>
    <row r="4" spans="1:13" x14ac:dyDescent="0.15">
      <c r="A4" s="108" t="s">
        <v>123</v>
      </c>
      <c r="B4" s="350">
        <f>F53</f>
        <v>46182</v>
      </c>
      <c r="C4" s="296">
        <f>B4*0.8</f>
        <v>36945.599999999999</v>
      </c>
      <c r="D4" s="351">
        <f>H53</f>
        <v>28891</v>
      </c>
      <c r="E4" s="296">
        <f t="shared" ref="E4:H5" si="0">B53</f>
        <v>31836</v>
      </c>
      <c r="F4" s="296">
        <f>C53</f>
        <v>29081</v>
      </c>
      <c r="G4" s="296">
        <f t="shared" si="0"/>
        <v>33366</v>
      </c>
      <c r="H4" s="296">
        <f t="shared" si="0"/>
        <v>28745</v>
      </c>
      <c r="J4" s="352">
        <f>AVERAGE(E4,G4)</f>
        <v>32601</v>
      </c>
      <c r="K4" s="21">
        <f>SUM(B4-J4)/J4</f>
        <v>0.41658231342596852</v>
      </c>
      <c r="L4" s="32">
        <f>AVERAGE(F4,H4)</f>
        <v>28913</v>
      </c>
      <c r="M4" s="21"/>
    </row>
    <row r="5" spans="1:13" x14ac:dyDescent="0.15">
      <c r="A5" s="108" t="s">
        <v>124</v>
      </c>
      <c r="B5" s="350">
        <f>F53</f>
        <v>46182</v>
      </c>
      <c r="C5" s="296">
        <f>B5*0.8</f>
        <v>36945.599999999999</v>
      </c>
      <c r="D5" s="351">
        <f>H53</f>
        <v>28891</v>
      </c>
      <c r="E5" s="381">
        <f t="shared" si="0"/>
        <v>33962</v>
      </c>
      <c r="F5" s="382">
        <f t="shared" si="0"/>
        <v>32981</v>
      </c>
      <c r="G5" s="296">
        <f t="shared" si="0"/>
        <v>34510</v>
      </c>
      <c r="H5" s="296">
        <f t="shared" si="0"/>
        <v>28973</v>
      </c>
      <c r="J5" s="32">
        <f>AVERAGE(E5,G5)</f>
        <v>34236</v>
      </c>
      <c r="K5" s="21">
        <f>SUM(B5-J5)/J5</f>
        <v>0.34893094987732209</v>
      </c>
      <c r="L5" s="32">
        <f>AVERAGE(F5,H5)</f>
        <v>30977</v>
      </c>
      <c r="M5" s="21"/>
    </row>
    <row r="6" spans="1:13" x14ac:dyDescent="0.15">
      <c r="A6" s="108" t="s">
        <v>127</v>
      </c>
      <c r="B6" s="350">
        <f>F54</f>
        <v>52899</v>
      </c>
      <c r="C6" s="296">
        <f>B6*0.8</f>
        <v>42319.200000000004</v>
      </c>
      <c r="D6" s="351">
        <f>H54</f>
        <v>33478</v>
      </c>
      <c r="E6" s="296">
        <f>B54</f>
        <v>33962</v>
      </c>
      <c r="F6" s="296">
        <f>C54</f>
        <v>32981</v>
      </c>
      <c r="G6" s="296">
        <f>D54</f>
        <v>34510</v>
      </c>
      <c r="H6" s="296">
        <f>E54</f>
        <v>28973</v>
      </c>
      <c r="J6" s="32">
        <f>AVERAGE(E6,G6)</f>
        <v>34236</v>
      </c>
      <c r="K6" s="21">
        <f>SUM(B6-J6)/J6</f>
        <v>0.54512793550648442</v>
      </c>
      <c r="L6" s="32">
        <f>AVERAGE(F6,H6)</f>
        <v>30977</v>
      </c>
      <c r="M6" s="21"/>
    </row>
    <row r="7" spans="1:13" x14ac:dyDescent="0.15">
      <c r="A7" s="108" t="s">
        <v>125</v>
      </c>
      <c r="B7" s="350">
        <f>F54</f>
        <v>52899</v>
      </c>
      <c r="C7" s="296">
        <f>B7*0.8</f>
        <v>42319.200000000004</v>
      </c>
      <c r="D7" s="351">
        <f>H54</f>
        <v>33478</v>
      </c>
      <c r="E7" s="296">
        <f>B54</f>
        <v>33962</v>
      </c>
      <c r="F7" s="296">
        <f>C54</f>
        <v>32981</v>
      </c>
      <c r="G7" s="296">
        <f>D54</f>
        <v>34510</v>
      </c>
      <c r="H7" s="296">
        <f>E54</f>
        <v>28973</v>
      </c>
      <c r="J7" s="32">
        <f>AVERAGE(E7,G7)</f>
        <v>34236</v>
      </c>
      <c r="K7" s="21">
        <f>SUM(B7-J7)/J7</f>
        <v>0.54512793550648442</v>
      </c>
      <c r="L7" s="32">
        <f>AVERAGE(F7,H7)</f>
        <v>30977</v>
      </c>
      <c r="M7" s="21"/>
    </row>
    <row r="8" spans="1:13" x14ac:dyDescent="0.15">
      <c r="A8" s="108" t="s">
        <v>126</v>
      </c>
      <c r="B8" s="350"/>
      <c r="C8" s="296"/>
      <c r="D8" s="351"/>
      <c r="E8" s="296"/>
      <c r="F8" s="296"/>
      <c r="G8" s="296"/>
      <c r="H8" s="296"/>
      <c r="I8" s="32"/>
    </row>
    <row r="9" spans="1:13" x14ac:dyDescent="0.15">
      <c r="A9" s="119"/>
      <c r="B9" s="73"/>
      <c r="C9" s="73"/>
      <c r="I9" s="32">
        <f>H4/2080</f>
        <v>13.819711538461538</v>
      </c>
    </row>
    <row r="10" spans="1:13" x14ac:dyDescent="0.15">
      <c r="A10" s="355" t="s">
        <v>164</v>
      </c>
      <c r="B10" s="73">
        <f>('VariablesINPUT-CTR'!C$20*B4)+('VariablesINPUT-CTR'!C21*B5)+('VariablesINPUT-CTR'!C22*B6)+('VariablesINPUT-CTR'!C23*B7)+('VariablesINPUT-CTR'!C24*B8)</f>
        <v>52899</v>
      </c>
      <c r="C10" s="73">
        <f>B10*0.8</f>
        <v>42319.200000000004</v>
      </c>
      <c r="D10" s="73">
        <f>('VariablesINPUT-CTR'!E$20*D4)+('VariablesINPUT-CTR'!E21*D5)+('VariablesINPUT-CTR'!E22*D6)+('VariablesINPUT-CTR'!E23*D7)+('VariablesINPUT-CTR'!E24*D8)</f>
        <v>31184.5</v>
      </c>
      <c r="E10" s="352">
        <f>(('VariablesINPUT-CTR'!D20*E4)+('VariablesINPUT-CTR'!D21*E5)+('VariablesINPUT-CTR'!D22*E6)+('VariablesINPUT-CTR'!D23*E7)+('VariablesINPUT-CTR'!D24*E8))</f>
        <v>33962</v>
      </c>
      <c r="F10" s="352">
        <f>(('VariablesINPUT-CTR'!E20*F4)+('VariablesINPUT-CTR'!E21*F5)+('VariablesINPUT-CTR'!E22*F6)+('VariablesINPUT-CTR'!E23*F7)+'VariablesINPUT-CTR'!D24*F8)</f>
        <v>32981</v>
      </c>
      <c r="G10" s="352">
        <f>(('VariablesINPUT-CTR'!F20*G4)+('VariablesINPUT-CTR'!F21*G5)+('VariablesINPUT-CTR'!F22*G6)+('VariablesINPUT-CTR'!F23*G7)+'VariablesINPUT-CTR'!E24*G8)</f>
        <v>34510</v>
      </c>
      <c r="H10" s="352">
        <f>(('VariablesINPUT-CTR'!G20*H4)+('VariablesINPUT-CTR'!G21*H5)+('VariablesINPUT-CTR'!G22*H6)+('VariablesINPUT-CTR'!G23*H7)+'VariablesINPUT-CTR'!F24*H8)</f>
        <v>28973</v>
      </c>
      <c r="I10" s="32">
        <f>H5/2080</f>
        <v>13.929326923076923</v>
      </c>
    </row>
    <row r="11" spans="1:13" x14ac:dyDescent="0.15">
      <c r="A11" s="30"/>
      <c r="B11" s="32"/>
      <c r="C11" s="32"/>
      <c r="D11" s="32"/>
    </row>
    <row r="12" spans="1:13" x14ac:dyDescent="0.15">
      <c r="A12" s="1" t="s">
        <v>119</v>
      </c>
      <c r="B12" s="1"/>
      <c r="C12" s="1"/>
      <c r="D12" s="1"/>
      <c r="E12" s="421" t="s">
        <v>133</v>
      </c>
      <c r="F12" s="421"/>
      <c r="G12" s="421" t="s">
        <v>86</v>
      </c>
      <c r="H12" s="421"/>
    </row>
    <row r="13" spans="1:13" x14ac:dyDescent="0.15">
      <c r="B13" s="71" t="s">
        <v>78</v>
      </c>
      <c r="C13" s="71" t="s">
        <v>131</v>
      </c>
      <c r="D13" s="71" t="s">
        <v>163</v>
      </c>
      <c r="E13" s="120" t="s">
        <v>79</v>
      </c>
      <c r="F13" s="120" t="s">
        <v>132</v>
      </c>
      <c r="G13" s="120" t="s">
        <v>79</v>
      </c>
      <c r="H13" s="120" t="s">
        <v>132</v>
      </c>
    </row>
    <row r="14" spans="1:13" x14ac:dyDescent="0.15">
      <c r="A14" s="346" t="s">
        <v>123</v>
      </c>
      <c r="B14" s="296"/>
      <c r="C14" s="296">
        <f>B14*0.8</f>
        <v>0</v>
      </c>
      <c r="D14" s="223"/>
      <c r="E14" s="297"/>
      <c r="F14" s="298"/>
      <c r="G14" s="297"/>
      <c r="H14" s="298"/>
    </row>
    <row r="15" spans="1:13" x14ac:dyDescent="0.15">
      <c r="A15" s="346" t="s">
        <v>124</v>
      </c>
      <c r="B15" s="345"/>
      <c r="C15" s="296">
        <f>B15*0.8</f>
        <v>0</v>
      </c>
      <c r="D15" s="223"/>
      <c r="E15" s="298"/>
      <c r="F15" s="298"/>
      <c r="G15" s="298"/>
      <c r="H15" s="298"/>
    </row>
    <row r="16" spans="1:13" x14ac:dyDescent="0.15">
      <c r="A16" s="346" t="s">
        <v>127</v>
      </c>
      <c r="B16" s="345"/>
      <c r="C16" s="296">
        <f>B16*0.8</f>
        <v>0</v>
      </c>
      <c r="D16" s="223"/>
      <c r="E16" s="297"/>
      <c r="F16" s="298"/>
      <c r="G16" s="297"/>
      <c r="H16" s="298"/>
    </row>
    <row r="17" spans="1:12" x14ac:dyDescent="0.15">
      <c r="A17" s="346" t="s">
        <v>125</v>
      </c>
      <c r="B17" s="345"/>
      <c r="C17" s="296">
        <f>B17*0.8</f>
        <v>0</v>
      </c>
      <c r="D17" s="223"/>
      <c r="E17" s="297"/>
      <c r="F17" s="298"/>
      <c r="G17" s="297"/>
      <c r="H17" s="298"/>
    </row>
    <row r="18" spans="1:12" x14ac:dyDescent="0.15">
      <c r="A18" s="346" t="s">
        <v>126</v>
      </c>
      <c r="B18" s="345"/>
      <c r="C18" s="296">
        <f>B18*0.8</f>
        <v>0</v>
      </c>
      <c r="D18" s="223"/>
      <c r="E18" s="297"/>
      <c r="F18" s="298"/>
      <c r="G18" s="297"/>
      <c r="H18" s="298"/>
    </row>
    <row r="19" spans="1:12" x14ac:dyDescent="0.15">
      <c r="A19" s="347"/>
      <c r="B19" s="73"/>
      <c r="C19" s="73"/>
      <c r="E19" s="348"/>
      <c r="F19" s="347"/>
      <c r="G19" s="348"/>
    </row>
    <row r="20" spans="1:12" x14ac:dyDescent="0.15">
      <c r="A20" s="355" t="s">
        <v>164</v>
      </c>
      <c r="B20" s="73">
        <f>('VariablesINPUT-CTR'!C$20*B14)+('VariablesINPUT-CTR'!C21*B15)+('VariablesINPUT-CTR'!C22*B16)+('VariablesINPUT-CTR'!C23*B17)+('VariablesINPUT-CTR'!C24*B18)</f>
        <v>0</v>
      </c>
      <c r="C20" s="73">
        <f>B20*0.8</f>
        <v>0</v>
      </c>
      <c r="D20" t="e">
        <f>AVERAGE(D14:D18)</f>
        <v>#DIV/0!</v>
      </c>
      <c r="E20" s="32">
        <f>(('VariablesINPUT-CTR'!D20*E14)+('VariablesINPUT-CTR'!D21*E15)+('VariablesINPUT-CTR'!D22*E16)+('VariablesINPUT-CTR'!D23*E17)+('VariablesINPUT-CTR'!D24*E18))</f>
        <v>0</v>
      </c>
      <c r="F20" s="32">
        <f>(('VariablesINPUT-CTR'!E20*F14)+('VariablesINPUT-CTR'!E21*F15)+('VariablesINPUT-CTR'!E22*F16)+('VariablesINPUT-CTR'!E23*F17)+('VariablesINPUT-CTR'!E24*F18))</f>
        <v>0</v>
      </c>
      <c r="G20" s="32">
        <f>(('VariablesINPUT-CTR'!F20*G14)+('VariablesINPUT-CTR'!F21*G15)+('VariablesINPUT-CTR'!F22*G16)+('VariablesINPUT-CTR'!F23*G17)+('VariablesINPUT-CTR'!F24*G18))</f>
        <v>0</v>
      </c>
      <c r="H20" s="32">
        <f>(('VariablesINPUT-CTR'!G20*H14)+('VariablesINPUT-CTR'!G21*H15)+('VariablesINPUT-CTR'!G22*H16)+('VariablesINPUT-CTR'!G23*H17)+('VariablesINPUT-CTR'!G24*H18))</f>
        <v>0</v>
      </c>
    </row>
    <row r="22" spans="1:12" x14ac:dyDescent="0.15">
      <c r="A22" s="1" t="s">
        <v>294</v>
      </c>
      <c r="B22" s="1"/>
      <c r="C22" s="1"/>
      <c r="D22" s="1"/>
      <c r="E22" s="421" t="s">
        <v>133</v>
      </c>
      <c r="F22" s="421"/>
      <c r="G22" s="421" t="s">
        <v>86</v>
      </c>
      <c r="H22" s="421"/>
    </row>
    <row r="23" spans="1:12" x14ac:dyDescent="0.15">
      <c r="A23" s="353" t="s">
        <v>296</v>
      </c>
      <c r="B23" s="71" t="s">
        <v>78</v>
      </c>
      <c r="C23" s="71" t="s">
        <v>131</v>
      </c>
      <c r="D23" s="71" t="s">
        <v>163</v>
      </c>
      <c r="E23" s="120" t="s">
        <v>79</v>
      </c>
      <c r="F23" s="120" t="s">
        <v>132</v>
      </c>
      <c r="G23" s="120" t="s">
        <v>79</v>
      </c>
      <c r="H23" s="120" t="s">
        <v>132</v>
      </c>
      <c r="J23" s="383" t="s">
        <v>325</v>
      </c>
      <c r="L23" s="383" t="s">
        <v>323</v>
      </c>
    </row>
    <row r="24" spans="1:12" x14ac:dyDescent="0.15">
      <c r="A24" s="346" t="s">
        <v>123</v>
      </c>
      <c r="B24" s="296">
        <f>SUM((J24*K$4),J24)</f>
        <v>0</v>
      </c>
      <c r="C24" s="296">
        <f>B24*0.8</f>
        <v>0</v>
      </c>
      <c r="D24" s="351">
        <v>29120</v>
      </c>
      <c r="E24" s="296">
        <f t="shared" ref="E24:F28" si="1">H77</f>
        <v>0</v>
      </c>
      <c r="F24" s="296">
        <f t="shared" si="1"/>
        <v>0</v>
      </c>
      <c r="G24" s="356">
        <f t="shared" ref="G24:H28" si="2">B77</f>
        <v>0</v>
      </c>
      <c r="H24" s="356">
        <f t="shared" si="2"/>
        <v>29120</v>
      </c>
      <c r="J24" s="32">
        <f>AVERAGE(E24,G24)</f>
        <v>0</v>
      </c>
      <c r="L24" s="8">
        <f>H24</f>
        <v>29120</v>
      </c>
    </row>
    <row r="25" spans="1:12" x14ac:dyDescent="0.15">
      <c r="A25" s="346" t="s">
        <v>124</v>
      </c>
      <c r="B25" s="296">
        <f>SUM((J25*K$5),J25)</f>
        <v>51065.130038555901</v>
      </c>
      <c r="C25" s="296">
        <f>B25*0.8</f>
        <v>40852.104030844726</v>
      </c>
      <c r="D25" s="351">
        <f>F25</f>
        <v>29120</v>
      </c>
      <c r="E25" s="296">
        <f>H78</f>
        <v>34112.000000000007</v>
      </c>
      <c r="F25" s="296">
        <f t="shared" si="1"/>
        <v>29120</v>
      </c>
      <c r="G25" s="356">
        <f t="shared" si="2"/>
        <v>41600</v>
      </c>
      <c r="H25" s="356">
        <f t="shared" si="2"/>
        <v>37440</v>
      </c>
      <c r="J25" s="32">
        <f>AVERAGE(E25,G25)</f>
        <v>37856</v>
      </c>
      <c r="K25" s="32"/>
      <c r="L25" s="32">
        <f>AVERAGE(F25,H25)</f>
        <v>33280</v>
      </c>
    </row>
    <row r="26" spans="1:12" x14ac:dyDescent="0.15">
      <c r="A26" s="346" t="s">
        <v>127</v>
      </c>
      <c r="B26" s="296">
        <f>SUM((J26*K$6),J26)</f>
        <v>69564.131861198737</v>
      </c>
      <c r="C26" s="296">
        <f>B26*0.8</f>
        <v>55651.305488958991</v>
      </c>
      <c r="D26" s="351">
        <f>F26</f>
        <v>34193.171391417425</v>
      </c>
      <c r="E26" s="296">
        <f t="shared" si="1"/>
        <v>40123.199999999997</v>
      </c>
      <c r="F26" s="296">
        <f t="shared" si="1"/>
        <v>34193.171391417425</v>
      </c>
      <c r="G26" s="356">
        <f t="shared" si="2"/>
        <v>49920</v>
      </c>
      <c r="H26" s="356">
        <f t="shared" si="2"/>
        <v>44835.555555555562</v>
      </c>
      <c r="J26" s="32">
        <f>AVERAGE(E26,G26)</f>
        <v>45021.599999999999</v>
      </c>
      <c r="L26" s="32">
        <f>AVERAGE(F26,H26)</f>
        <v>39514.36347348649</v>
      </c>
    </row>
    <row r="27" spans="1:12" x14ac:dyDescent="0.15">
      <c r="A27" s="346" t="s">
        <v>125</v>
      </c>
      <c r="B27" s="296">
        <f>SUM((J27*K$7),J27)</f>
        <v>79012.898212407992</v>
      </c>
      <c r="C27" s="296">
        <f>B27*0.8</f>
        <v>63210.3185699264</v>
      </c>
      <c r="D27" s="351">
        <f>F27</f>
        <v>39248.788556566964</v>
      </c>
      <c r="E27" s="296">
        <f t="shared" si="1"/>
        <v>46113.599999999999</v>
      </c>
      <c r="F27" s="296">
        <f t="shared" si="1"/>
        <v>39248.788556566964</v>
      </c>
      <c r="G27" s="356">
        <f t="shared" si="2"/>
        <v>56160</v>
      </c>
      <c r="H27" s="356">
        <f t="shared" si="2"/>
        <v>50382.222222222226</v>
      </c>
      <c r="J27" s="32">
        <f>AVERAGE(E27,G27)</f>
        <v>51136.800000000003</v>
      </c>
      <c r="L27" s="32">
        <f>AVERAGE(F27,H27)</f>
        <v>44815.505389394595</v>
      </c>
    </row>
    <row r="28" spans="1:12" x14ac:dyDescent="0.15">
      <c r="A28" s="346" t="s">
        <v>126</v>
      </c>
      <c r="B28" s="296">
        <f>SUM((J28*K$8),J28)</f>
        <v>0</v>
      </c>
      <c r="C28" s="296">
        <f>B28*0.8</f>
        <v>0</v>
      </c>
      <c r="D28" s="351">
        <f>F28</f>
        <v>0</v>
      </c>
      <c r="E28" s="296">
        <f t="shared" si="1"/>
        <v>0</v>
      </c>
      <c r="F28" s="296">
        <f t="shared" si="1"/>
        <v>0</v>
      </c>
      <c r="G28" s="356">
        <f t="shared" si="2"/>
        <v>0</v>
      </c>
      <c r="H28" s="356">
        <f t="shared" si="2"/>
        <v>0</v>
      </c>
      <c r="J28" s="32">
        <f>AVERAGE(E28,G28)</f>
        <v>0</v>
      </c>
      <c r="L28" s="32">
        <f>AVERAGE(F28,H28)</f>
        <v>0</v>
      </c>
    </row>
    <row r="29" spans="1:12" x14ac:dyDescent="0.15">
      <c r="A29" s="347"/>
      <c r="B29" s="73"/>
      <c r="C29" s="73"/>
      <c r="E29" s="348"/>
      <c r="F29" s="347"/>
      <c r="G29" s="348"/>
    </row>
    <row r="30" spans="1:12" x14ac:dyDescent="0.15">
      <c r="A30" s="355" t="s">
        <v>164</v>
      </c>
      <c r="B30" s="73">
        <f>('VariablesINPUT-CTR'!C53*B20)+('VariablesINPUT-CTR'!C21*B25)+('VariablesINPUT-CTR'!C22*B26)+('VariablesINPUT-CTR'!C23*B27)+('VariablesINPUT-CTR'!C24*B28)</f>
        <v>79012.898212407992</v>
      </c>
      <c r="C30" s="73">
        <f>B30*0.8</f>
        <v>63210.3185699264</v>
      </c>
      <c r="D30">
        <f>AVERAGE(D24:D28)</f>
        <v>26336.391989596876</v>
      </c>
      <c r="E30" s="73">
        <f>(('VariablesINPUT-CTR'!D20*E24)+('VariablesINPUT-CTR'!D21*E25)+('VariablesINPUT-CTR'!D22*E26)+('VariablesINPUT-CTR'!D23*E27)+('VariablesINPUT-CTR'!D24*E28))</f>
        <v>43118.399999999994</v>
      </c>
      <c r="F30" s="73">
        <f>(('VariablesINPUT-CTR'!E20*F24)+('VariablesINPUT-CTR'!E21*F25)+('VariablesINPUT-CTR'!E22*F26)+('VariablesINPUT-CTR'!E23*F27)+('VariablesINPUT-CTR'!E24*F28))</f>
        <v>31656.585695708713</v>
      </c>
      <c r="G30" s="73">
        <f>(('VariablesINPUT-CTR'!F20*G24)+('VariablesINPUT-CTR'!F21*G25)+('VariablesINPUT-CTR'!F22*G26)+('VariablesINPUT-CTR'!F23*G27)+('VariablesINPUT-CTR'!F24*G28))</f>
        <v>53040</v>
      </c>
      <c r="H30" s="73">
        <f>(('VariablesINPUT-CTR'!G20*H24)+('VariablesINPUT-CTR'!G21*H25)+('VariablesINPUT-CTR'!G22*H26)+('VariablesINPUT-CTR'!G23*H27)+('VariablesINPUT-CTR'!G24*H28))</f>
        <v>41137.777777777781</v>
      </c>
    </row>
    <row r="31" spans="1:12" x14ac:dyDescent="0.15">
      <c r="A31" s="7"/>
      <c r="B31" s="7"/>
      <c r="C31" s="7"/>
      <c r="D31" s="7"/>
      <c r="E31" s="32"/>
      <c r="F31" s="32"/>
      <c r="G31" s="32"/>
      <c r="H31" s="32"/>
    </row>
    <row r="32" spans="1:12" x14ac:dyDescent="0.15">
      <c r="A32" s="1" t="s">
        <v>121</v>
      </c>
      <c r="B32" s="1"/>
      <c r="C32" s="1"/>
      <c r="D32" s="1"/>
      <c r="E32" s="421" t="s">
        <v>133</v>
      </c>
      <c r="F32" s="421"/>
      <c r="G32" s="421" t="s">
        <v>86</v>
      </c>
      <c r="H32" s="421"/>
    </row>
    <row r="33" spans="1:19" x14ac:dyDescent="0.15">
      <c r="A33" s="354" t="s">
        <v>295</v>
      </c>
      <c r="B33" s="71" t="s">
        <v>78</v>
      </c>
      <c r="C33" s="71" t="s">
        <v>131</v>
      </c>
      <c r="D33" s="71" t="s">
        <v>163</v>
      </c>
      <c r="E33" s="120" t="s">
        <v>79</v>
      </c>
      <c r="F33" s="120" t="s">
        <v>132</v>
      </c>
      <c r="G33" s="120" t="s">
        <v>79</v>
      </c>
      <c r="H33" s="120" t="s">
        <v>132</v>
      </c>
      <c r="J33" s="383" t="s">
        <v>325</v>
      </c>
      <c r="L33" s="1" t="s">
        <v>321</v>
      </c>
    </row>
    <row r="34" spans="1:19" x14ac:dyDescent="0.15">
      <c r="A34" s="346" t="s">
        <v>123</v>
      </c>
      <c r="B34" s="296">
        <f>SUM((J34*K$4),J34)</f>
        <v>0</v>
      </c>
      <c r="C34" s="296">
        <f>B34*0.8</f>
        <v>0</v>
      </c>
      <c r="D34" s="385">
        <v>40123.199999999997</v>
      </c>
      <c r="E34" s="297">
        <f t="shared" ref="E34:F38" si="3">J77</f>
        <v>0</v>
      </c>
      <c r="F34" s="297">
        <f t="shared" si="3"/>
        <v>0</v>
      </c>
      <c r="G34" s="296">
        <f t="shared" ref="G34:H36" si="4">D77</f>
        <v>0</v>
      </c>
      <c r="H34" s="296">
        <f t="shared" si="4"/>
        <v>41600</v>
      </c>
      <c r="J34" s="32">
        <f>AVERAGE(E34,G34)</f>
        <v>0</v>
      </c>
      <c r="L34" s="32">
        <f>H34</f>
        <v>41600</v>
      </c>
    </row>
    <row r="35" spans="1:19" x14ac:dyDescent="0.15">
      <c r="A35" s="346" t="s">
        <v>124</v>
      </c>
      <c r="B35" s="296">
        <f>SUM((J35*K$5),J35)</f>
        <v>65556.965019277952</v>
      </c>
      <c r="C35" s="296">
        <f>B35*0.8</f>
        <v>52445.572015422367</v>
      </c>
      <c r="D35" s="385">
        <f>F35</f>
        <v>40123.199999999997</v>
      </c>
      <c r="E35" s="296">
        <f t="shared" si="3"/>
        <v>43118.400000000001</v>
      </c>
      <c r="F35" s="296">
        <f t="shared" si="3"/>
        <v>40123.199999999997</v>
      </c>
      <c r="G35" s="296">
        <f t="shared" si="4"/>
        <v>54080</v>
      </c>
      <c r="H35" s="296">
        <f t="shared" si="4"/>
        <v>49920</v>
      </c>
      <c r="J35" s="32">
        <f>AVERAGE(E35,G35)</f>
        <v>48599.199999999997</v>
      </c>
      <c r="L35" s="32">
        <f>AVERAGE(F35,H35)</f>
        <v>45021.599999999999</v>
      </c>
    </row>
    <row r="36" spans="1:19" x14ac:dyDescent="0.15">
      <c r="A36" s="346" t="s">
        <v>127</v>
      </c>
      <c r="B36" s="296">
        <f>SUM((J36*K$6),J36)</f>
        <v>96383.844514546086</v>
      </c>
      <c r="C36" s="296">
        <f>B36*0.8</f>
        <v>77107.075611636872</v>
      </c>
      <c r="D36" s="385">
        <f>F36</f>
        <v>52173.428310502277</v>
      </c>
      <c r="E36" s="296">
        <f t="shared" si="3"/>
        <v>56118.400000000001</v>
      </c>
      <c r="F36" s="296">
        <f t="shared" si="3"/>
        <v>52173.428310502277</v>
      </c>
      <c r="G36" s="296">
        <f t="shared" si="4"/>
        <v>68640</v>
      </c>
      <c r="H36" s="296">
        <f t="shared" si="4"/>
        <v>54080</v>
      </c>
      <c r="J36" s="32">
        <f>AVERAGE(E36,G36)</f>
        <v>62379.199999999997</v>
      </c>
      <c r="L36" s="32">
        <f>AVERAGE(F36,H36)</f>
        <v>53126.714155251138</v>
      </c>
    </row>
    <row r="37" spans="1:19" x14ac:dyDescent="0.15">
      <c r="A37" s="346" t="s">
        <v>125</v>
      </c>
      <c r="B37" s="296">
        <f>SUM((J37*K$7),J37)</f>
        <v>111360.46056782335</v>
      </c>
      <c r="C37" s="296">
        <f>B37*0.8</f>
        <v>89088.368454258685</v>
      </c>
      <c r="D37" s="385">
        <f>F37</f>
        <v>60502.546118721453</v>
      </c>
      <c r="E37" s="296">
        <f t="shared" si="3"/>
        <v>65104</v>
      </c>
      <c r="F37" s="296">
        <f t="shared" si="3"/>
        <v>60502.546118721453</v>
      </c>
      <c r="G37" s="296">
        <f>D80</f>
        <v>79040</v>
      </c>
      <c r="H37" s="296">
        <f>H36</f>
        <v>54080</v>
      </c>
      <c r="J37" s="32">
        <f>AVERAGE(E37,G37)</f>
        <v>72072</v>
      </c>
      <c r="L37" s="32">
        <f>AVERAGE(F37,H37)</f>
        <v>57291.273059360727</v>
      </c>
    </row>
    <row r="38" spans="1:19" x14ac:dyDescent="0.15">
      <c r="A38" s="346" t="s">
        <v>126</v>
      </c>
      <c r="B38" s="296">
        <f>SUM((J38*K$8),J38)</f>
        <v>0</v>
      </c>
      <c r="C38" s="296">
        <f>B38*0.8</f>
        <v>0</v>
      </c>
      <c r="D38" s="385">
        <f>F38</f>
        <v>0</v>
      </c>
      <c r="E38" s="297">
        <f t="shared" si="3"/>
        <v>0</v>
      </c>
      <c r="F38" s="297">
        <f t="shared" si="3"/>
        <v>0</v>
      </c>
      <c r="G38" s="296">
        <f>D81</f>
        <v>0</v>
      </c>
      <c r="H38" s="296">
        <f>E81</f>
        <v>0</v>
      </c>
      <c r="J38" s="32">
        <f>AVERAGE(E38,G38)</f>
        <v>0</v>
      </c>
      <c r="L38" s="32">
        <f>AVERAGE(F38,H38)</f>
        <v>0</v>
      </c>
    </row>
    <row r="39" spans="1:19" x14ac:dyDescent="0.15">
      <c r="A39" s="347"/>
      <c r="B39" s="73"/>
      <c r="C39" s="73"/>
      <c r="E39" s="348"/>
      <c r="F39" s="347"/>
      <c r="G39" s="348"/>
    </row>
    <row r="40" spans="1:19" x14ac:dyDescent="0.15">
      <c r="A40" s="355" t="s">
        <v>164</v>
      </c>
      <c r="B40" s="73">
        <f>('VariablesINPUT-CTR'!C20*B34)+('VariablesINPUT-CTR'!C21*B35)+('VariablesINPUT-CTR'!C22*B36)+('VariablesINPUT-CTR'!C23*B37)+('VariablesINPUT-CTR'!C24*B38)</f>
        <v>111360.46056782335</v>
      </c>
      <c r="C40" s="73">
        <f>B40*0.8</f>
        <v>89088.368454258685</v>
      </c>
      <c r="D40">
        <f>AVERAGE(D34:D38)</f>
        <v>38584.474885844749</v>
      </c>
      <c r="E40" s="352">
        <f>(('VariablesINPUT-CTR'!D20*E34)+('VariablesINPUT-CTR'!D21*E35)+('VariablesINPUT-CTR'!D22*E36)+('VariablesINPUT-CTR'!D23*E37)+('VariablesINPUT-CTR'!D24*E38))</f>
        <v>60611.199999999997</v>
      </c>
      <c r="F40" s="352">
        <f>(('VariablesINPUT-CTR'!E20*F34)+('VariablesINPUT-CTR'!E21*F35)+('VariablesINPUT-CTR'!E22*F36)+('VariablesINPUT-CTR'!E23*F37)+('VariablesINPUT-CTR'!E24*F38))</f>
        <v>46148.314155251137</v>
      </c>
      <c r="G40" s="352">
        <f>(('VariablesINPUT-CTR'!F20*G34)+('VariablesINPUT-CTR'!F21*G35)+('VariablesINPUT-CTR'!F22*G36)+('VariablesINPUT-CTR'!F23*G37)+('VariablesINPUT-CTR'!F24*G38))</f>
        <v>73840</v>
      </c>
      <c r="H40" s="32">
        <f>(('VariablesINPUT-CTR'!G20*H34)+('VariablesINPUT-CTR'!G21*H35)+('VariablesINPUT-CTR'!G22*H36)+('VariablesINPUT-CTR'!G23*H37)+('VariablesINPUT-CTR'!G24*H38))</f>
        <v>52000</v>
      </c>
    </row>
    <row r="41" spans="1:19" x14ac:dyDescent="0.15">
      <c r="A41" s="7"/>
      <c r="B41" s="32"/>
      <c r="C41" s="32"/>
      <c r="D41" s="32"/>
      <c r="E41" s="32"/>
    </row>
    <row r="42" spans="1:19" s="124" customFormat="1" ht="42" customHeight="1" x14ac:dyDescent="0.15"/>
    <row r="43" spans="1:19" x14ac:dyDescent="0.15">
      <c r="A43" s="1" t="s">
        <v>170</v>
      </c>
      <c r="B43" s="421" t="s">
        <v>133</v>
      </c>
      <c r="C43" s="421"/>
      <c r="D43" s="421" t="s">
        <v>86</v>
      </c>
      <c r="E43" s="421"/>
      <c r="F43" s="422" t="s">
        <v>196</v>
      </c>
      <c r="G43" s="422"/>
      <c r="H43" s="422"/>
      <c r="L43" s="1"/>
      <c r="M43" s="421"/>
      <c r="N43" s="421"/>
      <c r="O43" s="421"/>
      <c r="P43" s="421"/>
      <c r="Q43" s="422"/>
      <c r="R43" s="422"/>
      <c r="S43" s="422"/>
    </row>
    <row r="44" spans="1:19" x14ac:dyDescent="0.15">
      <c r="B44" s="122" t="s">
        <v>79</v>
      </c>
      <c r="C44" s="122" t="s">
        <v>132</v>
      </c>
      <c r="D44" s="122" t="s">
        <v>79</v>
      </c>
      <c r="E44" s="122" t="s">
        <v>132</v>
      </c>
      <c r="F44" s="123" t="s">
        <v>78</v>
      </c>
      <c r="G44" s="123" t="s">
        <v>131</v>
      </c>
      <c r="H44" s="123" t="s">
        <v>163</v>
      </c>
      <c r="M44" s="122"/>
      <c r="N44" s="122"/>
      <c r="O44" s="122"/>
      <c r="P44" s="122"/>
      <c r="Q44" s="123"/>
      <c r="R44" s="123"/>
      <c r="S44" s="123"/>
    </row>
    <row r="45" spans="1:19" x14ac:dyDescent="0.15">
      <c r="A45" s="71" t="s">
        <v>175</v>
      </c>
      <c r="B45" s="132">
        <v>32692</v>
      </c>
      <c r="C45" s="132">
        <v>31752</v>
      </c>
      <c r="D45" s="132">
        <v>34175</v>
      </c>
      <c r="E45" s="132">
        <v>28835</v>
      </c>
      <c r="F45" s="132">
        <v>48939</v>
      </c>
      <c r="G45" s="132">
        <v>34857</v>
      </c>
      <c r="H45" s="132">
        <v>31100</v>
      </c>
      <c r="I45" s="32"/>
      <c r="L45" s="71"/>
      <c r="M45" s="132"/>
      <c r="N45" s="132"/>
      <c r="O45" s="132"/>
      <c r="P45" s="132"/>
      <c r="Q45" s="132"/>
      <c r="R45" s="132"/>
      <c r="S45" s="132"/>
    </row>
    <row r="46" spans="1:19" x14ac:dyDescent="0.15">
      <c r="A46" s="70" t="s">
        <v>176</v>
      </c>
      <c r="B46" s="132">
        <v>31346</v>
      </c>
      <c r="C46" s="132"/>
      <c r="D46" s="132">
        <v>40560</v>
      </c>
      <c r="E46" s="132">
        <v>29744</v>
      </c>
      <c r="F46" s="132">
        <v>36000</v>
      </c>
      <c r="G46" s="132"/>
      <c r="H46" s="132"/>
      <c r="L46" s="70"/>
      <c r="M46" s="132"/>
      <c r="N46" s="132"/>
      <c r="O46" s="132"/>
      <c r="P46" s="132"/>
      <c r="Q46" s="132"/>
      <c r="R46" s="132"/>
      <c r="S46" s="132"/>
    </row>
    <row r="47" spans="1:19" x14ac:dyDescent="0.15">
      <c r="A47" s="70" t="s">
        <v>177</v>
      </c>
      <c r="B47" s="132">
        <v>31102</v>
      </c>
      <c r="C47" s="132">
        <v>27910</v>
      </c>
      <c r="D47" s="132">
        <v>32722</v>
      </c>
      <c r="E47" s="132">
        <v>26785</v>
      </c>
      <c r="F47" s="132">
        <v>43995</v>
      </c>
      <c r="G47" s="132">
        <v>32276</v>
      </c>
      <c r="H47" s="132">
        <v>35446</v>
      </c>
      <c r="L47" s="70"/>
      <c r="M47" s="132"/>
      <c r="N47" s="132"/>
      <c r="O47" s="132"/>
      <c r="P47" s="132"/>
      <c r="Q47" s="132"/>
      <c r="R47" s="132"/>
      <c r="S47" s="132"/>
    </row>
    <row r="48" spans="1:19" x14ac:dyDescent="0.15">
      <c r="A48" s="70" t="s">
        <v>178</v>
      </c>
      <c r="B48" s="132">
        <v>31639</v>
      </c>
      <c r="C48" s="132">
        <v>28349</v>
      </c>
      <c r="D48" s="132">
        <v>33188</v>
      </c>
      <c r="E48" s="132">
        <v>28030</v>
      </c>
      <c r="F48" s="132">
        <v>48526</v>
      </c>
      <c r="G48" s="132">
        <v>32457</v>
      </c>
      <c r="H48" s="132">
        <v>25470</v>
      </c>
      <c r="L48" s="70"/>
      <c r="M48" s="132"/>
      <c r="N48" s="132"/>
      <c r="O48" s="132"/>
      <c r="P48" s="132"/>
      <c r="Q48" s="132"/>
      <c r="R48" s="132"/>
      <c r="S48" s="132"/>
    </row>
    <row r="49" spans="1:13" x14ac:dyDescent="0.15">
      <c r="A49" s="70" t="s">
        <v>179</v>
      </c>
      <c r="B49" s="132">
        <v>34183</v>
      </c>
      <c r="C49" s="132">
        <v>33247</v>
      </c>
      <c r="D49" s="132">
        <v>35339</v>
      </c>
      <c r="E49" s="132">
        <v>30558</v>
      </c>
      <c r="F49" s="132">
        <v>53040</v>
      </c>
      <c r="G49" s="132">
        <v>39225</v>
      </c>
      <c r="H49" s="132">
        <v>31497</v>
      </c>
    </row>
    <row r="50" spans="1:13" x14ac:dyDescent="0.15">
      <c r="A50" s="386"/>
      <c r="B50" s="398">
        <f>SUM(B49-B47)/B49</f>
        <v>9.013252201386654E-2</v>
      </c>
      <c r="C50" s="398"/>
      <c r="D50" s="398">
        <f>SUM(D49-D47)/D49</f>
        <v>7.4054161125102574E-2</v>
      </c>
      <c r="E50" s="398">
        <f>SUM(E49-E47)/E49</f>
        <v>0.12347012239020878</v>
      </c>
      <c r="F50" s="398"/>
      <c r="G50" s="398"/>
      <c r="H50" s="398"/>
    </row>
    <row r="51" spans="1:13" x14ac:dyDescent="0.15">
      <c r="B51" s="421" t="s">
        <v>133</v>
      </c>
      <c r="C51" s="421"/>
      <c r="D51" s="421" t="s">
        <v>86</v>
      </c>
      <c r="E51" s="421"/>
      <c r="F51" s="423" t="s">
        <v>197</v>
      </c>
      <c r="G51" s="424"/>
      <c r="H51" s="425"/>
    </row>
    <row r="52" spans="1:13" x14ac:dyDescent="0.15">
      <c r="B52" s="122" t="s">
        <v>79</v>
      </c>
      <c r="C52" s="122" t="s">
        <v>132</v>
      </c>
      <c r="D52" s="122" t="s">
        <v>79</v>
      </c>
      <c r="E52" s="360" t="s">
        <v>132</v>
      </c>
      <c r="F52" s="123" t="s">
        <v>78</v>
      </c>
      <c r="G52" s="123" t="s">
        <v>131</v>
      </c>
      <c r="H52" s="123" t="s">
        <v>163</v>
      </c>
    </row>
    <row r="53" spans="1:13" x14ac:dyDescent="0.15">
      <c r="A53" s="23" t="s">
        <v>181</v>
      </c>
      <c r="B53" s="377">
        <v>31836</v>
      </c>
      <c r="C53" s="377">
        <v>29081</v>
      </c>
      <c r="D53" s="377">
        <v>33366</v>
      </c>
      <c r="E53" s="377">
        <v>28745</v>
      </c>
      <c r="F53" s="378">
        <v>46182</v>
      </c>
      <c r="G53" s="379">
        <v>34380</v>
      </c>
      <c r="H53" s="380">
        <v>28891</v>
      </c>
    </row>
    <row r="54" spans="1:13" x14ac:dyDescent="0.15">
      <c r="A54" s="23" t="s">
        <v>180</v>
      </c>
      <c r="B54" s="377">
        <v>33962</v>
      </c>
      <c r="C54" s="377">
        <v>32981</v>
      </c>
      <c r="D54" s="377">
        <v>34510</v>
      </c>
      <c r="E54" s="377">
        <v>28973</v>
      </c>
      <c r="F54" s="378">
        <v>52899</v>
      </c>
      <c r="G54" s="379">
        <v>35190</v>
      </c>
      <c r="H54" s="380">
        <v>33478</v>
      </c>
    </row>
    <row r="55" spans="1:13" x14ac:dyDescent="0.15">
      <c r="A55" s="23" t="s">
        <v>198</v>
      </c>
      <c r="B55" s="73">
        <v>32827</v>
      </c>
      <c r="C55" s="73">
        <v>38533</v>
      </c>
      <c r="D55" s="73">
        <v>33219</v>
      </c>
      <c r="E55" s="73">
        <v>26368</v>
      </c>
      <c r="F55" s="361">
        <v>47421</v>
      </c>
      <c r="G55" s="362">
        <v>33522</v>
      </c>
      <c r="H55" s="363">
        <v>33833</v>
      </c>
    </row>
    <row r="56" spans="1:13" x14ac:dyDescent="0.15">
      <c r="A56" s="23" t="s">
        <v>199</v>
      </c>
      <c r="B56" s="73">
        <v>33098</v>
      </c>
      <c r="C56" s="73">
        <v>29884</v>
      </c>
      <c r="D56" s="73">
        <v>35526</v>
      </c>
      <c r="E56" s="73">
        <v>30299</v>
      </c>
      <c r="F56" s="361">
        <v>54955</v>
      </c>
      <c r="G56" s="362">
        <v>34500</v>
      </c>
      <c r="H56" s="363"/>
    </row>
    <row r="57" spans="1:13" x14ac:dyDescent="0.15">
      <c r="A57" s="23" t="s">
        <v>200</v>
      </c>
      <c r="B57" s="73">
        <v>35699</v>
      </c>
      <c r="C57" s="73">
        <v>33156</v>
      </c>
      <c r="D57" s="73">
        <v>37252</v>
      </c>
      <c r="E57" s="73">
        <v>30705</v>
      </c>
      <c r="F57" s="364">
        <v>53623</v>
      </c>
      <c r="G57" s="359">
        <v>39771</v>
      </c>
      <c r="H57" s="365">
        <v>28819</v>
      </c>
    </row>
    <row r="58" spans="1:13" s="357" customFormat="1" ht="41" customHeight="1" x14ac:dyDescent="0.15"/>
    <row r="59" spans="1:13" ht="19" customHeight="1" x14ac:dyDescent="0.15">
      <c r="A59" s="358" t="s">
        <v>301</v>
      </c>
    </row>
    <row r="60" spans="1:13" ht="15" customHeight="1" x14ac:dyDescent="0.15">
      <c r="B60" s="418" t="s">
        <v>116</v>
      </c>
      <c r="C60" s="418"/>
      <c r="D60" s="418" t="s">
        <v>121</v>
      </c>
      <c r="E60" s="418"/>
      <c r="H60" s="418" t="s">
        <v>115</v>
      </c>
      <c r="I60" s="418"/>
      <c r="J60" s="419" t="s">
        <v>121</v>
      </c>
      <c r="K60" s="419"/>
    </row>
    <row r="61" spans="1:13" x14ac:dyDescent="0.15">
      <c r="A61" s="1" t="s">
        <v>298</v>
      </c>
      <c r="B61" s="373" t="s">
        <v>302</v>
      </c>
      <c r="C61" s="373" t="s">
        <v>132</v>
      </c>
      <c r="D61" s="373" t="s">
        <v>302</v>
      </c>
      <c r="E61" s="373" t="s">
        <v>132</v>
      </c>
      <c r="H61" s="375" t="s">
        <v>302</v>
      </c>
      <c r="I61" s="375" t="s">
        <v>132</v>
      </c>
      <c r="J61" s="375" t="s">
        <v>302</v>
      </c>
      <c r="K61" s="376" t="s">
        <v>132</v>
      </c>
    </row>
    <row r="62" spans="1:13" x14ac:dyDescent="0.15">
      <c r="A62" t="s">
        <v>299</v>
      </c>
      <c r="B62" s="9"/>
      <c r="C62" s="9">
        <v>12</v>
      </c>
      <c r="D62" s="9"/>
      <c r="E62" s="9">
        <v>18</v>
      </c>
      <c r="G62" t="s">
        <v>299</v>
      </c>
      <c r="I62" s="23"/>
    </row>
    <row r="63" spans="1:13" x14ac:dyDescent="0.15">
      <c r="A63" t="s">
        <v>303</v>
      </c>
      <c r="B63" s="9">
        <v>18</v>
      </c>
      <c r="C63" s="9">
        <v>16</v>
      </c>
      <c r="D63" s="9">
        <v>24</v>
      </c>
      <c r="E63" s="9">
        <v>22</v>
      </c>
      <c r="G63" t="s">
        <v>303</v>
      </c>
      <c r="H63" s="32">
        <v>15.38</v>
      </c>
      <c r="I63" s="32">
        <v>12.98</v>
      </c>
      <c r="J63" s="32">
        <v>19.71</v>
      </c>
      <c r="K63" s="32">
        <v>18.27</v>
      </c>
    </row>
    <row r="64" spans="1:13" x14ac:dyDescent="0.15">
      <c r="A64" s="23" t="s">
        <v>183</v>
      </c>
      <c r="B64" s="9">
        <v>22</v>
      </c>
      <c r="C64" s="9">
        <f>SUM((C63*F64),C63)</f>
        <v>19.555555555555557</v>
      </c>
      <c r="D64" s="9">
        <v>31</v>
      </c>
      <c r="E64" s="9">
        <v>24</v>
      </c>
      <c r="F64" s="374">
        <f>SUM(B64-B63)/B63</f>
        <v>0.22222222222222221</v>
      </c>
      <c r="G64" t="s">
        <v>183</v>
      </c>
      <c r="H64" s="32">
        <v>18.27</v>
      </c>
      <c r="I64" s="32">
        <f>SUM((I63*L64),I63)</f>
        <v>15.419024707412223</v>
      </c>
      <c r="J64" s="32">
        <v>25.96</v>
      </c>
      <c r="K64" s="32">
        <f>SUM((K63*M64),K63)</f>
        <v>24.063378995433787</v>
      </c>
      <c r="L64" s="374">
        <f>SUM(H64-H63)/H63</f>
        <v>0.18790637191157339</v>
      </c>
      <c r="M64" s="374">
        <f>SUM(J64-J63)/J63</f>
        <v>0.31709791983764585</v>
      </c>
    </row>
    <row r="65" spans="1:13" x14ac:dyDescent="0.15">
      <c r="A65" s="23" t="s">
        <v>137</v>
      </c>
      <c r="B65" s="9">
        <v>25</v>
      </c>
      <c r="C65" s="9">
        <f>SUM((C64*F65),C64)</f>
        <v>22.222222222222225</v>
      </c>
      <c r="D65" s="9">
        <v>36</v>
      </c>
      <c r="E65" s="9"/>
      <c r="F65" s="374">
        <f>SUM(B65-B64)/B64</f>
        <v>0.13636363636363635</v>
      </c>
      <c r="G65" t="s">
        <v>137</v>
      </c>
      <c r="H65" s="32">
        <v>21.15</v>
      </c>
      <c r="I65" s="32">
        <f>SUM((I64*L65),I64)</f>
        <v>17.849609882964888</v>
      </c>
      <c r="J65" s="32">
        <v>30.28</v>
      </c>
      <c r="K65" s="32">
        <f>SUM((K64*M65),K64)</f>
        <v>28.067762557077621</v>
      </c>
      <c r="L65" s="374">
        <f>SUM(H65-H64)/H64</f>
        <v>0.15763546798029551</v>
      </c>
      <c r="M65" s="374">
        <f>SUM(J65-J64)/J64</f>
        <v>0.16640986132511557</v>
      </c>
    </row>
    <row r="66" spans="1:13" x14ac:dyDescent="0.15">
      <c r="A66" s="23" t="s">
        <v>304</v>
      </c>
      <c r="B66" s="9"/>
      <c r="C66" s="9"/>
      <c r="D66" s="9"/>
      <c r="E66" s="9"/>
      <c r="G66" t="s">
        <v>304</v>
      </c>
    </row>
    <row r="68" spans="1:13" ht="13" customHeight="1" x14ac:dyDescent="0.15">
      <c r="A68" s="420" t="s">
        <v>300</v>
      </c>
      <c r="B68" s="418" t="s">
        <v>116</v>
      </c>
      <c r="C68" s="418"/>
      <c r="D68" s="418" t="s">
        <v>121</v>
      </c>
      <c r="E68" s="418"/>
      <c r="G68" s="420" t="s">
        <v>300</v>
      </c>
      <c r="H68" s="418" t="s">
        <v>115</v>
      </c>
      <c r="I68" s="418"/>
      <c r="J68" s="419" t="s">
        <v>121</v>
      </c>
      <c r="K68" s="419"/>
    </row>
    <row r="69" spans="1:13" x14ac:dyDescent="0.15">
      <c r="A69" s="420"/>
      <c r="B69" s="373" t="s">
        <v>302</v>
      </c>
      <c r="C69" s="373" t="s">
        <v>132</v>
      </c>
      <c r="D69" s="373" t="s">
        <v>302</v>
      </c>
      <c r="E69" s="373" t="s">
        <v>132</v>
      </c>
      <c r="G69" s="420"/>
      <c r="H69" s="373" t="s">
        <v>302</v>
      </c>
      <c r="I69" s="373" t="s">
        <v>132</v>
      </c>
      <c r="J69" s="1" t="s">
        <v>302</v>
      </c>
      <c r="K69" s="1" t="s">
        <v>132</v>
      </c>
    </row>
    <row r="70" spans="1:13" x14ac:dyDescent="0.15">
      <c r="A70" t="s">
        <v>299</v>
      </c>
      <c r="B70" s="9"/>
      <c r="C70" s="9">
        <f>C62+2</f>
        <v>14</v>
      </c>
      <c r="E70" s="9">
        <f>E62+2</f>
        <v>20</v>
      </c>
      <c r="G70" t="s">
        <v>299</v>
      </c>
    </row>
    <row r="71" spans="1:13" x14ac:dyDescent="0.15">
      <c r="A71" t="s">
        <v>303</v>
      </c>
      <c r="B71" s="9">
        <f>B63+2</f>
        <v>20</v>
      </c>
      <c r="C71" s="9">
        <f>C63+2</f>
        <v>18</v>
      </c>
      <c r="D71" s="9">
        <f>D63+2</f>
        <v>26</v>
      </c>
      <c r="E71" s="9">
        <f>E63+2</f>
        <v>24</v>
      </c>
      <c r="G71" t="s">
        <v>303</v>
      </c>
      <c r="H71" s="347">
        <f t="shared" ref="H71:K73" si="5">H63+1.02</f>
        <v>16.400000000000002</v>
      </c>
      <c r="I71" s="347">
        <f t="shared" si="5"/>
        <v>14</v>
      </c>
      <c r="J71" s="347">
        <f t="shared" si="5"/>
        <v>20.73</v>
      </c>
      <c r="K71" s="347">
        <f t="shared" si="5"/>
        <v>19.29</v>
      </c>
    </row>
    <row r="72" spans="1:13" x14ac:dyDescent="0.15">
      <c r="A72" t="s">
        <v>183</v>
      </c>
      <c r="B72" s="9">
        <f>B64+2</f>
        <v>24</v>
      </c>
      <c r="C72" s="9">
        <f>C64+2</f>
        <v>21.555555555555557</v>
      </c>
      <c r="D72" s="9">
        <f>D64+2</f>
        <v>33</v>
      </c>
      <c r="E72" s="9">
        <f>E64+2</f>
        <v>26</v>
      </c>
      <c r="G72" t="s">
        <v>183</v>
      </c>
      <c r="H72" s="347">
        <f t="shared" si="5"/>
        <v>19.29</v>
      </c>
      <c r="I72" s="347">
        <f t="shared" si="5"/>
        <v>16.439024707412223</v>
      </c>
      <c r="J72" s="347">
        <f t="shared" si="5"/>
        <v>26.98</v>
      </c>
      <c r="K72" s="347">
        <f t="shared" si="5"/>
        <v>25.083378995433787</v>
      </c>
    </row>
    <row r="73" spans="1:13" x14ac:dyDescent="0.15">
      <c r="A73" t="s">
        <v>137</v>
      </c>
      <c r="B73" s="9">
        <f>B65+2</f>
        <v>27</v>
      </c>
      <c r="C73" s="9">
        <f>C65+2</f>
        <v>24.222222222222225</v>
      </c>
      <c r="D73" s="9">
        <f>D65+2</f>
        <v>38</v>
      </c>
      <c r="E73" s="9"/>
      <c r="G73" t="s">
        <v>137</v>
      </c>
      <c r="H73" s="347">
        <f t="shared" si="5"/>
        <v>22.169999999999998</v>
      </c>
      <c r="I73" s="347">
        <f t="shared" si="5"/>
        <v>18.869609882964888</v>
      </c>
      <c r="J73" s="347">
        <f t="shared" si="5"/>
        <v>31.3</v>
      </c>
      <c r="K73" s="347">
        <f t="shared" si="5"/>
        <v>29.087762557077621</v>
      </c>
    </row>
    <row r="74" spans="1:13" x14ac:dyDescent="0.15">
      <c r="A74" t="s">
        <v>304</v>
      </c>
      <c r="B74" s="8"/>
      <c r="C74" s="8"/>
      <c r="G74" t="s">
        <v>304</v>
      </c>
    </row>
    <row r="75" spans="1:13" ht="13" customHeight="1" x14ac:dyDescent="0.15">
      <c r="B75" s="418" t="s">
        <v>116</v>
      </c>
      <c r="C75" s="418"/>
      <c r="D75" s="418" t="s">
        <v>121</v>
      </c>
      <c r="E75" s="418"/>
      <c r="H75" s="418" t="s">
        <v>115</v>
      </c>
      <c r="I75" s="418"/>
      <c r="J75" s="419" t="s">
        <v>121</v>
      </c>
      <c r="K75" s="419"/>
    </row>
    <row r="76" spans="1:13" x14ac:dyDescent="0.15">
      <c r="A76" s="1" t="s">
        <v>320</v>
      </c>
      <c r="B76" s="373" t="s">
        <v>302</v>
      </c>
      <c r="C76" s="373" t="s">
        <v>132</v>
      </c>
      <c r="D76" s="373" t="s">
        <v>302</v>
      </c>
      <c r="E76" s="373" t="s">
        <v>132</v>
      </c>
      <c r="G76" s="1" t="s">
        <v>320</v>
      </c>
      <c r="H76" s="373" t="s">
        <v>302</v>
      </c>
      <c r="I76" s="373" t="s">
        <v>132</v>
      </c>
      <c r="J76" s="1" t="s">
        <v>302</v>
      </c>
      <c r="K76" s="1" t="s">
        <v>132</v>
      </c>
    </row>
    <row r="77" spans="1:13" x14ac:dyDescent="0.15">
      <c r="A77" t="s">
        <v>299</v>
      </c>
      <c r="B77" s="8"/>
      <c r="C77" s="8">
        <f>C70*2080</f>
        <v>29120</v>
      </c>
      <c r="D77" s="352"/>
      <c r="E77" s="352">
        <f>E70*2080</f>
        <v>41600</v>
      </c>
      <c r="G77" t="s">
        <v>299</v>
      </c>
      <c r="H77" s="32">
        <f t="shared" ref="H77:K80" si="6">H70*2080</f>
        <v>0</v>
      </c>
      <c r="I77" s="32">
        <f t="shared" si="6"/>
        <v>0</v>
      </c>
      <c r="J77" s="32">
        <f t="shared" si="6"/>
        <v>0</v>
      </c>
      <c r="K77" s="32">
        <f t="shared" si="6"/>
        <v>0</v>
      </c>
    </row>
    <row r="78" spans="1:13" x14ac:dyDescent="0.15">
      <c r="A78" t="s">
        <v>303</v>
      </c>
      <c r="B78" s="8">
        <f>B71*2080</f>
        <v>41600</v>
      </c>
      <c r="C78" s="8">
        <f>C71*2080</f>
        <v>37440</v>
      </c>
      <c r="D78" s="352">
        <f>D71*2080</f>
        <v>54080</v>
      </c>
      <c r="E78" s="352">
        <f>E71*2080</f>
        <v>49920</v>
      </c>
      <c r="G78" t="s">
        <v>303</v>
      </c>
      <c r="H78" s="32">
        <f t="shared" si="6"/>
        <v>34112.000000000007</v>
      </c>
      <c r="I78" s="32">
        <f t="shared" si="6"/>
        <v>29120</v>
      </c>
      <c r="J78" s="32">
        <f t="shared" si="6"/>
        <v>43118.400000000001</v>
      </c>
      <c r="K78" s="32">
        <f t="shared" si="6"/>
        <v>40123.199999999997</v>
      </c>
    </row>
    <row r="79" spans="1:13" x14ac:dyDescent="0.15">
      <c r="A79" t="s">
        <v>183</v>
      </c>
      <c r="B79" s="8">
        <f>B72*2080</f>
        <v>49920</v>
      </c>
      <c r="C79" s="8">
        <f>C72*2080</f>
        <v>44835.555555555562</v>
      </c>
      <c r="D79" s="352">
        <f>D72*2080</f>
        <v>68640</v>
      </c>
      <c r="E79" s="352">
        <f>E72*2080</f>
        <v>54080</v>
      </c>
      <c r="G79" t="s">
        <v>183</v>
      </c>
      <c r="H79" s="32">
        <f t="shared" si="6"/>
        <v>40123.199999999997</v>
      </c>
      <c r="I79" s="32">
        <f t="shared" si="6"/>
        <v>34193.171391417425</v>
      </c>
      <c r="J79" s="32">
        <f t="shared" si="6"/>
        <v>56118.400000000001</v>
      </c>
      <c r="K79" s="32">
        <f t="shared" si="6"/>
        <v>52173.428310502277</v>
      </c>
    </row>
    <row r="80" spans="1:13" x14ac:dyDescent="0.15">
      <c r="A80" t="s">
        <v>137</v>
      </c>
      <c r="B80" s="8">
        <f>B73*2080</f>
        <v>56160</v>
      </c>
      <c r="C80" s="8">
        <f>C73*2080</f>
        <v>50382.222222222226</v>
      </c>
      <c r="D80" s="352">
        <f>D73*2080</f>
        <v>79040</v>
      </c>
      <c r="E80" s="352"/>
      <c r="G80" t="s">
        <v>137</v>
      </c>
      <c r="H80" s="32">
        <f t="shared" si="6"/>
        <v>46113.599999999999</v>
      </c>
      <c r="I80" s="32">
        <f t="shared" si="6"/>
        <v>39248.788556566964</v>
      </c>
      <c r="J80" s="32">
        <f t="shared" si="6"/>
        <v>65104</v>
      </c>
      <c r="K80" s="32">
        <f t="shared" si="6"/>
        <v>60502.546118721453</v>
      </c>
    </row>
    <row r="81" spans="1:9" x14ac:dyDescent="0.15">
      <c r="A81" t="s">
        <v>304</v>
      </c>
      <c r="G81" t="s">
        <v>304</v>
      </c>
    </row>
    <row r="85" spans="1:9" x14ac:dyDescent="0.15">
      <c r="D85" s="8"/>
      <c r="H85" s="8"/>
      <c r="I85" s="8"/>
    </row>
    <row r="86" spans="1:9" x14ac:dyDescent="0.15">
      <c r="H86" s="8"/>
      <c r="I86" s="8"/>
    </row>
    <row r="87" spans="1:9" x14ac:dyDescent="0.15">
      <c r="H87" s="8"/>
      <c r="I87" s="8"/>
    </row>
    <row r="88" spans="1:9" x14ac:dyDescent="0.15">
      <c r="B88" s="8"/>
      <c r="C88" s="8"/>
    </row>
  </sheetData>
  <mergeCells count="31">
    <mergeCell ref="B60:C60"/>
    <mergeCell ref="D60:E60"/>
    <mergeCell ref="O43:P43"/>
    <mergeCell ref="Q43:S43"/>
    <mergeCell ref="F51:H51"/>
    <mergeCell ref="B51:C51"/>
    <mergeCell ref="D51:E51"/>
    <mergeCell ref="F43:H43"/>
    <mergeCell ref="M43:N43"/>
    <mergeCell ref="G2:H2"/>
    <mergeCell ref="E2:F2"/>
    <mergeCell ref="B43:C43"/>
    <mergeCell ref="D43:E43"/>
    <mergeCell ref="E12:F12"/>
    <mergeCell ref="G12:H12"/>
    <mergeCell ref="E22:F22"/>
    <mergeCell ref="G22:H22"/>
    <mergeCell ref="E32:F32"/>
    <mergeCell ref="G32:H32"/>
    <mergeCell ref="A68:A69"/>
    <mergeCell ref="B68:C68"/>
    <mergeCell ref="D68:E68"/>
    <mergeCell ref="G68:G69"/>
    <mergeCell ref="B75:C75"/>
    <mergeCell ref="D75:E75"/>
    <mergeCell ref="H75:I75"/>
    <mergeCell ref="J75:K75"/>
    <mergeCell ref="H68:I68"/>
    <mergeCell ref="J68:K68"/>
    <mergeCell ref="J60:K60"/>
    <mergeCell ref="H60:I6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S46"/>
  <sheetViews>
    <sheetView zoomScale="101" workbookViewId="0">
      <selection activeCell="K1" sqref="K1:R1048576"/>
    </sheetView>
  </sheetViews>
  <sheetFormatPr baseColWidth="10" defaultColWidth="8.83203125" defaultRowHeight="13" x14ac:dyDescent="0.15"/>
  <cols>
    <col min="1" max="1" width="32.1640625" customWidth="1"/>
    <col min="2" max="2" width="18.1640625" customWidth="1"/>
    <col min="3" max="3" width="13.6640625" style="33" customWidth="1"/>
    <col min="4" max="4" width="11.6640625" customWidth="1"/>
    <col min="5" max="5" width="12.33203125" customWidth="1"/>
    <col min="6" max="6" width="9.1640625" bestFit="1" customWidth="1"/>
    <col min="7" max="7" width="2.5" customWidth="1"/>
    <col min="8" max="8" width="2.33203125" customWidth="1"/>
    <col min="9" max="9" width="23" customWidth="1"/>
    <col min="10" max="10" width="11.5" bestFit="1" customWidth="1"/>
    <col min="11" max="13" width="10.5" bestFit="1" customWidth="1"/>
    <col min="14" max="14" width="11.5" bestFit="1" customWidth="1"/>
    <col min="15" max="17" width="10.5" bestFit="1" customWidth="1"/>
    <col min="18" max="18" width="11.5" bestFit="1" customWidth="1"/>
    <col min="19" max="19" width="10.5" bestFit="1" customWidth="1"/>
  </cols>
  <sheetData>
    <row r="1" spans="1:19" ht="29.25" customHeight="1" x14ac:dyDescent="0.15">
      <c r="A1" s="1"/>
      <c r="B1" s="1" t="s">
        <v>275</v>
      </c>
      <c r="C1" s="40" t="s">
        <v>110</v>
      </c>
      <c r="D1" s="41" t="s">
        <v>108</v>
      </c>
      <c r="E1" s="41"/>
      <c r="F1" s="41"/>
    </row>
    <row r="2" spans="1:19" x14ac:dyDescent="0.15">
      <c r="A2" s="23" t="s">
        <v>34</v>
      </c>
      <c r="B2" s="34">
        <f>'VariablesINPUT-CTR'!G13</f>
        <v>68</v>
      </c>
      <c r="C2" s="34">
        <f>'VariablesINPUT-CTR'!G13</f>
        <v>68</v>
      </c>
      <c r="D2" s="23"/>
      <c r="E2" s="23"/>
      <c r="F2" s="23"/>
    </row>
    <row r="3" spans="1:19" x14ac:dyDescent="0.15">
      <c r="A3" s="23" t="s">
        <v>11</v>
      </c>
      <c r="B3" s="34">
        <f>'VariablesINPUT-CTR'!B13</f>
        <v>4</v>
      </c>
      <c r="C3" s="34">
        <f>'VariablesINPUT-CTR'!B13</f>
        <v>4</v>
      </c>
      <c r="D3" s="23"/>
      <c r="E3" s="23"/>
      <c r="F3" s="23"/>
    </row>
    <row r="4" spans="1:19" ht="24" customHeight="1" x14ac:dyDescent="0.15">
      <c r="A4" s="4" t="s">
        <v>21</v>
      </c>
      <c r="B4" s="4"/>
      <c r="D4" s="23"/>
      <c r="E4" s="23"/>
      <c r="J4" s="95"/>
    </row>
    <row r="5" spans="1:19" s="35" customFormat="1" x14ac:dyDescent="0.15">
      <c r="A5" s="42" t="s">
        <v>43</v>
      </c>
      <c r="B5" s="299"/>
      <c r="C5" s="82"/>
      <c r="D5" s="76"/>
      <c r="E5" s="23"/>
      <c r="F5"/>
      <c r="G5"/>
      <c r="H5"/>
      <c r="I5"/>
      <c r="J5"/>
      <c r="K5"/>
      <c r="L5"/>
      <c r="M5"/>
      <c r="N5"/>
      <c r="O5"/>
      <c r="P5"/>
      <c r="Q5"/>
      <c r="R5"/>
    </row>
    <row r="6" spans="1:19" x14ac:dyDescent="0.15">
      <c r="A6" s="81" t="s">
        <v>39</v>
      </c>
      <c r="B6" s="300"/>
      <c r="C6" s="37">
        <f>SUM(30)*B2</f>
        <v>2040</v>
      </c>
      <c r="D6" s="25"/>
      <c r="E6" s="25"/>
      <c r="F6" s="25"/>
    </row>
    <row r="7" spans="1:19" x14ac:dyDescent="0.15">
      <c r="A7" s="43" t="s">
        <v>40</v>
      </c>
      <c r="B7" s="300"/>
      <c r="C7" s="37">
        <v>1428</v>
      </c>
      <c r="D7" s="25" t="s">
        <v>80</v>
      </c>
      <c r="E7" s="25"/>
      <c r="F7" s="25"/>
    </row>
    <row r="8" spans="1:19" x14ac:dyDescent="0.15">
      <c r="A8" s="43" t="s">
        <v>41</v>
      </c>
      <c r="B8" s="300"/>
      <c r="C8" s="37">
        <f>SUM(74.4*B2)</f>
        <v>5059.2000000000007</v>
      </c>
      <c r="D8" s="25" t="s">
        <v>80</v>
      </c>
      <c r="E8" s="101"/>
      <c r="F8" s="25"/>
    </row>
    <row r="9" spans="1:19" x14ac:dyDescent="0.15">
      <c r="A9" s="43" t="s">
        <v>42</v>
      </c>
      <c r="B9" s="300"/>
      <c r="C9" s="37">
        <v>2976</v>
      </c>
      <c r="D9" s="25" t="s">
        <v>80</v>
      </c>
      <c r="E9" s="25"/>
      <c r="F9" s="25"/>
    </row>
    <row r="10" spans="1:19" x14ac:dyDescent="0.15">
      <c r="A10" s="43" t="s">
        <v>12</v>
      </c>
      <c r="B10" s="300"/>
      <c r="C10" s="37">
        <v>496</v>
      </c>
      <c r="D10" s="25" t="s">
        <v>80</v>
      </c>
      <c r="E10" s="25"/>
      <c r="F10" s="25"/>
    </row>
    <row r="11" spans="1:19" x14ac:dyDescent="0.15">
      <c r="A11" s="43"/>
      <c r="B11" s="300"/>
      <c r="D11" s="25"/>
      <c r="E11" s="25"/>
    </row>
    <row r="12" spans="1:19" x14ac:dyDescent="0.15">
      <c r="A12" s="43"/>
      <c r="B12" s="300"/>
      <c r="C12" s="34"/>
      <c r="D12" s="25"/>
      <c r="E12" s="25"/>
    </row>
    <row r="13" spans="1:19" x14ac:dyDescent="0.15">
      <c r="A13" s="45"/>
      <c r="B13" s="300"/>
      <c r="D13" s="23"/>
      <c r="E13" s="23"/>
    </row>
    <row r="14" spans="1:19" s="35" customFormat="1" x14ac:dyDescent="0.15">
      <c r="A14" s="42" t="s">
        <v>38</v>
      </c>
      <c r="B14" s="299"/>
      <c r="C14" s="36"/>
      <c r="E14"/>
      <c r="F14"/>
      <c r="G14"/>
      <c r="H14"/>
      <c r="I14" s="23" t="s">
        <v>174</v>
      </c>
      <c r="J14" s="23"/>
      <c r="K14" s="78"/>
      <c r="L14"/>
      <c r="M14"/>
      <c r="N14"/>
      <c r="O14"/>
      <c r="P14"/>
      <c r="Q14"/>
      <c r="R14"/>
    </row>
    <row r="15" spans="1:19" ht="14" x14ac:dyDescent="0.15">
      <c r="A15" s="44" t="s">
        <v>27</v>
      </c>
      <c r="B15" s="44"/>
      <c r="C15" s="37">
        <f>SUM(35*B2*13.54)</f>
        <v>32225.199999999997</v>
      </c>
      <c r="D15" s="25" t="s">
        <v>80</v>
      </c>
      <c r="E15" s="8"/>
      <c r="F15" s="5"/>
      <c r="I15" s="23">
        <v>6401</v>
      </c>
      <c r="J15" s="5" t="s">
        <v>171</v>
      </c>
      <c r="K15" s="78"/>
      <c r="L15" s="5"/>
      <c r="M15" s="5"/>
      <c r="N15" s="5"/>
      <c r="O15" s="5"/>
      <c r="P15" s="5"/>
      <c r="Q15" s="5"/>
      <c r="R15" s="5"/>
      <c r="S15" s="5"/>
    </row>
    <row r="16" spans="1:19" x14ac:dyDescent="0.15">
      <c r="A16" s="6" t="s">
        <v>32</v>
      </c>
      <c r="B16" s="6"/>
      <c r="C16" s="37">
        <f>SUM(2.17,1.33)*(35*B2)</f>
        <v>8330</v>
      </c>
      <c r="D16" s="25" t="s">
        <v>80</v>
      </c>
      <c r="E16" s="15"/>
      <c r="F16" s="5"/>
      <c r="I16" s="23">
        <v>4218</v>
      </c>
      <c r="J16" s="27" t="s">
        <v>172</v>
      </c>
      <c r="K16" s="78"/>
      <c r="L16" s="27"/>
      <c r="M16" s="27"/>
      <c r="N16" s="27"/>
      <c r="O16" s="27"/>
      <c r="P16" s="27"/>
      <c r="Q16" s="27"/>
      <c r="R16" s="27"/>
      <c r="S16" s="27"/>
    </row>
    <row r="17" spans="1:19" x14ac:dyDescent="0.15">
      <c r="A17" s="6" t="s">
        <v>101</v>
      </c>
      <c r="B17" s="6"/>
      <c r="C17" s="37">
        <f>SUM(35*B2*2.83)</f>
        <v>6735.4000000000005</v>
      </c>
      <c r="D17" s="25" t="s">
        <v>80</v>
      </c>
      <c r="E17" s="102"/>
      <c r="F17" s="25"/>
      <c r="I17">
        <v>977.72</v>
      </c>
      <c r="J17" s="23" t="s">
        <v>173</v>
      </c>
      <c r="K17" s="78"/>
    </row>
    <row r="18" spans="1:19" x14ac:dyDescent="0.15">
      <c r="A18" s="6"/>
      <c r="B18" s="6"/>
      <c r="C18" s="37"/>
      <c r="D18" s="25"/>
      <c r="E18" s="25"/>
      <c r="F18" s="25"/>
      <c r="J18" s="23"/>
    </row>
    <row r="19" spans="1:19" s="35" customFormat="1" x14ac:dyDescent="0.15">
      <c r="A19" s="42" t="s">
        <v>44</v>
      </c>
      <c r="B19" s="299"/>
      <c r="C19" s="79"/>
      <c r="D19" s="80"/>
      <c r="E19" s="25"/>
      <c r="F19"/>
      <c r="G19"/>
      <c r="H19"/>
      <c r="I19" s="23"/>
      <c r="J19" s="5"/>
      <c r="K19" s="5"/>
      <c r="L19" s="5"/>
      <c r="M19" s="5"/>
      <c r="N19" s="5"/>
      <c r="O19" s="5"/>
      <c r="P19" s="5"/>
      <c r="Q19" s="5"/>
      <c r="R19" s="5"/>
      <c r="S19" s="90"/>
    </row>
    <row r="20" spans="1:19" x14ac:dyDescent="0.15">
      <c r="A20" s="6" t="s">
        <v>29</v>
      </c>
      <c r="B20" s="6"/>
      <c r="C20" s="37">
        <f>SUM(992,49.6)*B2</f>
        <v>70828.799999999988</v>
      </c>
      <c r="D20" s="397"/>
      <c r="E20" s="5"/>
      <c r="F20" s="96"/>
      <c r="I20" s="23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 x14ac:dyDescent="0.15">
      <c r="A21" s="6" t="s">
        <v>30</v>
      </c>
      <c r="B21" s="6"/>
      <c r="C21" s="37">
        <f>SUM(100)*B2</f>
        <v>6800</v>
      </c>
      <c r="D21" s="5"/>
      <c r="E21" s="5"/>
      <c r="F21" s="96"/>
      <c r="K21" s="78"/>
    </row>
    <row r="22" spans="1:19" x14ac:dyDescent="0.15">
      <c r="A22" s="6" t="s">
        <v>35</v>
      </c>
      <c r="B22" s="6"/>
      <c r="C22" s="37">
        <f>22*B2</f>
        <v>1496</v>
      </c>
      <c r="D22" s="25"/>
      <c r="E22" s="101"/>
      <c r="K22" s="78"/>
    </row>
    <row r="23" spans="1:19" x14ac:dyDescent="0.15">
      <c r="A23" s="6" t="s">
        <v>31</v>
      </c>
      <c r="B23" s="6"/>
      <c r="C23" s="37">
        <f>50*B2</f>
        <v>3400</v>
      </c>
      <c r="D23" s="25"/>
      <c r="E23" s="25"/>
      <c r="I23" s="19"/>
    </row>
    <row r="24" spans="1:19" x14ac:dyDescent="0.15">
      <c r="A24" s="6" t="s">
        <v>99</v>
      </c>
      <c r="B24" s="6"/>
      <c r="C24" s="37">
        <f>24*B2</f>
        <v>1632</v>
      </c>
      <c r="D24" s="25"/>
      <c r="E24" s="25"/>
      <c r="I24" s="19"/>
    </row>
    <row r="25" spans="1:19" x14ac:dyDescent="0.15">
      <c r="A25" s="6" t="s">
        <v>100</v>
      </c>
      <c r="B25" s="6"/>
      <c r="C25" s="86">
        <f>24.8*B2</f>
        <v>1686.4</v>
      </c>
      <c r="D25" s="25"/>
      <c r="E25" s="25"/>
      <c r="I25" s="19"/>
    </row>
    <row r="26" spans="1:19" x14ac:dyDescent="0.15">
      <c r="A26" s="6"/>
      <c r="B26" s="6"/>
      <c r="C26" s="37"/>
      <c r="D26" s="5"/>
      <c r="E26" s="5"/>
    </row>
    <row r="27" spans="1:19" x14ac:dyDescent="0.15">
      <c r="A27" s="6"/>
      <c r="B27" s="6"/>
      <c r="C27" s="37"/>
      <c r="D27" s="5"/>
      <c r="E27" s="5"/>
    </row>
    <row r="28" spans="1:19" x14ac:dyDescent="0.15">
      <c r="A28" s="6"/>
      <c r="B28" s="6"/>
      <c r="C28" s="37"/>
      <c r="D28" s="25"/>
      <c r="E28" s="98"/>
      <c r="F28" s="25"/>
    </row>
    <row r="29" spans="1:19" s="35" customFormat="1" x14ac:dyDescent="0.15">
      <c r="A29" s="42" t="s">
        <v>45</v>
      </c>
      <c r="B29" s="299"/>
      <c r="C29" s="36"/>
      <c r="D29" s="80"/>
      <c r="E29" s="25"/>
      <c r="F29"/>
      <c r="G29"/>
      <c r="H29"/>
      <c r="I29"/>
      <c r="J29"/>
      <c r="K29"/>
      <c r="L29"/>
      <c r="M29"/>
      <c r="N29"/>
      <c r="O29"/>
      <c r="P29"/>
    </row>
    <row r="30" spans="1:19" ht="14" x14ac:dyDescent="0.15">
      <c r="A30" s="6" t="s">
        <v>36</v>
      </c>
      <c r="B30" s="6"/>
      <c r="D30" s="25"/>
      <c r="E30" s="25"/>
      <c r="F30" s="99"/>
    </row>
    <row r="31" spans="1:19" x14ac:dyDescent="0.15">
      <c r="A31" s="6" t="s">
        <v>33</v>
      </c>
      <c r="B31" s="6"/>
      <c r="C31" s="37">
        <f>200*'Quality Center Profile'!E11</f>
        <v>1600</v>
      </c>
      <c r="D31" s="25"/>
      <c r="E31" s="25"/>
      <c r="F31" s="25"/>
    </row>
    <row r="32" spans="1:19" ht="14" x14ac:dyDescent="0.15">
      <c r="A32" s="6"/>
      <c r="B32" s="6"/>
      <c r="C32" s="34"/>
      <c r="D32" s="25"/>
      <c r="E32" s="25"/>
      <c r="F32" s="97"/>
    </row>
    <row r="33" spans="1:9" ht="14" x14ac:dyDescent="0.15">
      <c r="A33" s="2"/>
      <c r="B33" s="2"/>
      <c r="C33" s="34"/>
      <c r="D33" s="25"/>
      <c r="E33" s="25"/>
      <c r="F33" s="28"/>
    </row>
    <row r="34" spans="1:9" x14ac:dyDescent="0.15">
      <c r="A34" s="4" t="s">
        <v>13</v>
      </c>
      <c r="B34" s="4"/>
      <c r="C34" s="38">
        <f>SUM(C6:C32)</f>
        <v>146732.99999999997</v>
      </c>
      <c r="D34" s="38">
        <f>SUM(C7:C10,C15:C17)</f>
        <v>57249.799999999996</v>
      </c>
      <c r="E34" s="19"/>
      <c r="F34" s="12"/>
    </row>
    <row r="35" spans="1:9" x14ac:dyDescent="0.15">
      <c r="A35" s="23" t="s">
        <v>37</v>
      </c>
      <c r="B35" s="23"/>
      <c r="C35" s="39">
        <f>C34/B3</f>
        <v>36683.249999999993</v>
      </c>
      <c r="D35" s="91">
        <f>D34/C34</f>
        <v>0.39016308533186134</v>
      </c>
      <c r="E35" s="8"/>
      <c r="F35" s="8"/>
    </row>
    <row r="36" spans="1:9" x14ac:dyDescent="0.15">
      <c r="A36" s="23" t="s">
        <v>3</v>
      </c>
      <c r="B36" s="23"/>
      <c r="C36" s="39">
        <f>C34/B2</f>
        <v>2157.8382352941171</v>
      </c>
      <c r="D36" s="8"/>
      <c r="E36" s="8"/>
      <c r="F36" s="8"/>
    </row>
    <row r="37" spans="1:9" ht="14" thickBot="1" x14ac:dyDescent="0.2">
      <c r="D37" s="3"/>
      <c r="E37" s="3"/>
      <c r="F37" s="9"/>
    </row>
    <row r="38" spans="1:9" ht="14" thickTop="1" x14ac:dyDescent="0.15">
      <c r="A38" s="48" t="s">
        <v>48</v>
      </c>
      <c r="B38" s="301"/>
      <c r="C38" s="49">
        <f>SUM(C6:C10)/B2</f>
        <v>176.45882352941177</v>
      </c>
      <c r="D38" s="3"/>
      <c r="E38" s="3"/>
      <c r="F38" s="9"/>
      <c r="I38" s="21"/>
    </row>
    <row r="39" spans="1:9" x14ac:dyDescent="0.15">
      <c r="A39" s="50" t="s">
        <v>47</v>
      </c>
      <c r="B39" s="302"/>
      <c r="C39" s="51">
        <f>SUM(C15:C17)/B3</f>
        <v>11822.65</v>
      </c>
      <c r="D39" s="3"/>
      <c r="E39" s="3"/>
      <c r="F39" s="9"/>
      <c r="I39" s="21"/>
    </row>
    <row r="40" spans="1:9" x14ac:dyDescent="0.15">
      <c r="A40" s="50" t="s">
        <v>46</v>
      </c>
      <c r="B40" s="302"/>
      <c r="C40" s="52">
        <f>SUM(C20:C25,C31)/B2</f>
        <v>1285.9294117647057</v>
      </c>
      <c r="D40" s="3"/>
      <c r="E40" s="3"/>
      <c r="F40" s="9"/>
      <c r="I40" s="21"/>
    </row>
    <row r="41" spans="1:9" ht="14" thickBot="1" x14ac:dyDescent="0.2">
      <c r="A41" s="53"/>
      <c r="B41" s="303"/>
      <c r="C41" s="54" t="s">
        <v>49</v>
      </c>
    </row>
    <row r="42" spans="1:9" ht="14" thickTop="1" x14ac:dyDescent="0.15">
      <c r="A42" s="23"/>
      <c r="B42" s="23"/>
    </row>
    <row r="43" spans="1:9" x14ac:dyDescent="0.15">
      <c r="A43" s="23"/>
      <c r="B43" s="23"/>
      <c r="C43" s="15"/>
    </row>
    <row r="44" spans="1:9" x14ac:dyDescent="0.15">
      <c r="A44" s="23"/>
      <c r="B44" s="23"/>
      <c r="C44" s="39"/>
    </row>
    <row r="45" spans="1:9" x14ac:dyDescent="0.15">
      <c r="A45" s="23"/>
      <c r="B45" s="23"/>
      <c r="C45" s="39"/>
      <c r="D45" s="23"/>
    </row>
    <row r="46" spans="1:9" x14ac:dyDescent="0.15">
      <c r="A46" s="23"/>
      <c r="B46" s="23"/>
      <c r="C46" s="39"/>
      <c r="E46" s="24"/>
    </row>
  </sheetData>
  <pageMargins left="0.75" right="0.75" top="1" bottom="1" header="0.5" footer="0.5"/>
  <pageSetup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91D05-AC5F-4748-9C6A-505C6B8C3600}">
  <sheetPr>
    <tabColor theme="5"/>
  </sheetPr>
  <dimension ref="A1:O29"/>
  <sheetViews>
    <sheetView workbookViewId="0">
      <selection activeCell="K1" sqref="K1:R1048576"/>
    </sheetView>
  </sheetViews>
  <sheetFormatPr baseColWidth="10" defaultRowHeight="13" x14ac:dyDescent="0.15"/>
  <cols>
    <col min="1" max="1" width="12.5" customWidth="1"/>
    <col min="10" max="12" width="12.5" customWidth="1"/>
    <col min="13" max="13" width="5.5" customWidth="1"/>
    <col min="14" max="14" width="15.5" customWidth="1"/>
  </cols>
  <sheetData>
    <row r="1" spans="1:15" x14ac:dyDescent="0.15">
      <c r="A1" s="23" t="s">
        <v>185</v>
      </c>
      <c r="B1" s="428" t="s">
        <v>189</v>
      </c>
      <c r="C1" s="429"/>
      <c r="D1" s="428" t="s">
        <v>190</v>
      </c>
      <c r="E1" s="429"/>
      <c r="F1" s="428" t="s">
        <v>191</v>
      </c>
      <c r="G1" s="430"/>
      <c r="H1" s="429"/>
      <c r="I1" s="426" t="s">
        <v>336</v>
      </c>
      <c r="J1" s="427"/>
      <c r="K1" s="427"/>
      <c r="N1" t="s">
        <v>313</v>
      </c>
      <c r="O1" t="s">
        <v>28</v>
      </c>
    </row>
    <row r="2" spans="1:15" x14ac:dyDescent="0.15">
      <c r="B2" s="126" t="s">
        <v>187</v>
      </c>
      <c r="C2" s="127" t="s">
        <v>188</v>
      </c>
      <c r="D2" s="126" t="s">
        <v>187</v>
      </c>
      <c r="E2" s="127" t="s">
        <v>188</v>
      </c>
      <c r="F2" s="126" t="s">
        <v>111</v>
      </c>
      <c r="G2" s="128" t="s">
        <v>112</v>
      </c>
      <c r="H2" s="127" t="s">
        <v>188</v>
      </c>
      <c r="I2" s="256" t="s">
        <v>111</v>
      </c>
      <c r="J2" s="256" t="s">
        <v>112</v>
      </c>
      <c r="K2" s="256" t="s">
        <v>188</v>
      </c>
      <c r="N2" s="304" t="s">
        <v>314</v>
      </c>
      <c r="O2" s="8">
        <v>54</v>
      </c>
    </row>
    <row r="3" spans="1:15" x14ac:dyDescent="0.15">
      <c r="A3" s="129" t="s">
        <v>90</v>
      </c>
      <c r="B3" s="33">
        <v>651</v>
      </c>
      <c r="C3" s="116">
        <v>1061</v>
      </c>
      <c r="D3" s="33">
        <v>683</v>
      </c>
      <c r="E3" s="116">
        <v>1203</v>
      </c>
      <c r="F3" s="33">
        <v>800</v>
      </c>
      <c r="G3">
        <v>1254</v>
      </c>
      <c r="H3" s="116">
        <v>1415</v>
      </c>
      <c r="I3">
        <v>600</v>
      </c>
      <c r="J3">
        <v>941</v>
      </c>
      <c r="K3">
        <v>1061</v>
      </c>
      <c r="N3" t="s">
        <v>315</v>
      </c>
      <c r="O3" s="8">
        <v>72</v>
      </c>
    </row>
    <row r="4" spans="1:15" x14ac:dyDescent="0.15">
      <c r="A4" s="130" t="s">
        <v>91</v>
      </c>
      <c r="B4" s="33">
        <v>625</v>
      </c>
      <c r="C4" s="116">
        <v>1053</v>
      </c>
      <c r="D4" s="33">
        <v>656</v>
      </c>
      <c r="E4" s="116">
        <v>1193</v>
      </c>
      <c r="F4" s="33">
        <v>750</v>
      </c>
      <c r="G4">
        <v>1140</v>
      </c>
      <c r="H4" s="116">
        <v>1404</v>
      </c>
      <c r="I4">
        <v>563</v>
      </c>
      <c r="J4">
        <v>855</v>
      </c>
      <c r="K4">
        <v>1053</v>
      </c>
      <c r="N4" t="s">
        <v>316</v>
      </c>
      <c r="O4" s="8">
        <v>90</v>
      </c>
    </row>
    <row r="5" spans="1:15" x14ac:dyDescent="0.15">
      <c r="A5" s="130" t="s">
        <v>86</v>
      </c>
      <c r="B5" s="33">
        <v>586</v>
      </c>
      <c r="C5" s="116">
        <v>795</v>
      </c>
      <c r="D5" s="33">
        <v>620</v>
      </c>
      <c r="E5" s="116">
        <v>901</v>
      </c>
      <c r="F5" s="33">
        <v>730</v>
      </c>
      <c r="G5">
        <v>1000</v>
      </c>
      <c r="H5" s="116">
        <v>1060</v>
      </c>
      <c r="I5">
        <v>548</v>
      </c>
      <c r="J5">
        <v>750</v>
      </c>
      <c r="K5">
        <v>795</v>
      </c>
    </row>
    <row r="6" spans="1:15" x14ac:dyDescent="0.15">
      <c r="A6" s="130" t="s">
        <v>118</v>
      </c>
      <c r="B6" s="33">
        <v>586</v>
      </c>
      <c r="C6" s="116">
        <v>641</v>
      </c>
      <c r="D6" s="33">
        <v>600</v>
      </c>
      <c r="E6" s="116">
        <v>727</v>
      </c>
      <c r="F6" s="33">
        <v>610</v>
      </c>
      <c r="G6">
        <v>750</v>
      </c>
      <c r="H6" s="116">
        <v>641</v>
      </c>
      <c r="I6">
        <v>458</v>
      </c>
      <c r="J6">
        <v>563</v>
      </c>
      <c r="K6">
        <v>641</v>
      </c>
    </row>
    <row r="7" spans="1:15" x14ac:dyDescent="0.15">
      <c r="A7" s="131" t="s">
        <v>186</v>
      </c>
      <c r="B7" s="125">
        <v>651</v>
      </c>
      <c r="C7" s="117">
        <v>1061</v>
      </c>
      <c r="D7" s="125">
        <v>683</v>
      </c>
      <c r="E7" s="117">
        <v>1203</v>
      </c>
      <c r="F7" s="125">
        <v>800</v>
      </c>
      <c r="G7" s="100">
        <v>1254</v>
      </c>
      <c r="H7" s="117">
        <v>1415</v>
      </c>
      <c r="I7">
        <v>600</v>
      </c>
      <c r="J7">
        <v>941</v>
      </c>
      <c r="K7">
        <v>1061</v>
      </c>
    </row>
    <row r="10" spans="1:15" x14ac:dyDescent="0.15">
      <c r="A10" s="23" t="s">
        <v>192</v>
      </c>
      <c r="B10" s="428" t="s">
        <v>189</v>
      </c>
      <c r="C10" s="429"/>
      <c r="D10" s="428" t="s">
        <v>190</v>
      </c>
      <c r="E10" s="429"/>
      <c r="F10" s="428" t="s">
        <v>191</v>
      </c>
      <c r="G10" s="430"/>
      <c r="H10" s="429"/>
      <c r="I10" s="426" t="s">
        <v>336</v>
      </c>
      <c r="J10" s="427"/>
      <c r="K10" s="427"/>
    </row>
    <row r="11" spans="1:15" x14ac:dyDescent="0.15">
      <c r="B11" s="126" t="s">
        <v>187</v>
      </c>
      <c r="C11" s="127" t="s">
        <v>188</v>
      </c>
      <c r="D11" s="126" t="s">
        <v>187</v>
      </c>
      <c r="E11" s="127" t="s">
        <v>188</v>
      </c>
      <c r="F11" s="126" t="s">
        <v>111</v>
      </c>
      <c r="G11" s="128" t="s">
        <v>112</v>
      </c>
      <c r="H11" s="127" t="s">
        <v>188</v>
      </c>
      <c r="I11" s="256" t="s">
        <v>111</v>
      </c>
      <c r="J11" s="256" t="s">
        <v>112</v>
      </c>
      <c r="K11" s="256" t="s">
        <v>188</v>
      </c>
    </row>
    <row r="12" spans="1:15" x14ac:dyDescent="0.15">
      <c r="A12" s="129" t="s">
        <v>90</v>
      </c>
      <c r="B12" s="33">
        <v>520</v>
      </c>
      <c r="C12" s="116">
        <v>641</v>
      </c>
      <c r="D12" s="33">
        <v>560</v>
      </c>
      <c r="E12" s="116">
        <v>727</v>
      </c>
      <c r="F12" s="33">
        <v>600</v>
      </c>
      <c r="G12">
        <v>750</v>
      </c>
      <c r="H12" s="116">
        <v>855</v>
      </c>
      <c r="I12">
        <v>450</v>
      </c>
      <c r="J12">
        <v>563</v>
      </c>
      <c r="K12">
        <v>641</v>
      </c>
    </row>
    <row r="13" spans="1:15" x14ac:dyDescent="0.15">
      <c r="A13" s="130" t="s">
        <v>91</v>
      </c>
      <c r="B13" s="33">
        <v>499</v>
      </c>
      <c r="C13" s="116">
        <v>589</v>
      </c>
      <c r="D13" s="33">
        <v>533</v>
      </c>
      <c r="E13" s="116">
        <v>667</v>
      </c>
      <c r="F13" s="33">
        <v>555</v>
      </c>
      <c r="G13">
        <v>700</v>
      </c>
      <c r="H13" s="116">
        <v>785</v>
      </c>
      <c r="I13">
        <v>416</v>
      </c>
      <c r="J13">
        <v>525</v>
      </c>
      <c r="K13">
        <v>589</v>
      </c>
    </row>
    <row r="14" spans="1:15" x14ac:dyDescent="0.15">
      <c r="A14" s="130" t="s">
        <v>86</v>
      </c>
      <c r="B14" s="33">
        <v>494</v>
      </c>
      <c r="C14" s="116">
        <v>510</v>
      </c>
      <c r="D14" s="33">
        <v>533</v>
      </c>
      <c r="E14" s="116">
        <v>578</v>
      </c>
      <c r="F14" s="33">
        <v>550</v>
      </c>
      <c r="G14">
        <v>650</v>
      </c>
      <c r="H14" s="116">
        <v>680</v>
      </c>
      <c r="I14">
        <v>413</v>
      </c>
      <c r="J14">
        <v>488</v>
      </c>
      <c r="K14">
        <v>510</v>
      </c>
    </row>
    <row r="15" spans="1:15" x14ac:dyDescent="0.15">
      <c r="A15" s="130" t="s">
        <v>118</v>
      </c>
      <c r="B15" s="33">
        <v>480</v>
      </c>
      <c r="C15" s="116">
        <v>431</v>
      </c>
      <c r="D15" s="33">
        <v>500</v>
      </c>
      <c r="E15" s="116">
        <v>489</v>
      </c>
      <c r="F15" s="33">
        <v>510</v>
      </c>
      <c r="G15">
        <v>600</v>
      </c>
      <c r="H15" s="116">
        <v>575</v>
      </c>
      <c r="I15">
        <v>383</v>
      </c>
      <c r="J15">
        <v>450</v>
      </c>
      <c r="K15">
        <v>431</v>
      </c>
    </row>
    <row r="16" spans="1:15" x14ac:dyDescent="0.15">
      <c r="A16" s="131" t="s">
        <v>186</v>
      </c>
      <c r="B16" s="125">
        <v>520</v>
      </c>
      <c r="C16" s="117">
        <v>641</v>
      </c>
      <c r="D16" s="125">
        <v>560</v>
      </c>
      <c r="E16" s="117">
        <v>727</v>
      </c>
      <c r="F16" s="125">
        <v>600</v>
      </c>
      <c r="G16" s="100">
        <v>750</v>
      </c>
      <c r="H16" s="117">
        <v>855</v>
      </c>
      <c r="I16">
        <v>450</v>
      </c>
      <c r="J16">
        <v>563</v>
      </c>
      <c r="K16">
        <v>641</v>
      </c>
    </row>
    <row r="19" spans="1:11" x14ac:dyDescent="0.15">
      <c r="A19" s="23" t="s">
        <v>193</v>
      </c>
      <c r="B19" s="428" t="s">
        <v>189</v>
      </c>
      <c r="C19" s="429"/>
      <c r="D19" s="428" t="s">
        <v>190</v>
      </c>
      <c r="E19" s="429"/>
      <c r="F19" s="428" t="s">
        <v>191</v>
      </c>
      <c r="G19" s="430"/>
      <c r="H19" s="429"/>
      <c r="I19" s="426" t="s">
        <v>336</v>
      </c>
      <c r="J19" s="427"/>
      <c r="K19" s="427"/>
    </row>
    <row r="20" spans="1:11" x14ac:dyDescent="0.15">
      <c r="B20" s="126" t="s">
        <v>187</v>
      </c>
      <c r="C20" s="127" t="s">
        <v>188</v>
      </c>
      <c r="D20" s="126" t="s">
        <v>187</v>
      </c>
      <c r="E20" s="127" t="s">
        <v>188</v>
      </c>
      <c r="F20" s="126" t="s">
        <v>111</v>
      </c>
      <c r="G20" s="128" t="s">
        <v>112</v>
      </c>
      <c r="H20" s="127" t="s">
        <v>188</v>
      </c>
      <c r="I20" s="256" t="s">
        <v>111</v>
      </c>
      <c r="J20" s="256" t="s">
        <v>112</v>
      </c>
      <c r="K20" s="256" t="s">
        <v>188</v>
      </c>
    </row>
    <row r="21" spans="1:11" x14ac:dyDescent="0.15">
      <c r="A21" s="129" t="s">
        <v>90</v>
      </c>
      <c r="B21" s="33">
        <v>520</v>
      </c>
      <c r="C21" s="116">
        <v>641</v>
      </c>
      <c r="D21" s="33">
        <v>560</v>
      </c>
      <c r="E21" s="116">
        <v>727</v>
      </c>
      <c r="F21" s="33">
        <v>600</v>
      </c>
      <c r="G21">
        <v>750</v>
      </c>
      <c r="H21" s="116">
        <v>855</v>
      </c>
      <c r="I21">
        <v>450</v>
      </c>
      <c r="J21">
        <v>563</v>
      </c>
      <c r="K21">
        <v>641</v>
      </c>
    </row>
    <row r="22" spans="1:11" x14ac:dyDescent="0.15">
      <c r="A22" s="130" t="s">
        <v>91</v>
      </c>
      <c r="B22" s="33">
        <v>499</v>
      </c>
      <c r="C22" s="116">
        <v>589</v>
      </c>
      <c r="D22" s="33">
        <v>533</v>
      </c>
      <c r="E22" s="116">
        <v>667</v>
      </c>
      <c r="F22" s="33">
        <v>555</v>
      </c>
      <c r="G22">
        <v>700</v>
      </c>
      <c r="H22" s="116">
        <v>785</v>
      </c>
      <c r="I22">
        <v>416</v>
      </c>
      <c r="J22">
        <v>525</v>
      </c>
      <c r="K22">
        <v>589</v>
      </c>
    </row>
    <row r="23" spans="1:11" x14ac:dyDescent="0.15">
      <c r="A23" s="130" t="s">
        <v>86</v>
      </c>
      <c r="B23" s="33">
        <v>494</v>
      </c>
      <c r="C23" s="116">
        <v>510</v>
      </c>
      <c r="D23" s="33">
        <v>533</v>
      </c>
      <c r="E23" s="116">
        <v>578</v>
      </c>
      <c r="F23" s="33">
        <v>550</v>
      </c>
      <c r="G23">
        <v>650</v>
      </c>
      <c r="H23" s="116">
        <v>680</v>
      </c>
      <c r="I23">
        <v>413</v>
      </c>
      <c r="J23">
        <v>488</v>
      </c>
      <c r="K23">
        <v>510</v>
      </c>
    </row>
    <row r="24" spans="1:11" x14ac:dyDescent="0.15">
      <c r="A24" s="130" t="s">
        <v>118</v>
      </c>
      <c r="B24" s="33">
        <v>480</v>
      </c>
      <c r="C24" s="116">
        <v>431</v>
      </c>
      <c r="D24" s="33">
        <v>500</v>
      </c>
      <c r="E24" s="116">
        <v>489</v>
      </c>
      <c r="F24" s="33">
        <v>510</v>
      </c>
      <c r="G24">
        <v>600</v>
      </c>
      <c r="H24" s="116">
        <v>575</v>
      </c>
      <c r="I24">
        <v>383</v>
      </c>
      <c r="J24">
        <v>450</v>
      </c>
      <c r="K24">
        <v>431</v>
      </c>
    </row>
    <row r="25" spans="1:11" x14ac:dyDescent="0.15">
      <c r="A25" s="131" t="s">
        <v>186</v>
      </c>
      <c r="B25" s="125">
        <v>520</v>
      </c>
      <c r="C25" s="117">
        <v>641</v>
      </c>
      <c r="D25" s="125">
        <v>560</v>
      </c>
      <c r="E25" s="117">
        <v>727</v>
      </c>
      <c r="F25" s="125">
        <v>600</v>
      </c>
      <c r="G25" s="100">
        <v>750</v>
      </c>
      <c r="H25" s="117">
        <v>855</v>
      </c>
      <c r="I25">
        <v>450</v>
      </c>
      <c r="J25">
        <v>563</v>
      </c>
      <c r="K25">
        <v>641</v>
      </c>
    </row>
    <row r="28" spans="1:11" x14ac:dyDescent="0.15">
      <c r="A28" s="17" t="s">
        <v>194</v>
      </c>
    </row>
    <row r="29" spans="1:11" x14ac:dyDescent="0.15">
      <c r="A29" s="23" t="s">
        <v>195</v>
      </c>
    </row>
  </sheetData>
  <mergeCells count="12">
    <mergeCell ref="I1:K1"/>
    <mergeCell ref="I10:K10"/>
    <mergeCell ref="I19:K19"/>
    <mergeCell ref="B1:C1"/>
    <mergeCell ref="D1:E1"/>
    <mergeCell ref="F1:H1"/>
    <mergeCell ref="B19:C19"/>
    <mergeCell ref="D19:E19"/>
    <mergeCell ref="F19:H19"/>
    <mergeCell ref="B10:C10"/>
    <mergeCell ref="D10:E10"/>
    <mergeCell ref="F10:H10"/>
  </mergeCells>
  <hyperlinks>
    <hyperlink ref="A28" r:id="rId1" xr:uid="{5114977C-7A65-F74A-AB85-8367654866F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1821-06F8-8244-9E5B-A1101AAC2320}">
  <sheetPr>
    <tabColor theme="5"/>
  </sheetPr>
  <dimension ref="A1:F31"/>
  <sheetViews>
    <sheetView workbookViewId="0">
      <selection activeCell="K1" sqref="K1:R1048576"/>
    </sheetView>
  </sheetViews>
  <sheetFormatPr baseColWidth="10" defaultRowHeight="13" x14ac:dyDescent="0.15"/>
  <sheetData>
    <row r="1" spans="1:6" x14ac:dyDescent="0.15">
      <c r="A1" s="23" t="s">
        <v>175</v>
      </c>
      <c r="B1" s="428" t="s">
        <v>191</v>
      </c>
      <c r="C1" s="430"/>
      <c r="D1" s="429"/>
      <c r="F1" s="23" t="s">
        <v>329</v>
      </c>
    </row>
    <row r="2" spans="1:6" x14ac:dyDescent="0.15">
      <c r="B2" s="126" t="s">
        <v>112</v>
      </c>
      <c r="C2" s="128" t="s">
        <v>111</v>
      </c>
      <c r="D2" s="127" t="s">
        <v>188</v>
      </c>
      <c r="F2" s="17" t="s">
        <v>330</v>
      </c>
    </row>
    <row r="3" spans="1:6" x14ac:dyDescent="0.15">
      <c r="A3" s="129" t="s">
        <v>90</v>
      </c>
      <c r="B3" s="33">
        <v>1300</v>
      </c>
      <c r="C3" s="390">
        <v>800</v>
      </c>
      <c r="D3">
        <v>1570</v>
      </c>
    </row>
    <row r="4" spans="1:6" x14ac:dyDescent="0.15">
      <c r="A4" s="130" t="s">
        <v>91</v>
      </c>
      <c r="B4" s="33">
        <v>1200</v>
      </c>
      <c r="C4" s="390">
        <v>700</v>
      </c>
      <c r="D4">
        <v>1595</v>
      </c>
    </row>
    <row r="5" spans="1:6" x14ac:dyDescent="0.15">
      <c r="A5" s="130" t="s">
        <v>86</v>
      </c>
      <c r="B5" s="33">
        <v>1044</v>
      </c>
      <c r="C5" s="390">
        <v>700</v>
      </c>
      <c r="D5">
        <v>1200</v>
      </c>
    </row>
    <row r="6" spans="1:6" x14ac:dyDescent="0.15">
      <c r="A6" s="131" t="s">
        <v>331</v>
      </c>
      <c r="B6" s="125">
        <v>750</v>
      </c>
      <c r="C6" s="390">
        <v>600</v>
      </c>
      <c r="D6">
        <v>520</v>
      </c>
    </row>
    <row r="7" spans="1:6" x14ac:dyDescent="0.15">
      <c r="A7" s="391" t="s">
        <v>332</v>
      </c>
    </row>
    <row r="9" spans="1:6" x14ac:dyDescent="0.15">
      <c r="A9" s="23"/>
      <c r="B9" s="428" t="s">
        <v>111</v>
      </c>
      <c r="C9" s="430"/>
      <c r="D9" s="429"/>
    </row>
    <row r="10" spans="1:6" x14ac:dyDescent="0.15">
      <c r="B10" s="126" t="s">
        <v>258</v>
      </c>
      <c r="C10" s="128" t="s">
        <v>259</v>
      </c>
      <c r="D10" s="127" t="s">
        <v>260</v>
      </c>
      <c r="E10" s="256"/>
    </row>
    <row r="11" spans="1:6" x14ac:dyDescent="0.15">
      <c r="A11" s="129" t="s">
        <v>90</v>
      </c>
      <c r="B11" s="33">
        <v>600</v>
      </c>
      <c r="C11">
        <v>750</v>
      </c>
      <c r="D11" s="116">
        <v>950</v>
      </c>
    </row>
    <row r="12" spans="1:6" x14ac:dyDescent="0.15">
      <c r="A12" s="130" t="s">
        <v>91</v>
      </c>
      <c r="B12" s="33">
        <v>570</v>
      </c>
      <c r="C12">
        <v>700</v>
      </c>
      <c r="D12" s="116">
        <v>880</v>
      </c>
    </row>
    <row r="13" spans="1:6" x14ac:dyDescent="0.15">
      <c r="A13" s="130" t="s">
        <v>86</v>
      </c>
      <c r="B13" s="33">
        <v>570</v>
      </c>
      <c r="C13">
        <v>650</v>
      </c>
      <c r="D13" s="116">
        <v>800</v>
      </c>
    </row>
    <row r="14" spans="1:6" x14ac:dyDescent="0.15">
      <c r="A14" s="131" t="s">
        <v>331</v>
      </c>
      <c r="B14" s="125">
        <v>510</v>
      </c>
      <c r="C14" s="100">
        <v>600</v>
      </c>
      <c r="D14" s="117">
        <v>730</v>
      </c>
    </row>
    <row r="15" spans="1:6" x14ac:dyDescent="0.15">
      <c r="A15" s="391" t="s">
        <v>332</v>
      </c>
      <c r="B15" s="33">
        <v>550</v>
      </c>
      <c r="C15">
        <v>600</v>
      </c>
      <c r="D15" s="116">
        <v>660</v>
      </c>
    </row>
    <row r="17" spans="1:5" x14ac:dyDescent="0.15">
      <c r="A17" s="23"/>
      <c r="B17" s="428" t="s">
        <v>257</v>
      </c>
      <c r="C17" s="430"/>
      <c r="D17" s="430"/>
      <c r="E17" s="429"/>
    </row>
    <row r="18" spans="1:5" x14ac:dyDescent="0.15">
      <c r="B18" s="126" t="s">
        <v>258</v>
      </c>
      <c r="C18" s="128" t="s">
        <v>259</v>
      </c>
      <c r="D18" s="128" t="s">
        <v>260</v>
      </c>
      <c r="E18" s="258" t="s">
        <v>261</v>
      </c>
    </row>
    <row r="19" spans="1:5" x14ac:dyDescent="0.15">
      <c r="A19" s="129" t="s">
        <v>90</v>
      </c>
      <c r="B19" s="33">
        <v>840</v>
      </c>
      <c r="C19">
        <v>900</v>
      </c>
      <c r="D19">
        <v>1254</v>
      </c>
      <c r="E19" s="257">
        <v>1650</v>
      </c>
    </row>
    <row r="20" spans="1:5" x14ac:dyDescent="0.15">
      <c r="A20" s="130" t="s">
        <v>91</v>
      </c>
      <c r="B20" s="33">
        <v>750</v>
      </c>
      <c r="C20">
        <v>775</v>
      </c>
      <c r="D20">
        <v>1200</v>
      </c>
      <c r="E20" s="116">
        <v>1550</v>
      </c>
    </row>
    <row r="21" spans="1:5" x14ac:dyDescent="0.15">
      <c r="A21" s="130" t="s">
        <v>86</v>
      </c>
      <c r="B21" s="33">
        <v>685</v>
      </c>
      <c r="C21">
        <v>750</v>
      </c>
      <c r="D21">
        <v>1000</v>
      </c>
      <c r="E21" s="116">
        <v>1250</v>
      </c>
    </row>
    <row r="22" spans="1:5" x14ac:dyDescent="0.15">
      <c r="A22" s="131" t="s">
        <v>331</v>
      </c>
      <c r="B22" s="125">
        <v>600</v>
      </c>
      <c r="C22" s="100">
        <v>600</v>
      </c>
      <c r="D22" s="100">
        <v>850</v>
      </c>
      <c r="E22" s="117">
        <v>950</v>
      </c>
    </row>
    <row r="23" spans="1:5" x14ac:dyDescent="0.15">
      <c r="A23" s="391" t="s">
        <v>332</v>
      </c>
      <c r="B23" s="33">
        <v>695</v>
      </c>
      <c r="C23">
        <v>675</v>
      </c>
      <c r="D23">
        <v>800</v>
      </c>
      <c r="E23" s="116">
        <v>1000</v>
      </c>
    </row>
    <row r="24" spans="1:5" x14ac:dyDescent="0.15">
      <c r="A24" s="23"/>
    </row>
    <row r="25" spans="1:5" x14ac:dyDescent="0.15">
      <c r="A25" s="23"/>
      <c r="B25" s="428" t="s">
        <v>234</v>
      </c>
      <c r="C25" s="430"/>
      <c r="D25" s="430"/>
      <c r="E25" s="429"/>
    </row>
    <row r="26" spans="1:5" x14ac:dyDescent="0.15">
      <c r="B26" s="126" t="s">
        <v>258</v>
      </c>
      <c r="C26" s="128" t="s">
        <v>259</v>
      </c>
      <c r="D26" s="128" t="s">
        <v>260</v>
      </c>
      <c r="E26" s="127" t="s">
        <v>261</v>
      </c>
    </row>
    <row r="27" spans="1:5" x14ac:dyDescent="0.15">
      <c r="A27" s="129" t="s">
        <v>90</v>
      </c>
      <c r="B27" s="33">
        <v>875</v>
      </c>
      <c r="C27">
        <v>1068</v>
      </c>
      <c r="D27">
        <v>1470</v>
      </c>
      <c r="E27" s="116">
        <v>1680</v>
      </c>
    </row>
    <row r="28" spans="1:5" x14ac:dyDescent="0.15">
      <c r="A28" s="130" t="s">
        <v>91</v>
      </c>
      <c r="B28" s="33">
        <v>820</v>
      </c>
      <c r="C28">
        <v>1024</v>
      </c>
      <c r="D28">
        <v>1457</v>
      </c>
      <c r="E28" s="116">
        <v>1680</v>
      </c>
    </row>
    <row r="29" spans="1:5" x14ac:dyDescent="0.15">
      <c r="A29" s="130" t="s">
        <v>86</v>
      </c>
      <c r="B29" s="33">
        <v>680</v>
      </c>
      <c r="C29">
        <v>800</v>
      </c>
      <c r="D29">
        <v>1135</v>
      </c>
      <c r="E29" s="116">
        <v>1346</v>
      </c>
    </row>
    <row r="30" spans="1:5" x14ac:dyDescent="0.15">
      <c r="A30" s="131" t="s">
        <v>331</v>
      </c>
      <c r="B30" s="125">
        <v>400</v>
      </c>
      <c r="C30" s="100">
        <v>434</v>
      </c>
      <c r="D30" s="117">
        <v>650</v>
      </c>
      <c r="E30" s="117">
        <v>548</v>
      </c>
    </row>
    <row r="31" spans="1:5" x14ac:dyDescent="0.15">
      <c r="A31" s="391" t="s">
        <v>332</v>
      </c>
      <c r="B31" s="33">
        <v>590</v>
      </c>
      <c r="C31">
        <v>590</v>
      </c>
      <c r="D31">
        <v>900</v>
      </c>
      <c r="E31" s="116">
        <v>1275</v>
      </c>
    </row>
  </sheetData>
  <mergeCells count="4">
    <mergeCell ref="B17:E17"/>
    <mergeCell ref="B25:E25"/>
    <mergeCell ref="B1:D1"/>
    <mergeCell ref="B9:D9"/>
  </mergeCells>
  <hyperlinks>
    <hyperlink ref="F2" r:id="rId1" xr:uid="{B1F2B134-9DC0-1649-8E9B-512560EA676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7D33-A6BF-BE41-987E-1D38E46FE635}">
  <sheetPr codeName="Sheet12">
    <tabColor theme="5" tint="0.39997558519241921"/>
  </sheetPr>
  <dimension ref="A1:T16"/>
  <sheetViews>
    <sheetView workbookViewId="0">
      <selection activeCell="K1" sqref="K1:R1048576"/>
    </sheetView>
  </sheetViews>
  <sheetFormatPr baseColWidth="10" defaultColWidth="8.83203125" defaultRowHeight="13" x14ac:dyDescent="0.15"/>
  <cols>
    <col min="1" max="1" width="13.83203125" style="237" customWidth="1"/>
    <col min="2" max="2" width="8.83203125" style="237"/>
    <col min="3" max="3" width="8.83203125" style="237" customWidth="1"/>
    <col min="4" max="16384" width="8.83203125" style="237"/>
  </cols>
  <sheetData>
    <row r="1" spans="1:20" x14ac:dyDescent="0.15">
      <c r="A1" s="237" t="s">
        <v>231</v>
      </c>
      <c r="L1" s="238" t="s">
        <v>232</v>
      </c>
    </row>
    <row r="2" spans="1:20" x14ac:dyDescent="0.15">
      <c r="A2" s="237" t="s">
        <v>233</v>
      </c>
    </row>
    <row r="3" spans="1:20" ht="25.75" customHeight="1" x14ac:dyDescent="0.15">
      <c r="A3" s="237" t="s">
        <v>250</v>
      </c>
    </row>
    <row r="4" spans="1:20" x14ac:dyDescent="0.15">
      <c r="A4" s="237" t="s">
        <v>234</v>
      </c>
      <c r="H4" s="239"/>
      <c r="I4" s="240" t="s">
        <v>235</v>
      </c>
      <c r="Q4" s="17" t="s">
        <v>251</v>
      </c>
    </row>
    <row r="5" spans="1:20" ht="28" x14ac:dyDescent="0.15">
      <c r="A5" s="241" t="s">
        <v>236</v>
      </c>
      <c r="D5" s="242" t="s">
        <v>237</v>
      </c>
      <c r="E5" s="243" t="s">
        <v>238</v>
      </c>
      <c r="F5" s="242" t="s">
        <v>239</v>
      </c>
      <c r="H5" s="241" t="s">
        <v>240</v>
      </c>
      <c r="J5" s="237" t="s">
        <v>241</v>
      </c>
      <c r="L5" s="237" t="s">
        <v>242</v>
      </c>
      <c r="R5" s="242"/>
      <c r="S5" s="243"/>
      <c r="T5" s="242"/>
    </row>
    <row r="6" spans="1:20" x14ac:dyDescent="0.15">
      <c r="A6" s="237" t="s">
        <v>243</v>
      </c>
      <c r="B6" s="237" t="s">
        <v>244</v>
      </c>
      <c r="D6" s="244">
        <v>0.32</v>
      </c>
      <c r="E6" s="244">
        <v>0.33</v>
      </c>
      <c r="F6" s="244">
        <v>0.08</v>
      </c>
      <c r="H6" s="244">
        <f>SUM(D6,E6,2*F6)</f>
        <v>0.81</v>
      </c>
      <c r="J6" s="245">
        <f>5*H6</f>
        <v>4.0500000000000007</v>
      </c>
      <c r="L6" s="244">
        <f>D6+(2*F6)</f>
        <v>0.48</v>
      </c>
    </row>
    <row r="7" spans="1:20" x14ac:dyDescent="0.15">
      <c r="A7" s="237" t="s">
        <v>245</v>
      </c>
      <c r="B7" s="237" t="s">
        <v>246</v>
      </c>
      <c r="D7" s="244">
        <v>1.59</v>
      </c>
      <c r="E7" s="244">
        <v>3.11</v>
      </c>
      <c r="F7" s="244">
        <v>0.47</v>
      </c>
      <c r="H7" s="244">
        <f>SUM(D7,E7,2*F7)</f>
        <v>5.6400000000000006</v>
      </c>
      <c r="J7" s="245">
        <f>5*H7</f>
        <v>28.200000000000003</v>
      </c>
      <c r="L7" s="244">
        <f>D7+(2*F7)</f>
        <v>2.5300000000000002</v>
      </c>
    </row>
    <row r="8" spans="1:20" x14ac:dyDescent="0.15">
      <c r="A8" s="237" t="s">
        <v>247</v>
      </c>
      <c r="B8" s="237" t="s">
        <v>248</v>
      </c>
      <c r="D8" s="244">
        <v>1.89</v>
      </c>
      <c r="E8" s="244">
        <v>3.51</v>
      </c>
      <c r="F8" s="244">
        <v>0.96</v>
      </c>
      <c r="H8" s="244">
        <f>SUM(D8,E8,2*F8)</f>
        <v>7.3199999999999994</v>
      </c>
      <c r="J8" s="245">
        <f>5*H8</f>
        <v>36.599999999999994</v>
      </c>
      <c r="L8" s="244">
        <f>D8+(2*F8)</f>
        <v>3.8099999999999996</v>
      </c>
    </row>
    <row r="9" spans="1:20" x14ac:dyDescent="0.15">
      <c r="D9" s="244"/>
      <c r="E9" s="244"/>
      <c r="F9" s="244"/>
    </row>
    <row r="10" spans="1:20" x14ac:dyDescent="0.15">
      <c r="H10" s="240" t="s">
        <v>249</v>
      </c>
    </row>
    <row r="16" spans="1:20" x14ac:dyDescent="0.15">
      <c r="J16" s="237">
        <f>22.95*66*52</f>
        <v>78764.400000000009</v>
      </c>
    </row>
  </sheetData>
  <pageMargins left="0.75" right="0.75" top="1" bottom="1" header="0.5" footer="0.5"/>
  <pageSetup orientation="portrait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377F8633B7744F9A6B595A6F8C5159" ma:contentTypeVersion="6" ma:contentTypeDescription="Create a new document." ma:contentTypeScope="" ma:versionID="113844522edad12d8d21687a2c779e99">
  <xsd:schema xmlns:xsd="http://www.w3.org/2001/XMLSchema" xmlns:xs="http://www.w3.org/2001/XMLSchema" xmlns:p="http://schemas.microsoft.com/office/2006/metadata/properties" xmlns:ns1="http://schemas.microsoft.com/sharepoint/v3" xmlns:ns2="72b02b42-27c2-4ae3-a39f-3945b410e3bb" xmlns:ns3="82da573d-96d7-443e-be48-dda8c9da9147" targetNamespace="http://schemas.microsoft.com/office/2006/metadata/properties" ma:root="true" ma:fieldsID="a289bb13431d0cef0fd2d94697a1dd47" ns1:_="" ns2:_="" ns3:_="">
    <xsd:import namespace="http://schemas.microsoft.com/sharepoint/v3"/>
    <xsd:import namespace="72b02b42-27c2-4ae3-a39f-3945b410e3bb"/>
    <xsd:import namespace="82da573d-96d7-443e-be48-dda8c9da914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Reports" minOccurs="0"/>
                <xsd:element ref="ns3:DELC_x0020_Program_x0020_Type" minOccurs="0"/>
                <xsd:element ref="ns3:Year" minOccurs="0"/>
                <xsd:element ref="ns3:Meeting_x0020_Materia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02b42-27c2-4ae3-a39f-3945b410e3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a573d-96d7-443e-be48-dda8c9da9147" elementFormDefault="qualified">
    <xsd:import namespace="http://schemas.microsoft.com/office/2006/documentManagement/types"/>
    <xsd:import namespace="http://schemas.microsoft.com/office/infopath/2007/PartnerControls"/>
    <xsd:element name="Reports" ma:index="11" nillable="true" ma:displayName="Reports" ma:internalName="Report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ademic Report"/>
                    <xsd:enumeration value="Legislative Report"/>
                    <xsd:enumeration value="State Report"/>
                  </xsd:restriction>
                </xsd:simpleType>
              </xsd:element>
            </xsd:sequence>
          </xsd:extension>
        </xsd:complexContent>
      </xsd:complexType>
    </xsd:element>
    <xsd:element name="DELC_x0020_Program_x0020_Type" ma:index="12" nillable="true" ma:displayName="DELC Program Type" ma:internalName="DELC_x0020_Program_x0020_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rth Through Five Literacy Plan"/>
                    <xsd:enumeration value="Early Childhood Equity Fund"/>
                    <xsd:enumeration value="Early Learning Council"/>
                    <xsd:enumeration value="Employment Related Daycare (ERDC)"/>
                    <xsd:enumeration value="Preschool Promise"/>
                    <xsd:enumeration value="Healthy Families Oregon"/>
                    <xsd:enumeration value="HUB"/>
                    <xsd:enumeration value="Provider Information Session"/>
                    <xsd:enumeration value="CCDF State Plan"/>
                    <xsd:enumeration value="Rule Making"/>
                    <xsd:enumeration value="Early Childhood Suspension &amp; Expulsion Prevention Program (SEPP)"/>
                  </xsd:restriction>
                </xsd:simpleType>
              </xsd:element>
            </xsd:sequence>
          </xsd:extension>
        </xsd:complexContent>
      </xsd:complexType>
    </xsd:element>
    <xsd:element name="Year" ma:index="13" nillable="true" ma:displayName="Year" ma:internalName="Year">
      <xsd:simpleType>
        <xsd:restriction base="dms:Text">
          <xsd:maxLength value="255"/>
        </xsd:restriction>
      </xsd:simpleType>
    </xsd:element>
    <xsd:element name="Meeting_x0020_Materials" ma:index="14" nillable="true" ma:displayName="Meeting Materials" ma:description="Meeting Materials" ma:format="Dropdown" ma:internalName="Meeting_x0020_Materials">
      <xsd:simpleType>
        <xsd:restriction base="dms:Choice">
          <xsd:enumeration value="Early Learning Council"/>
          <xsd:enumeration value="Home Visiting System Committe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LC_x0020_Program_x0020_Type xmlns="82da573d-96d7-443e-be48-dda8c9da9147"/>
    <Reports xmlns="82da573d-96d7-443e-be48-dda8c9da9147"/>
    <Meeting_x0020_Materials xmlns="82da573d-96d7-443e-be48-dda8c9da9147" xsi:nil="true"/>
    <PublishingExpirationDate xmlns="http://schemas.microsoft.com/sharepoint/v3" xsi:nil="true"/>
    <PublishingStartDate xmlns="http://schemas.microsoft.com/sharepoint/v3" xsi:nil="true"/>
    <Year xmlns="82da573d-96d7-443e-be48-dda8c9da9147" xsi:nil="true"/>
  </documentManagement>
</p:properties>
</file>

<file path=customXml/itemProps1.xml><?xml version="1.0" encoding="utf-8"?>
<ds:datastoreItem xmlns:ds="http://schemas.openxmlformats.org/officeDocument/2006/customXml" ds:itemID="{09F91992-7256-44C6-8722-A618A42463BB}"/>
</file>

<file path=customXml/itemProps2.xml><?xml version="1.0" encoding="utf-8"?>
<ds:datastoreItem xmlns:ds="http://schemas.openxmlformats.org/officeDocument/2006/customXml" ds:itemID="{79FE4152-F038-4393-A0E2-CAE91F157E69}"/>
</file>

<file path=customXml/itemProps3.xml><?xml version="1.0" encoding="utf-8"?>
<ds:datastoreItem xmlns:ds="http://schemas.openxmlformats.org/officeDocument/2006/customXml" ds:itemID="{A37139EE-810E-4AAF-9586-98CB14C185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38</vt:i4>
      </vt:variant>
    </vt:vector>
  </HeadingPairs>
  <TitlesOfParts>
    <vt:vector size="48" baseType="lpstr">
      <vt:lpstr>VariablesINPUT-CTR</vt:lpstr>
      <vt:lpstr>Quality Center Profile</vt:lpstr>
      <vt:lpstr>QualVar</vt:lpstr>
      <vt:lpstr>Ratios</vt:lpstr>
      <vt:lpstr>Wages</vt:lpstr>
      <vt:lpstr>Nonpersonnel PCQC</vt:lpstr>
      <vt:lpstr>Subsidy Rates</vt:lpstr>
      <vt:lpstr>Tuition Rates</vt:lpstr>
      <vt:lpstr>Fed CACFP</vt:lpstr>
      <vt:lpstr>Promise Rates</vt:lpstr>
      <vt:lpstr>_NumberTeachingStaff</vt:lpstr>
      <vt:lpstr>AdditionalBenefits</vt:lpstr>
      <vt:lpstr>Addl_benefits_per_staff</vt:lpstr>
      <vt:lpstr>Admin_Staff</vt:lpstr>
      <vt:lpstr>Asst_Teacher</vt:lpstr>
      <vt:lpstr>Asst_TeacherIT</vt:lpstr>
      <vt:lpstr>BadDebt</vt:lpstr>
      <vt:lpstr>EnrollEffic</vt:lpstr>
      <vt:lpstr>Floater_Assts</vt:lpstr>
      <vt:lpstr>HealthIns</vt:lpstr>
      <vt:lpstr>InfantClassrooms</vt:lpstr>
      <vt:lpstr>Infants</vt:lpstr>
      <vt:lpstr>LeadTeacher</vt:lpstr>
      <vt:lpstr>LeadTeacherIT</vt:lpstr>
      <vt:lpstr>MandatoryBenefits</vt:lpstr>
      <vt:lpstr>Nonpersonnel</vt:lpstr>
      <vt:lpstr>NP_EdProgram</vt:lpstr>
      <vt:lpstr>NP_MgtAdmin</vt:lpstr>
      <vt:lpstr>NP_Occupancy</vt:lpstr>
      <vt:lpstr>Occupancy</vt:lpstr>
      <vt:lpstr>Paid_Leave</vt:lpstr>
      <vt:lpstr>Personnel</vt:lpstr>
      <vt:lpstr>Preschoolers</vt:lpstr>
      <vt:lpstr>PreschoolersClassroom</vt:lpstr>
      <vt:lpstr>'VariablesINPUT-CTR'!Print_Area</vt:lpstr>
      <vt:lpstr>QualityVarCost</vt:lpstr>
      <vt:lpstr>Reserve_Fund</vt:lpstr>
      <vt:lpstr>SchoolageClassroom</vt:lpstr>
      <vt:lpstr>Schoolagers</vt:lpstr>
      <vt:lpstr>Sick_Days</vt:lpstr>
      <vt:lpstr>Subs</vt:lpstr>
      <vt:lpstr>ToddlerClassrooms</vt:lpstr>
      <vt:lpstr>Toddlers</vt:lpstr>
      <vt:lpstr>TotalChildren</vt:lpstr>
      <vt:lpstr>TotalClassrooms</vt:lpstr>
      <vt:lpstr>Twos</vt:lpstr>
      <vt:lpstr>TwosClassroom</vt:lpstr>
      <vt:lpstr>TwosClassrooms</vt:lpstr>
    </vt:vector>
  </TitlesOfParts>
  <Company>Early Childhood Policy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Mitchell</dc:creator>
  <cp:lastModifiedBy>Simon Workman</cp:lastModifiedBy>
  <cp:lastPrinted>2016-02-14T14:23:36Z</cp:lastPrinted>
  <dcterms:created xsi:type="dcterms:W3CDTF">2008-09-19T15:38:02Z</dcterms:created>
  <dcterms:modified xsi:type="dcterms:W3CDTF">2024-01-24T21:25:07Z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0x0101003C377F8633B7744F9A6B595A6F8C5159</vt:lpwstr>
  </property>
</Properties>
</file>