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defaultThemeVersion="124226"/>
  <mc:AlternateContent xmlns:mc="http://schemas.openxmlformats.org/markup-compatibility/2006">
    <mc:Choice Requires="x15">
      <x15ac:absPath xmlns:x15ac="http://schemas.microsoft.com/office/spreadsheetml/2010/11/ac" url="https://d.docs.live.net/99cb6bf57e6c3811/Oregon/2019-2020 cost model project/"/>
    </mc:Choice>
  </mc:AlternateContent>
  <xr:revisionPtr revIDLastSave="117" documentId="8_{90D10C4D-EB08-6E4B-87F1-82AE8A4BCE80}" xr6:coauthVersionLast="47" xr6:coauthVersionMax="47" xr10:uidLastSave="{21FB27FD-4D1F-344E-BE9E-5070C54947D3}"/>
  <bookViews>
    <workbookView xWindow="3500" yWindow="700" windowWidth="29100" windowHeight="15500" xr2:uid="{03821526-4D90-6D49-BD14-0DD660D29C00}"/>
  </bookViews>
  <sheets>
    <sheet name="VariablesINPUT-FCC" sheetId="35" r:id="rId1"/>
    <sheet name="Quality Home Profile" sheetId="1" state="hidden" r:id="rId2"/>
    <sheet name="License-Exempt profile" sheetId="108" state="hidden" r:id="rId3"/>
    <sheet name="QualVar" sheetId="102" state="hidden" r:id="rId4"/>
    <sheet name="Wages" sheetId="91" state="hidden" r:id="rId5"/>
    <sheet name="Nonpersonnel PCQC" sheetId="77" state="hidden" r:id="rId6"/>
    <sheet name="Subsidy Rates" sheetId="103" state="hidden" r:id="rId7"/>
    <sheet name="Tuition Rates" sheetId="104" state="hidden" r:id="rId8"/>
    <sheet name="Promise Rates" sheetId="107" state="hidden" r:id="rId9"/>
    <sheet name="Fed CACFP" sheetId="106" state="hidden" r:id="rId10"/>
  </sheets>
  <externalReferences>
    <externalReference r:id="rId11"/>
    <externalReference r:id="rId12"/>
    <externalReference r:id="rId13"/>
    <externalReference r:id="rId14"/>
    <externalReference r:id="rId15"/>
  </externalReferences>
  <definedNames>
    <definedName name="_xlnm._FilterDatabase" localSheetId="0" hidden="1">'VariablesINPUT-FCC'!$A$10:$D$17</definedName>
    <definedName name="_NumberTeachingStaff" localSheetId="2">'License-Exempt profile'!#REF!</definedName>
    <definedName name="_NumberTeachingStaff">'Quality Home Profile'!$A$28</definedName>
    <definedName name="AAdegree" localSheetId="9">#REF!</definedName>
    <definedName name="AAdegree">'VariablesINPUT-FCC'!#REF!</definedName>
    <definedName name="AdditionalBenefits" localSheetId="9">#REF!</definedName>
    <definedName name="AdditionalBenefits" localSheetId="2">'License-Exempt profile'!#REF!</definedName>
    <definedName name="AdditionalBenefits">'Quality Home Profile'!#REF!</definedName>
    <definedName name="Addl_benefits_per_staff" localSheetId="9">'[1]Quality Center Profile'!$C$39</definedName>
    <definedName name="Addl_benefits_per_staff" localSheetId="2">'License-Exempt profile'!#REF!</definedName>
    <definedName name="Addl_benefits_per_staff">'Quality Home Profile'!#REF!</definedName>
    <definedName name="Admin_Staff" localSheetId="9">#REF!</definedName>
    <definedName name="Admin_Staff" localSheetId="2">'License-Exempt profile'!#REF!</definedName>
    <definedName name="Admin_Staff">'Quality Home Profile'!$C$18</definedName>
    <definedName name="Administration__by_child" localSheetId="9">'[2]Nonpersonnel Aggregated'!$B$21</definedName>
    <definedName name="Administration__by_child">#REF!</definedName>
    <definedName name="Asst_Teacher" localSheetId="9">#REF!</definedName>
    <definedName name="Asst_Teacher" localSheetId="2">'License-Exempt profile'!$D$17</definedName>
    <definedName name="Asst_Teacher">'Quality Home Profile'!$C$22</definedName>
    <definedName name="Asst_TeacherIT" localSheetId="2">'License-Exempt profile'!$D$17</definedName>
    <definedName name="Asst_TeacherIT">'Quality Home Profile'!$C$22</definedName>
    <definedName name="AsstTeacherFCC">'Quality Home Profile'!$C$18</definedName>
    <definedName name="BadDebt" localSheetId="9">#REF!</definedName>
    <definedName name="BadDebt">'VariablesINPUT-FCC'!$E$44</definedName>
    <definedName name="BAdegree" localSheetId="9">#REF!</definedName>
    <definedName name="BAdegree">'VariablesINPUT-FCC'!#REF!</definedName>
    <definedName name="BLSsalary" localSheetId="9">'[1]VariablesINPUT-FCC'!#REF!</definedName>
    <definedName name="BLSsalary">#REF!</definedName>
    <definedName name="City_Fours" localSheetId="9">#REF!</definedName>
    <definedName name="City_Fours">#REF!</definedName>
    <definedName name="City_Infants" localSheetId="9">#REF!</definedName>
    <definedName name="City_Infants">#REF!</definedName>
    <definedName name="City_Threes" localSheetId="9">#REF!</definedName>
    <definedName name="City_Threes">#REF!</definedName>
    <definedName name="City_Toddlers" localSheetId="9">#REF!</definedName>
    <definedName name="City_Toddlers">#REF!</definedName>
    <definedName name="COunty" localSheetId="9">#REF!</definedName>
    <definedName name="COunty">'VariablesINPUT-FCC'!#REF!</definedName>
    <definedName name="Education_Program__by_child" localSheetId="9">'[2]Nonpersonnel Aggregated'!$B$23</definedName>
    <definedName name="Education_Program__by_child">#REF!</definedName>
    <definedName name="EnhRatio" localSheetId="9">#REF!</definedName>
    <definedName name="EnhRatio">'VariablesINPUT-FCC'!#REF!</definedName>
    <definedName name="EnhSpace" localSheetId="9">#REF!</definedName>
    <definedName name="EnhSpace">'VariablesINPUT-FCC'!#REF!</definedName>
    <definedName name="EnrollEffic" localSheetId="9">#REF!</definedName>
    <definedName name="EnrollEffic">'VariablesINPUT-FCC'!$E$43</definedName>
    <definedName name="Floater_Assts" localSheetId="9">#REF!</definedName>
    <definedName name="Floater_Assts" localSheetId="2">'License-Exempt profile'!#REF!</definedName>
    <definedName name="Floater_Assts">'Quality Home Profile'!$C$27</definedName>
    <definedName name="Fours" localSheetId="9">'[1]Quality Center Profile'!#REF!</definedName>
    <definedName name="Fours" localSheetId="2">'License-Exempt profile'!#REF!</definedName>
    <definedName name="Fours">'Quality Home Profile'!#REF!</definedName>
    <definedName name="Fours_City_Target_Subsidies">'[3]VariablesINPUT-CTR'!$E$29</definedName>
    <definedName name="Fours_Contract">'[2]VariablesINPUT-CTR'!$D$29</definedName>
    <definedName name="Fours_Private_Tuition" localSheetId="9">'[2]VariablesINPUT-CTR'!$F$29</definedName>
    <definedName name="Fours_Private_Tuition">'VariablesINPUT-FCC'!#REF!</definedName>
    <definedName name="FOURS_Tuition" localSheetId="9">#REF!</definedName>
    <definedName name="FOURS_Tuition">#REF!</definedName>
    <definedName name="Fours_Voucher">'[2]VariablesINPUT-CTR'!$C$29</definedName>
    <definedName name="FoursClassrooms" localSheetId="9">'[1]Quality Center Profile'!#REF!</definedName>
    <definedName name="FoursClassrooms" localSheetId="2">'License-Exempt profile'!#REF!</definedName>
    <definedName name="FoursClassrooms">'Quality Home Profile'!#REF!</definedName>
    <definedName name="HealthIns" localSheetId="9">#REF!</definedName>
    <definedName name="HealthIns">'VariablesINPUT-FCC'!$D$39</definedName>
    <definedName name="HealthInsFCC" localSheetId="9">'[1]VariablesINPUT-FCC'!$D$20</definedName>
    <definedName name="HealthInsFCC">#REF!</definedName>
    <definedName name="Infant_Aides" localSheetId="9">#REF!</definedName>
    <definedName name="Infant_Aides" localSheetId="2">'License-Exempt profile'!#REF!</definedName>
    <definedName name="Infant_Aides">'Quality Home Profile'!#REF!</definedName>
    <definedName name="Infant_Assts" localSheetId="9">'[3]Quality Center Profile'!#REF!</definedName>
    <definedName name="Infant_Assts" localSheetId="2">'License-Exempt profile'!#REF!</definedName>
    <definedName name="Infant_Assts">'Quality Home Profile'!#REF!</definedName>
    <definedName name="INFANT_Tuition">#REF!</definedName>
    <definedName name="InfantClassrooms" localSheetId="9">#REF!</definedName>
    <definedName name="InfantClassrooms" localSheetId="2">'License-Exempt profile'!$F$7</definedName>
    <definedName name="InfantClassrooms">'Quality Home Profile'!$F$7</definedName>
    <definedName name="Infants" localSheetId="9">#REF!</definedName>
    <definedName name="Infants" localSheetId="2">'License-Exempt profile'!$A$7</definedName>
    <definedName name="Infants">'Quality Home Profile'!$A$7</definedName>
    <definedName name="Infants_City_Target_Subsidies">'[3]VariablesINPUT-CTR'!$E$26</definedName>
    <definedName name="Infants_Contract">'[2]VariablesINPUT-CTR'!$D$26</definedName>
    <definedName name="Infants_Private_Tuition" localSheetId="9">'[2]VariablesINPUT-CTR'!$F$26</definedName>
    <definedName name="Infants_Private_Tuition">'VariablesINPUT-FCC'!#REF!</definedName>
    <definedName name="Infants_Voucher">'[2]VariablesINPUT-CTR'!$C$26</definedName>
    <definedName name="Kinder" localSheetId="9">#REF!</definedName>
    <definedName name="Kinder">'VariablesINPUT-FCC'!#REF!</definedName>
    <definedName name="KinderParity">#REF!</definedName>
    <definedName name="LeadTeacher" localSheetId="9">#REF!</definedName>
    <definedName name="LeadTeacher" localSheetId="2">'License-Exempt profile'!#REF!</definedName>
    <definedName name="LeadTeacher">'Quality Home Profile'!#REF!</definedName>
    <definedName name="LeadTeacherIT" localSheetId="2">'License-Exempt profile'!#REF!</definedName>
    <definedName name="LeadTeacherIT">'Quality Home Profile'!#REF!</definedName>
    <definedName name="MandatoryBenefits" localSheetId="9">#REF!</definedName>
    <definedName name="MandatoryBenefits" localSheetId="2">'License-Exempt profile'!#REF!</definedName>
    <definedName name="MandatoryBenefits">'Quality Home Profile'!#REF!</definedName>
    <definedName name="MinWage" localSheetId="9">#REF!</definedName>
    <definedName name="MinWage">'VariablesINPUT-FCC'!#REF!</definedName>
    <definedName name="ModelScale" localSheetId="9">#REF!</definedName>
    <definedName name="ModelScale">'VariablesINPUT-FCC'!#REF!</definedName>
    <definedName name="Nonpersonnel" localSheetId="9">#REF!</definedName>
    <definedName name="Nonpersonnel" localSheetId="2">'License-Exempt profile'!$C$41</definedName>
    <definedName name="Nonpersonnel">'Quality Home Profile'!$C$53</definedName>
    <definedName name="NP_EdProgram" localSheetId="9">#REF!</definedName>
    <definedName name="NP_EdProgram" localSheetId="2">'License-Exempt profile'!$D$38</definedName>
    <definedName name="NP_EdProgram">'Quality Home Profile'!$D$50</definedName>
    <definedName name="NP_MgtAdmin" localSheetId="9">#REF!</definedName>
    <definedName name="NP_MgtAdmin" localSheetId="2">'License-Exempt profile'!$C$40</definedName>
    <definedName name="NP_MgtAdmin">'Quality Home Profile'!$C$52</definedName>
    <definedName name="NP_Occupancy" localSheetId="9">#REF!</definedName>
    <definedName name="NP_Occupancy" localSheetId="2">'License-Exempt profile'!$C$39</definedName>
    <definedName name="NP_Occupancy">'Quality Home Profile'!$C$51</definedName>
    <definedName name="Occupancy" localSheetId="2">'License-Exempt profile'!$C$39</definedName>
    <definedName name="Occupancy">'Quality Home Profile'!$C$51</definedName>
    <definedName name="Occupancy__by_classroom" localSheetId="9">'[4]Aggregated Data'!$B$29</definedName>
    <definedName name="Occupancy__by_classroom">#REF!</definedName>
    <definedName name="Ones_Private_Tuition">'VariablesINPUT-FCC'!#REF!</definedName>
    <definedName name="Paid_Leave" localSheetId="9">#REF!</definedName>
    <definedName name="Paid_Leave">'VariablesINPUT-FCC'!$D$41</definedName>
    <definedName name="PaidLeaveFCC" localSheetId="9">'[1]VariablesINPUT-FCC'!$D$22</definedName>
    <definedName name="PaidLeaveFCC">#REF!</definedName>
    <definedName name="Personnel" localSheetId="9">'[1]Quality Center Profile'!$D$40</definedName>
    <definedName name="Personnel" localSheetId="2">'License-Exempt profile'!#REF!</definedName>
    <definedName name="Personnel">'Quality Home Profile'!#REF!</definedName>
    <definedName name="Preschool_Aides" localSheetId="9">#REF!</definedName>
    <definedName name="Preschool_Aides" localSheetId="2">'License-Exempt profile'!#REF!</definedName>
    <definedName name="Preschool_Aides">'Quality Home Profile'!#REF!</definedName>
    <definedName name="PreschoolClassrooms" localSheetId="9">#REF!</definedName>
    <definedName name="PreschoolClassrooms" localSheetId="2">'License-Exempt profile'!#REF!</definedName>
    <definedName name="PreschoolClassrooms">'Quality Home Profile'!#REF!</definedName>
    <definedName name="Preschoolers" localSheetId="9">#REF!</definedName>
    <definedName name="Preschoolers" localSheetId="2">'License-Exempt profile'!$A$9</definedName>
    <definedName name="Preschoolers">'Quality Home Profile'!$A$9</definedName>
    <definedName name="PreschoolersClassroom" localSheetId="9">'[1]Quality Center Profile'!$F$9</definedName>
    <definedName name="PreschoolersClassroom" localSheetId="2">'License-Exempt profile'!$F$9</definedName>
    <definedName name="PreschoolersClassroom">'Quality Home Profile'!$F$9</definedName>
    <definedName name="_xlnm.Print_Area" localSheetId="0">'VariablesINPUT-FCC'!$A$1:$M$23</definedName>
    <definedName name="ProfDev" localSheetId="9">#REF!</definedName>
    <definedName name="ProfDev">'VariablesINPUT-FCC'!#REF!</definedName>
    <definedName name="QualityVarCost" localSheetId="2">'License-Exempt profile'!$D$35</definedName>
    <definedName name="QualityVarCost">'Quality Home Profile'!$D$47</definedName>
    <definedName name="RatioOpt" localSheetId="9">#REF!</definedName>
    <definedName name="RatioOpt">'VariablesINPUT-FCC'!#REF!</definedName>
    <definedName name="Region" localSheetId="9">#REF!</definedName>
    <definedName name="Region">'VariablesINPUT-FCC'!#REF!</definedName>
    <definedName name="RegionFCC" localSheetId="9">'[1]VariablesINPUT-FCC'!$F$2</definedName>
    <definedName name="RegionFCC">#REF!</definedName>
    <definedName name="Reserve_Fund" localSheetId="9">#REF!</definedName>
    <definedName name="Reserve_Fund" localSheetId="2">'License-Exempt profile'!$D$43</definedName>
    <definedName name="Reserve_Fund">'Quality Home Profile'!$D$56</definedName>
    <definedName name="Salary" localSheetId="9">#REF!</definedName>
    <definedName name="Salary">'VariablesINPUT-FCC'!#REF!</definedName>
    <definedName name="SalaryData" localSheetId="9">#REF!</definedName>
    <definedName name="SalaryData">'VariablesINPUT-FCC'!#REF!</definedName>
    <definedName name="SalaryLevel" localSheetId="9">#REF!</definedName>
    <definedName name="SalaryLevel">'VariablesINPUT-FCC'!#REF!</definedName>
    <definedName name="SalaryScale" localSheetId="9">#REF!</definedName>
    <definedName name="SalaryScale">'VariablesINPUT-FCC'!#REF!</definedName>
    <definedName name="SalaryScaleFCC" localSheetId="9">'[1]VariablesINPUT-FCC'!$D$16</definedName>
    <definedName name="SalaryScaleFCC">#REF!</definedName>
    <definedName name="SchoolageClassroom" localSheetId="2">'License-Exempt profile'!$F$10</definedName>
    <definedName name="SchoolageClassroom">'Quality Home Profile'!$F$10</definedName>
    <definedName name="Schoolagers" localSheetId="2">'License-Exempt profile'!$A$10</definedName>
    <definedName name="Schoolagers">'Quality Home Profile'!$A$10</definedName>
    <definedName name="Sick_Days" localSheetId="9">#REF!</definedName>
    <definedName name="Sick_Days">'VariablesINPUT-FCC'!$D$40</definedName>
    <definedName name="Sick_DaysFCC">'VariablesINPUT-FCC'!$D$40</definedName>
    <definedName name="SickDaysFCC" localSheetId="9">'[1]VariablesINPUT-FCC'!$D$21</definedName>
    <definedName name="SickDaysFCC">#REF!</definedName>
    <definedName name="StarLevel" localSheetId="9">#REF!</definedName>
    <definedName name="StarLevel">'VariablesINPUT-FCC'!#REF!</definedName>
    <definedName name="Subs" localSheetId="9">#REF!</definedName>
    <definedName name="Subs" localSheetId="2">'License-Exempt profile'!$D$21</definedName>
    <definedName name="Subs">'Quality Home Profile'!$C$33</definedName>
    <definedName name="Threes" localSheetId="9">'[1]Quality Center Profile'!#REF!</definedName>
    <definedName name="Threes" localSheetId="2">'License-Exempt profile'!#REF!</definedName>
    <definedName name="Threes">'Quality Home Profile'!#REF!</definedName>
    <definedName name="Threes_City_Target_Subsidies">'[3]VariablesINPUT-CTR'!$E$28</definedName>
    <definedName name="Threes_Contract">'[2]VariablesINPUT-CTR'!$D$28</definedName>
    <definedName name="Threes_Private_Tuition" localSheetId="9">'[2]VariablesINPUT-CTR'!$F$28</definedName>
    <definedName name="Threes_Private_Tuition">'VariablesINPUT-FCC'!#REF!</definedName>
    <definedName name="THREES_tuition" localSheetId="9">#REF!</definedName>
    <definedName name="THREES_tuition">#REF!</definedName>
    <definedName name="Threes_Voucher">'[2]VariablesINPUT-CTR'!$C$28</definedName>
    <definedName name="ThreesClassroom" localSheetId="9">'[1]Quality Center Profile'!#REF!</definedName>
    <definedName name="ThreesClassroom" localSheetId="2">'License-Exempt profile'!#REF!</definedName>
    <definedName name="ThreesClassroom">'Quality Home Profile'!#REF!</definedName>
    <definedName name="ThreesClassrooms" localSheetId="9">'[1]Quality Center Profile'!#REF!</definedName>
    <definedName name="ThreesClassrooms" localSheetId="2">'License-Exempt profile'!#REF!</definedName>
    <definedName name="ThreesClassrooms">'Quality Home Profile'!#REF!</definedName>
    <definedName name="TODDLER_Tuition" localSheetId="9">#REF!</definedName>
    <definedName name="TODDLER_Tuition">#REF!</definedName>
    <definedName name="ToddlerClassrooms" localSheetId="9">#REF!</definedName>
    <definedName name="ToddlerClassrooms" localSheetId="2">'License-Exempt profile'!$F$8</definedName>
    <definedName name="ToddlerClassrooms">'Quality Home Profile'!$F$8</definedName>
    <definedName name="Toddlers" localSheetId="9">#REF!</definedName>
    <definedName name="Toddlers" localSheetId="2">'License-Exempt profile'!$A$8</definedName>
    <definedName name="Toddlers">'Quality Home Profile'!$A$8</definedName>
    <definedName name="Toddlers_City_Target_Subsidies">'[3]VariablesINPUT-CTR'!$E$27</definedName>
    <definedName name="Toddlers_Contract">'[2]VariablesINPUT-CTR'!$D$27</definedName>
    <definedName name="Toddlers_Private_Tuition">'[2]VariablesINPUT-CTR'!$F$27</definedName>
    <definedName name="Toddlers_Voucher">'[2]VariablesINPUT-CTR'!$C$27</definedName>
    <definedName name="TOTAL_Children" localSheetId="9">#REF!</definedName>
    <definedName name="TOTAL_Children">#REF!</definedName>
    <definedName name="TotalChildren" localSheetId="9">#REF!</definedName>
    <definedName name="TotalChildren" localSheetId="2">'License-Exempt profile'!$A$11</definedName>
    <definedName name="TotalChildren">'Quality Home Profile'!$A$11</definedName>
    <definedName name="TotalClassrooms" localSheetId="9">#REF!</definedName>
    <definedName name="TotalClassrooms" localSheetId="2">'License-Exempt profile'!#REF!</definedName>
    <definedName name="TotalClassrooms">'Quality Home Profile'!#REF!</definedName>
    <definedName name="Twos" localSheetId="9">'[5]Quality Center Profile'!$A$9</definedName>
    <definedName name="Twos" localSheetId="2">'License-Exempt profile'!$A$9</definedName>
    <definedName name="Twos">'Quality Home Profile'!$A$9</definedName>
    <definedName name="Twos_Private_Tuition" localSheetId="9">#REF!</definedName>
    <definedName name="Twos_Private_Tuition">'VariablesINPUT-FCC'!#REF!</definedName>
    <definedName name="TwosClassroom" localSheetId="2">'License-Exempt profile'!$F$9</definedName>
    <definedName name="TwosClassroom">'Quality Home Profile'!$F$9</definedName>
    <definedName name="TwosClassrooms" localSheetId="9">'[5]Quality Center Profile'!$F$9</definedName>
    <definedName name="TwosClassrooms" localSheetId="2">'License-Exempt profile'!$F$9</definedName>
    <definedName name="TwosClassrooms">'Quality Home Profile'!$F$9</definedName>
    <definedName name="User" localSheetId="9">#REF!</definedName>
    <definedName name="User">'VariablesINPUT-FCC'!#REF!</definedName>
    <definedName name="VOUCHER_Fours" localSheetId="9">#REF!</definedName>
    <definedName name="VOUCHER_Fours">#REF!</definedName>
    <definedName name="VOUCHER_Infants" localSheetId="9">#REF!</definedName>
    <definedName name="VOUCHER_Infants">#REF!</definedName>
    <definedName name="VOUCHER_Threes" localSheetId="9">#REF!</definedName>
    <definedName name="VOUCHER_Threes">#REF!</definedName>
    <definedName name="VOUCHER_Toddlers" localSheetId="9">#REF!</definedName>
    <definedName name="VOUCHER_Toddlers">#REF!</definedName>
    <definedName name="Yes" localSheetId="9">#REF!</definedName>
    <definedName name="Yes">'VariablesINPUT-FCC'!#REF!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4" i="35" l="1"/>
  <c r="D54" i="1" l="1"/>
  <c r="G10" i="1"/>
  <c r="H10" i="1" s="1"/>
  <c r="E58" i="1"/>
  <c r="G9" i="1"/>
  <c r="G8" i="1"/>
  <c r="G7" i="1"/>
  <c r="C48" i="108" l="1"/>
  <c r="C47" i="108"/>
  <c r="H59" i="108" s="1"/>
  <c r="H56" i="108" l="1"/>
  <c r="H57" i="108"/>
  <c r="H58" i="108"/>
  <c r="B29" i="77"/>
  <c r="B24" i="77"/>
  <c r="B33" i="77" s="1"/>
  <c r="B39" i="77" s="1"/>
  <c r="C61" i="1"/>
  <c r="C60" i="1"/>
  <c r="E4" i="77"/>
  <c r="E3" i="77"/>
  <c r="E2" i="77"/>
  <c r="C55" i="35"/>
  <c r="G72" i="1" l="1"/>
  <c r="F72" i="1"/>
  <c r="C34" i="1"/>
  <c r="A21" i="1"/>
  <c r="A17" i="35"/>
  <c r="B17" i="35" s="1"/>
  <c r="A73" i="1"/>
  <c r="G73" i="1"/>
  <c r="F73" i="1"/>
  <c r="C38" i="91"/>
  <c r="C37" i="91"/>
  <c r="C36" i="91"/>
  <c r="C35" i="91"/>
  <c r="D30" i="91"/>
  <c r="C18" i="1" s="1"/>
  <c r="C27" i="91"/>
  <c r="C26" i="91"/>
  <c r="C25" i="91"/>
  <c r="D5" i="91"/>
  <c r="D6" i="91"/>
  <c r="D4" i="91"/>
  <c r="D3" i="91"/>
  <c r="C4" i="91"/>
  <c r="C5" i="91"/>
  <c r="C6" i="91"/>
  <c r="C3" i="91"/>
  <c r="B30" i="91"/>
  <c r="C16" i="1" s="1"/>
  <c r="D20" i="91"/>
  <c r="B20" i="91"/>
  <c r="D40" i="91"/>
  <c r="C40" i="91"/>
  <c r="B40" i="91"/>
  <c r="C30" i="91"/>
  <c r="C17" i="1" s="1"/>
  <c r="D9" i="91"/>
  <c r="B9" i="91"/>
  <c r="C9" i="91"/>
  <c r="C18" i="91"/>
  <c r="C17" i="91"/>
  <c r="C16" i="91"/>
  <c r="C15" i="91"/>
  <c r="C20" i="91" s="1"/>
  <c r="C20" i="1" l="1"/>
  <c r="B1" i="102"/>
  <c r="D33" i="102" s="1"/>
  <c r="C73" i="1"/>
  <c r="D73" i="1" s="1"/>
  <c r="C32" i="1"/>
  <c r="C33" i="1"/>
  <c r="C21" i="1"/>
  <c r="D21" i="1" s="1"/>
  <c r="C19" i="1"/>
  <c r="D37" i="102" l="1"/>
  <c r="D53" i="1"/>
  <c r="B40" i="77"/>
  <c r="C40" i="77" s="1"/>
  <c r="B38" i="77"/>
  <c r="F69" i="1"/>
  <c r="H53" i="35"/>
  <c r="H52" i="35"/>
  <c r="H51" i="35"/>
  <c r="H50" i="35"/>
  <c r="F52" i="108"/>
  <c r="G52" i="108"/>
  <c r="F53" i="108"/>
  <c r="G53" i="108"/>
  <c r="F54" i="108"/>
  <c r="G54" i="108"/>
  <c r="F55" i="108"/>
  <c r="G55" i="108"/>
  <c r="C59" i="108"/>
  <c r="C58" i="108"/>
  <c r="C57" i="108"/>
  <c r="C56" i="108"/>
  <c r="M25" i="103"/>
  <c r="M24" i="103"/>
  <c r="M23" i="103"/>
  <c r="M22" i="103"/>
  <c r="M21" i="103"/>
  <c r="M16" i="103"/>
  <c r="M15" i="103"/>
  <c r="M14" i="103"/>
  <c r="M13" i="103"/>
  <c r="M12" i="103"/>
  <c r="M4" i="103"/>
  <c r="M5" i="103"/>
  <c r="M6" i="103"/>
  <c r="M7" i="103"/>
  <c r="M3" i="103"/>
  <c r="D51" i="108"/>
  <c r="D22" i="108"/>
  <c r="D21" i="108"/>
  <c r="D20" i="108"/>
  <c r="D16" i="108"/>
  <c r="A59" i="108"/>
  <c r="A58" i="108"/>
  <c r="A57" i="108"/>
  <c r="A56" i="108"/>
  <c r="B30" i="108"/>
  <c r="B34" i="108" s="1"/>
  <c r="B29" i="108"/>
  <c r="B33" i="108" s="1"/>
  <c r="B28" i="108"/>
  <c r="B32" i="108" s="1"/>
  <c r="B10" i="108"/>
  <c r="A10" i="108"/>
  <c r="B9" i="108"/>
  <c r="A9" i="108"/>
  <c r="B8" i="108"/>
  <c r="A8" i="108"/>
  <c r="B7" i="108"/>
  <c r="A7" i="108"/>
  <c r="D57" i="108" l="1"/>
  <c r="E16" i="108"/>
  <c r="A11" i="108"/>
  <c r="D39" i="108" l="1"/>
  <c r="D41" i="108"/>
  <c r="D40" i="108"/>
  <c r="B15" i="35"/>
  <c r="B16" i="35" s="1"/>
  <c r="D42" i="108" l="1"/>
  <c r="C54" i="108"/>
  <c r="C53" i="108"/>
  <c r="C52" i="108"/>
  <c r="C55" i="108"/>
  <c r="H55" i="35"/>
  <c r="C64" i="1"/>
  <c r="D56" i="108"/>
  <c r="D58" i="108"/>
  <c r="D59" i="108"/>
  <c r="E22" i="108"/>
  <c r="E17" i="108"/>
  <c r="A17" i="108"/>
  <c r="A55" i="108"/>
  <c r="A54" i="108"/>
  <c r="A53" i="108"/>
  <c r="A52" i="108"/>
  <c r="G71" i="1"/>
  <c r="G70" i="1"/>
  <c r="G69" i="1"/>
  <c r="C69" i="1" s="1"/>
  <c r="C72" i="1"/>
  <c r="F71" i="1"/>
  <c r="F70" i="1"/>
  <c r="B23" i="102"/>
  <c r="C26" i="102" s="1"/>
  <c r="C71" i="1" l="1"/>
  <c r="C70" i="1"/>
  <c r="D26" i="102"/>
  <c r="D28" i="102"/>
  <c r="C27" i="102"/>
  <c r="D55" i="108"/>
  <c r="D54" i="108"/>
  <c r="D52" i="108"/>
  <c r="A50" i="108"/>
  <c r="D53" i="108"/>
  <c r="E20" i="108"/>
  <c r="E21" i="108"/>
  <c r="C29" i="1"/>
  <c r="D61" i="108" l="1"/>
  <c r="D64" i="108" s="1"/>
  <c r="D65" i="108" s="1"/>
  <c r="D66" i="108" s="1"/>
  <c r="E23" i="108"/>
  <c r="E25" i="108" s="1"/>
  <c r="A8" i="1" l="1"/>
  <c r="A9" i="1"/>
  <c r="A10" i="1"/>
  <c r="A7" i="1"/>
  <c r="A17" i="1" s="1"/>
  <c r="A18" i="1" l="1"/>
  <c r="C37" i="102"/>
  <c r="D34" i="108" s="1"/>
  <c r="B37" i="102"/>
  <c r="D18" i="102"/>
  <c r="C18" i="102"/>
  <c r="D30" i="108" s="1"/>
  <c r="B18" i="102"/>
  <c r="E14" i="102"/>
  <c r="C14" i="102"/>
  <c r="A19" i="1" l="1"/>
  <c r="D34" i="1"/>
  <c r="A22" i="1"/>
  <c r="A20" i="1"/>
  <c r="D17" i="1"/>
  <c r="C63" i="35"/>
  <c r="D20" i="1" l="1"/>
  <c r="D32" i="1"/>
  <c r="C77" i="1"/>
  <c r="C76" i="1"/>
  <c r="C75" i="1"/>
  <c r="C74" i="1"/>
  <c r="C83" i="1" l="1"/>
  <c r="C82" i="1"/>
  <c r="H9" i="106" l="1"/>
  <c r="J9" i="106" s="1"/>
  <c r="H8" i="106"/>
  <c r="J8" i="106" s="1"/>
  <c r="A77" i="1"/>
  <c r="D77" i="1" s="1"/>
  <c r="A76" i="1"/>
  <c r="D76" i="1" s="1"/>
  <c r="A75" i="1"/>
  <c r="D75" i="1" s="1"/>
  <c r="A74" i="1"/>
  <c r="D74" i="1" s="1"/>
  <c r="A70" i="1"/>
  <c r="A71" i="1"/>
  <c r="A72" i="1"/>
  <c r="A69" i="1"/>
  <c r="D55" i="35"/>
  <c r="E55" i="35"/>
  <c r="G55" i="35"/>
  <c r="H56" i="35" l="1"/>
  <c r="A51" i="108" s="1"/>
  <c r="F26" i="35" l="1"/>
  <c r="B34" i="102"/>
  <c r="B29" i="102"/>
  <c r="C26" i="35"/>
  <c r="C29" i="35" s="1"/>
  <c r="G26" i="35"/>
  <c r="D26" i="35"/>
  <c r="D15" i="102"/>
  <c r="B15" i="102"/>
  <c r="B10" i="102"/>
  <c r="B42" i="1"/>
  <c r="B46" i="1" s="1"/>
  <c r="B41" i="1"/>
  <c r="B45" i="1" s="1"/>
  <c r="B40" i="1"/>
  <c r="B44" i="1" s="1"/>
  <c r="B9" i="1"/>
  <c r="B10" i="1"/>
  <c r="C60" i="35"/>
  <c r="H57" i="35" l="1"/>
  <c r="A66" i="1"/>
  <c r="A68" i="1"/>
  <c r="D16" i="1" l="1"/>
  <c r="D71" i="1"/>
  <c r="D70" i="1"/>
  <c r="D69" i="1"/>
  <c r="D72" i="1"/>
  <c r="C33" i="102"/>
  <c r="D29" i="102" l="1"/>
  <c r="C29" i="102" l="1"/>
  <c r="D51" i="1"/>
  <c r="D44" i="1" l="1"/>
  <c r="D32" i="108"/>
  <c r="B32" i="77"/>
  <c r="B35" i="77" l="1"/>
  <c r="C62" i="35"/>
  <c r="C61" i="35"/>
  <c r="A67" i="1" l="1"/>
  <c r="A65" i="1"/>
  <c r="B8" i="1"/>
  <c r="D64" i="1" l="1"/>
  <c r="A64" i="1"/>
  <c r="A63" i="1"/>
  <c r="B7" i="1" l="1"/>
  <c r="A11" i="1" l="1"/>
  <c r="B4" i="102"/>
  <c r="E9" i="102" l="1"/>
  <c r="D9" i="102"/>
  <c r="E7" i="102"/>
  <c r="D7" i="102"/>
  <c r="C7" i="102"/>
  <c r="C8" i="102"/>
  <c r="D52" i="1"/>
  <c r="D55" i="1" s="1"/>
  <c r="D19" i="1" l="1"/>
  <c r="D18" i="1"/>
  <c r="D25" i="1" l="1"/>
  <c r="D28" i="1"/>
  <c r="D27" i="1"/>
  <c r="D26" i="1"/>
  <c r="D22" i="1"/>
  <c r="D33" i="1"/>
  <c r="D35" i="1" s="1"/>
  <c r="B2" i="102"/>
  <c r="E13" i="102" s="1"/>
  <c r="D29" i="1" l="1"/>
  <c r="D37" i="1" s="1"/>
  <c r="E15" i="102"/>
  <c r="D32" i="102"/>
  <c r="C13" i="102"/>
  <c r="C32" i="102"/>
  <c r="D46" i="1"/>
  <c r="E10" i="102" l="1"/>
  <c r="C10" i="102"/>
  <c r="D10" i="102"/>
  <c r="D34" i="102"/>
  <c r="C34" i="102"/>
  <c r="D45" i="1" l="1"/>
  <c r="D33" i="108"/>
  <c r="D40" i="1"/>
  <c r="D28" i="108"/>
  <c r="D42" i="1"/>
  <c r="C15" i="102"/>
  <c r="D41" i="1" l="1"/>
  <c r="D47" i="1" s="1"/>
  <c r="D29" i="108"/>
  <c r="D35" i="108" s="1"/>
  <c r="D43" i="108" s="1"/>
  <c r="D45" i="108" s="1"/>
  <c r="G10" i="108" l="1"/>
  <c r="G9" i="108"/>
  <c r="G8" i="108"/>
  <c r="D67" i="108"/>
  <c r="E67" i="108" s="1"/>
  <c r="G7" i="108"/>
  <c r="D56" i="1"/>
  <c r="D58" i="1" s="1"/>
  <c r="H10" i="108" l="1"/>
  <c r="C10" i="108" s="1"/>
  <c r="I10" i="1" l="1"/>
  <c r="J10" i="1" s="1"/>
  <c r="C10" i="1"/>
  <c r="E10" i="1" s="1"/>
  <c r="I10" i="108"/>
  <c r="J10" i="108" s="1"/>
  <c r="H9" i="108" s="1"/>
  <c r="C9" i="108" s="1"/>
  <c r="E9" i="108" s="1"/>
  <c r="E10" i="108"/>
  <c r="I65" i="108"/>
  <c r="D10" i="108"/>
  <c r="D63" i="35"/>
  <c r="E63" i="35" s="1"/>
  <c r="H7" i="1" l="1"/>
  <c r="H9" i="1"/>
  <c r="C9" i="1" s="1"/>
  <c r="C7" i="1"/>
  <c r="E7" i="1" s="1"/>
  <c r="H8" i="108"/>
  <c r="C8" i="108" s="1"/>
  <c r="D8" i="108" s="1"/>
  <c r="H7" i="108"/>
  <c r="C7" i="108" s="1"/>
  <c r="E7" i="108" s="1"/>
  <c r="I64" i="108"/>
  <c r="D9" i="108"/>
  <c r="H8" i="1"/>
  <c r="C8" i="1" s="1"/>
  <c r="I83" i="1"/>
  <c r="D10" i="1"/>
  <c r="I63" i="108" l="1"/>
  <c r="E8" i="108"/>
  <c r="E11" i="108" s="1"/>
  <c r="I62" i="108"/>
  <c r="D7" i="108"/>
  <c r="E8" i="1"/>
  <c r="D61" i="35"/>
  <c r="D60" i="35"/>
  <c r="E9" i="1"/>
  <c r="D62" i="35"/>
  <c r="I82" i="1"/>
  <c r="D9" i="1"/>
  <c r="I81" i="1"/>
  <c r="D8" i="1"/>
  <c r="F63" i="35"/>
  <c r="H63" i="35"/>
  <c r="I80" i="1"/>
  <c r="D7" i="1"/>
  <c r="I66" i="108" l="1"/>
  <c r="I67" i="108" s="1"/>
  <c r="E11" i="1"/>
  <c r="E62" i="35"/>
  <c r="H62" i="35" s="1"/>
  <c r="F62" i="35"/>
  <c r="I84" i="1"/>
  <c r="I85" i="1" s="1"/>
  <c r="E60" i="35"/>
  <c r="H60" i="35" s="1"/>
  <c r="F60" i="35"/>
  <c r="E61" i="35"/>
  <c r="H61" i="35" s="1"/>
  <c r="F61" i="35"/>
  <c r="F66" i="1" l="1"/>
  <c r="F67" i="1"/>
  <c r="F65" i="1"/>
  <c r="F68" i="1"/>
  <c r="G65" i="1"/>
  <c r="G68" i="1"/>
  <c r="G66" i="1"/>
  <c r="G67" i="1"/>
  <c r="C68" i="1" l="1"/>
  <c r="J63" i="35" s="1"/>
  <c r="C65" i="1"/>
  <c r="J60" i="35" s="1"/>
  <c r="C67" i="1"/>
  <c r="C66" i="1"/>
  <c r="J61" i="35" s="1"/>
  <c r="D65" i="1" l="1"/>
  <c r="D68" i="1"/>
  <c r="D66" i="1"/>
  <c r="D67" i="1"/>
  <c r="J62" i="35"/>
  <c r="D79" i="1" l="1"/>
  <c r="D82" i="1" s="1"/>
  <c r="D83" i="1" s="1"/>
  <c r="D84" i="1" s="1"/>
  <c r="D85" i="1" s="1"/>
  <c r="E85" i="1" s="1"/>
</calcChain>
</file>

<file path=xl/sharedStrings.xml><?xml version="1.0" encoding="utf-8"?>
<sst xmlns="http://schemas.openxmlformats.org/spreadsheetml/2006/main" count="588" uniqueCount="288">
  <si>
    <t>Contribution to operating reserve fund</t>
  </si>
  <si>
    <t>of expenses</t>
  </si>
  <si>
    <t>Items in yellow shaded cells may be changed to model different scenarios</t>
  </si>
  <si>
    <t>Subtotal Mandatory Benefits</t>
  </si>
  <si>
    <t>TOTAL Children</t>
  </si>
  <si>
    <t>Medicare</t>
  </si>
  <si>
    <t>Workers Compensation</t>
  </si>
  <si>
    <t>DO NOT CHANGE OTHER CELLS</t>
  </si>
  <si>
    <t>About 3% is typical</t>
  </si>
  <si>
    <t>Total</t>
  </si>
  <si>
    <t>Annual cost per child</t>
  </si>
  <si>
    <t>Monthly</t>
  </si>
  <si>
    <t>Training/PD</t>
  </si>
  <si>
    <t>Occupancy</t>
  </si>
  <si>
    <t>Insurance</t>
  </si>
  <si>
    <t xml:space="preserve">FICA-Social Security </t>
  </si>
  <si>
    <t>85-95% is typical</t>
  </si>
  <si>
    <r>
      <t xml:space="preserve">Bad Debt </t>
    </r>
    <r>
      <rPr>
        <i/>
        <sz val="10"/>
        <rFont val="Arial"/>
        <family val="2"/>
      </rPr>
      <t>as % of revenue not collected</t>
    </r>
  </si>
  <si>
    <t xml:space="preserve">EFFICIENCY </t>
  </si>
  <si>
    <t>Discretionary benefits</t>
  </si>
  <si>
    <t>Total Expense</t>
  </si>
  <si>
    <r>
      <t>Enrollment</t>
    </r>
    <r>
      <rPr>
        <i/>
        <sz val="10"/>
        <rFont val="Arial"/>
        <family val="2"/>
      </rPr>
      <t xml:space="preserve"> as % of total staffed capacity</t>
    </r>
  </si>
  <si>
    <t>these cells have data from the Variables sheet. DO NOT change here.</t>
  </si>
  <si>
    <t>user can change these cells</t>
  </si>
  <si>
    <t>Health Insurance</t>
  </si>
  <si>
    <t>Lead Teacher</t>
  </si>
  <si>
    <t>Yes</t>
  </si>
  <si>
    <t>CPC check</t>
  </si>
  <si>
    <t>Sick Days</t>
  </si>
  <si>
    <t>Paid Leave</t>
  </si>
  <si>
    <t>Select whether program offers health insurance to employees</t>
  </si>
  <si>
    <t>Preschool</t>
  </si>
  <si>
    <t>Results - Cost per Child (CPC)</t>
  </si>
  <si>
    <t>Infant</t>
  </si>
  <si>
    <t>Toddler</t>
  </si>
  <si>
    <t>Infants</t>
  </si>
  <si>
    <t>Toddlers</t>
  </si>
  <si>
    <t>Preschoolers</t>
  </si>
  <si>
    <t>Supplies</t>
  </si>
  <si>
    <t>PRO-FORMA BUDGET:  Oregon Child Care Center</t>
  </si>
  <si>
    <t>advertising</t>
  </si>
  <si>
    <t>infants</t>
  </si>
  <si>
    <t>toddlers</t>
  </si>
  <si>
    <t>preschoolers</t>
  </si>
  <si>
    <t>enter annual number of days per staff member</t>
  </si>
  <si>
    <t>enter annual number of days per staff member, not including holidays where program is closed</t>
  </si>
  <si>
    <t>PCQC - FCC</t>
  </si>
  <si>
    <t>vehicle expense</t>
  </si>
  <si>
    <t>depreciation</t>
  </si>
  <si>
    <t>insurance</t>
  </si>
  <si>
    <t>legal &amp; Prof fees</t>
  </si>
  <si>
    <t>Office supplie</t>
  </si>
  <si>
    <t>Repairs/Maint</t>
  </si>
  <si>
    <t>Food</t>
  </si>
  <si>
    <t>Telephone</t>
  </si>
  <si>
    <t>Prof Member</t>
  </si>
  <si>
    <t>License/permits</t>
  </si>
  <si>
    <t>Mortgage/Rent</t>
  </si>
  <si>
    <t>Home Repairs/Maint</t>
  </si>
  <si>
    <t>Utilities</t>
  </si>
  <si>
    <t>Household supplies</t>
  </si>
  <si>
    <t>Hours worked</t>
  </si>
  <si>
    <t>Space in home</t>
  </si>
  <si>
    <t>Total space</t>
  </si>
  <si>
    <t>Category</t>
  </si>
  <si>
    <t>Time-Space Percent</t>
  </si>
  <si>
    <t>interest on biz debt</t>
  </si>
  <si>
    <t>Total 100% Biz</t>
  </si>
  <si>
    <t>Shared expense</t>
  </si>
  <si>
    <t>Total Nonpersonnel</t>
  </si>
  <si>
    <t>Administration</t>
  </si>
  <si>
    <t>Education Program</t>
  </si>
  <si>
    <t xml:space="preserve">Use in FCC R&amp;E </t>
  </si>
  <si>
    <t>Reg FCC</t>
  </si>
  <si>
    <t>Cert FCC</t>
  </si>
  <si>
    <t>Licensing</t>
  </si>
  <si>
    <t>Baby Promise</t>
  </si>
  <si>
    <t>Preschool Promise</t>
  </si>
  <si>
    <t>Family Engagement</t>
  </si>
  <si>
    <t>School age</t>
  </si>
  <si>
    <t>Point 2</t>
  </si>
  <si>
    <t>EHS</t>
  </si>
  <si>
    <t>Aspirational</t>
  </si>
  <si>
    <t>Age</t>
  </si>
  <si>
    <t>Steps 1-6</t>
  </si>
  <si>
    <t>CDA (Step 7, 7.5, 8, 8.5</t>
  </si>
  <si>
    <t>BA (Step 10)</t>
  </si>
  <si>
    <t>MA (Step 11, 12)</t>
  </si>
  <si>
    <t>AA (Step 9, 9.5)</t>
  </si>
  <si>
    <t>Professional Development Supports</t>
  </si>
  <si>
    <t>Planning/Release Time</t>
  </si>
  <si>
    <t>Select Quality Level</t>
  </si>
  <si>
    <t>QUALITY VARIABLE</t>
  </si>
  <si>
    <t>Infant/Toddler</t>
  </si>
  <si>
    <t>Quality Level</t>
  </si>
  <si>
    <t>Step 10</t>
  </si>
  <si>
    <t>2 conferences annually</t>
  </si>
  <si>
    <t>Family Orientations</t>
  </si>
  <si>
    <t>FS Support worker/35 children</t>
  </si>
  <si>
    <t>1 hour per child, paid at hourly wage of floater/sub</t>
  </si>
  <si>
    <t>1 hour per child, paid at hourly wage of floater/sub, twice</t>
  </si>
  <si>
    <t>annual salary, 1 for every 35 children</t>
  </si>
  <si>
    <t>Additional 20 hours/staff/year</t>
  </si>
  <si>
    <t>coverage paid at floater/sub rate</t>
  </si>
  <si>
    <t>Participation in FCCN</t>
  </si>
  <si>
    <t>5 hours per month for director, paid at floater sub rate</t>
  </si>
  <si>
    <t>Floater/Sub Rate/Hour</t>
  </si>
  <si>
    <r>
      <t xml:space="preserve">Items in GREEN shaded cells are for INPUT to model different quality variables..   </t>
    </r>
    <r>
      <rPr>
        <b/>
        <sz val="11"/>
        <color rgb="FFFF0000"/>
        <rFont val="Arial"/>
        <family val="2"/>
      </rPr>
      <t>PLEASE DO NOT CHANGE ANY OTHER CELLS ON THIS SHEET</t>
    </r>
  </si>
  <si>
    <t>Infants and toddlers</t>
  </si>
  <si>
    <t>QUALITY VARIABLES - Infant and Toddler</t>
  </si>
  <si>
    <t>QUALITY VARIABLES - Preschool</t>
  </si>
  <si>
    <t>Subtotal quality variables</t>
  </si>
  <si>
    <t xml:space="preserve">2019 average employer contribution to employer-based health insurance:   https://www.kff.org/other/state-indicator/single-coverage/?currentTimeframe=0&amp;sortModel=%7B%22colId%22:%22Location%22,%22sort%22:%22asc%22%7D </t>
  </si>
  <si>
    <t>Weighted Avg based on Input</t>
  </si>
  <si>
    <t>Statewide</t>
  </si>
  <si>
    <t>Rural</t>
  </si>
  <si>
    <t>Suburban</t>
  </si>
  <si>
    <t>Urban</t>
  </si>
  <si>
    <t>Step 7, 7.5, 8, 8.5</t>
  </si>
  <si>
    <t>Step 9, 9.5</t>
  </si>
  <si>
    <t>Step 11, 12</t>
  </si>
  <si>
    <t>Group A</t>
  </si>
  <si>
    <t>Special Needs</t>
  </si>
  <si>
    <t>FCC</t>
  </si>
  <si>
    <t>Center</t>
  </si>
  <si>
    <t>Standard-Non licensed</t>
  </si>
  <si>
    <t>Enhanced-Not liccensed</t>
  </si>
  <si>
    <t>Licensed</t>
  </si>
  <si>
    <t>Group B</t>
  </si>
  <si>
    <t>Group C</t>
  </si>
  <si>
    <t>https://www.oregon.gov/DHS/ASSISTANCE/CHILD-CARE/Pages/rates.aspx</t>
  </si>
  <si>
    <t>1/1/19 rates</t>
  </si>
  <si>
    <t>BENEFITS</t>
  </si>
  <si>
    <t>Annual</t>
  </si>
  <si>
    <t>Weekly</t>
  </si>
  <si>
    <t>PRESCHOOL</t>
  </si>
  <si>
    <t>INFANT/TODDLER</t>
  </si>
  <si>
    <t xml:space="preserve">QUALIFICATIONS of  STAFF </t>
  </si>
  <si>
    <t>enter %  at each level</t>
  </si>
  <si>
    <t>REVENUE</t>
  </si>
  <si>
    <t>Child care subsidy (ERDC)</t>
  </si>
  <si>
    <t>OPK</t>
  </si>
  <si>
    <t>Head Start</t>
  </si>
  <si>
    <t>Early Head Start</t>
  </si>
  <si>
    <t>Private Tuition</t>
  </si>
  <si>
    <t>Total across all public funding</t>
  </si>
  <si>
    <t>Percent subsidy</t>
  </si>
  <si>
    <r>
      <t xml:space="preserve">Enter </t>
    </r>
    <r>
      <rPr>
        <b/>
        <i/>
        <sz val="10"/>
        <rFont val="Arial"/>
        <family val="2"/>
      </rPr>
      <t># of children</t>
    </r>
    <r>
      <rPr>
        <i/>
        <sz val="10"/>
        <rFont val="Arial"/>
        <family val="2"/>
      </rPr>
      <t xml:space="preserve"> by age receiving each type of subsidy using YELLOW cells only in the table below. Private Tuition cell will automatically calculated and should not be a negative </t>
    </r>
  </si>
  <si>
    <t>CACFP (all ages)</t>
  </si>
  <si>
    <t>Private Tuition (infants)</t>
  </si>
  <si>
    <t>Private Tuition (toddlers)</t>
  </si>
  <si>
    <t>Private Tuition (preschoolers)</t>
  </si>
  <si>
    <t>Private Tuition (school age)</t>
  </si>
  <si>
    <t>Other income (grants, fundraising, etc.)</t>
  </si>
  <si>
    <t xml:space="preserve">= Potential Total Revenue </t>
  </si>
  <si>
    <t># children</t>
  </si>
  <si>
    <t>ERDC subsidy (infants)</t>
  </si>
  <si>
    <t>ERDC subsidy (toddlers)</t>
  </si>
  <si>
    <t>ERDC subsidy (preschoolers)</t>
  </si>
  <si>
    <t>ERDC subsidy (school age)</t>
  </si>
  <si>
    <t>CHILD AND ADULT CARE FOOD PROGRAM (CACFP)</t>
  </si>
  <si>
    <t>Per Meal Rates in Whole or Fractions of U.S. Dollars</t>
  </si>
  <si>
    <t>Centers</t>
  </si>
  <si>
    <t>DO NOT ALTER = used in formulas on other spreadsheets</t>
  </si>
  <si>
    <t>Breakfast</t>
  </si>
  <si>
    <t>Lunch /Supper</t>
  </si>
  <si>
    <t>Snack</t>
  </si>
  <si>
    <t xml:space="preserve">Daily </t>
  </si>
  <si>
    <t>weekly</t>
  </si>
  <si>
    <t>&lt;185% FPL</t>
  </si>
  <si>
    <t>1 breakfast,1  lunch or dinner and 2 snacks</t>
  </si>
  <si>
    <t>Homes</t>
  </si>
  <si>
    <t>Tier I</t>
  </si>
  <si>
    <t>Tier II</t>
  </si>
  <si>
    <t xml:space="preserve">Source:  </t>
  </si>
  <si>
    <t>rates</t>
  </si>
  <si>
    <t>homes</t>
  </si>
  <si>
    <t>Effective from July 1, 2020 - June 30, 2021</t>
  </si>
  <si>
    <t>https://www.federalregister.gov/documents/2020/07/22/2020-15765/child-and-adult-care-food-program-national-average-payment-rates-day-care-home-food-service-payment</t>
  </si>
  <si>
    <t>Adjustments to revenue</t>
  </si>
  <si>
    <t>Bad debt</t>
  </si>
  <si>
    <t>Enrollment efficiency (average)</t>
  </si>
  <si>
    <t>= Actual Total Revenue</t>
  </si>
  <si>
    <t>Annual Revenue less Expenses profit/(loss)</t>
  </si>
  <si>
    <t>Certified FCC</t>
  </si>
  <si>
    <t>Cluster 1</t>
  </si>
  <si>
    <t>Cluster 2</t>
  </si>
  <si>
    <t>Cluster 3</t>
  </si>
  <si>
    <t>Cluster 4</t>
  </si>
  <si>
    <t>Registered FCC</t>
  </si>
  <si>
    <t>ERDC Rate Region</t>
  </si>
  <si>
    <t>Tuition Cluster</t>
  </si>
  <si>
    <t>Monthly gap between subsidy and true cost</t>
  </si>
  <si>
    <t>Monthly gap between tuition and true cost</t>
  </si>
  <si>
    <t>Payment per child</t>
  </si>
  <si>
    <t>from C2K report</t>
  </si>
  <si>
    <t>Head Start/OPK</t>
  </si>
  <si>
    <t>OPK/Head Start</t>
  </si>
  <si>
    <t>Salary Override</t>
  </si>
  <si>
    <t>No</t>
  </si>
  <si>
    <t>Position</t>
  </si>
  <si>
    <t>Annual Salary</t>
  </si>
  <si>
    <t>Rate region:</t>
  </si>
  <si>
    <t># of Children</t>
  </si>
  <si>
    <t>ENROLLMENT</t>
  </si>
  <si>
    <t>Total Children</t>
  </si>
  <si>
    <t>Director/Owner</t>
  </si>
  <si>
    <t>Program Director/Owner</t>
  </si>
  <si>
    <t>Cost per age group</t>
  </si>
  <si>
    <t>Provider/Teacher</t>
  </si>
  <si>
    <t>EXPENSES</t>
  </si>
  <si>
    <t>Salaries and Wages</t>
  </si>
  <si>
    <t>TOTAL</t>
  </si>
  <si>
    <t>Subtotal Salary and Wages</t>
  </si>
  <si>
    <t>Mandatory benefits for salaried staff</t>
  </si>
  <si>
    <t xml:space="preserve">Unemployment Insurance </t>
  </si>
  <si>
    <t>per person</t>
  </si>
  <si>
    <t>Sick Leave</t>
  </si>
  <si>
    <t>Paid leave</t>
  </si>
  <si>
    <t>Discretionary Benefits</t>
  </si>
  <si>
    <t>Subtotal Wages and Benefits</t>
  </si>
  <si>
    <t>Other Direct Expense: 100% Business Use (reported on IRS Schedule C)</t>
  </si>
  <si>
    <r>
      <t xml:space="preserve">For details, see </t>
    </r>
    <r>
      <rPr>
        <i/>
        <sz val="10"/>
        <rFont val="Arial"/>
        <family val="2"/>
      </rPr>
      <t>Operating Expense Direct &amp; Shared</t>
    </r>
  </si>
  <si>
    <t xml:space="preserve">   Nonpersonnel: Admin/Office</t>
  </si>
  <si>
    <t xml:space="preserve">   Nonpersonnel: Program (calculated per child)</t>
  </si>
  <si>
    <t>Subtotal Other Expenses</t>
  </si>
  <si>
    <t>Asst Teacher</t>
  </si>
  <si>
    <t>Teachers</t>
  </si>
  <si>
    <t>Certified</t>
  </si>
  <si>
    <t>Registered</t>
  </si>
  <si>
    <t xml:space="preserve"> annual rate</t>
  </si>
  <si>
    <t>100% CPC</t>
  </si>
  <si>
    <t>SA Reallocation</t>
  </si>
  <si>
    <t>Teacher - infants</t>
  </si>
  <si>
    <t>Floater/Sub (coverage)</t>
  </si>
  <si>
    <t>Asst Teacher - program size</t>
  </si>
  <si>
    <r>
      <t xml:space="preserve">Items in </t>
    </r>
    <r>
      <rPr>
        <b/>
        <sz val="11"/>
        <rFont val="Arial"/>
        <family val="2"/>
      </rPr>
      <t>YELLOW</t>
    </r>
    <r>
      <rPr>
        <b/>
        <sz val="11"/>
        <color theme="1"/>
        <rFont val="Arial"/>
        <family val="2"/>
      </rPr>
      <t xml:space="preserve"> shaded cells are for INPUT to model different home 'profiles'.   </t>
    </r>
    <r>
      <rPr>
        <b/>
        <sz val="11"/>
        <color rgb="FFFF0000"/>
        <rFont val="Arial"/>
        <family val="2"/>
      </rPr>
      <t>PLEASE DO NOT CHANGE ANY OTHER CELLS ON THIS SHEET</t>
    </r>
  </si>
  <si>
    <t>Floater/Sub (PD)</t>
  </si>
  <si>
    <t>License-exempt</t>
  </si>
  <si>
    <t>Family Child Care Home Profile</t>
  </si>
  <si>
    <t>15 hours per year per FTE</t>
  </si>
  <si>
    <t>Program type</t>
  </si>
  <si>
    <t>Oregon Home-based Child Care Cost Model - 2021</t>
  </si>
  <si>
    <t>Minimum wage</t>
  </si>
  <si>
    <t xml:space="preserve">   Nonpersonnel: Program</t>
  </si>
  <si>
    <t>Owner/Director</t>
  </si>
  <si>
    <t>(data collection salaries)</t>
  </si>
  <si>
    <t>Baby/Preschool Promise</t>
  </si>
  <si>
    <t>(PP minimum salaries)</t>
  </si>
  <si>
    <t>(PP target salaries)</t>
  </si>
  <si>
    <t>EHS/Aspirational</t>
  </si>
  <si>
    <t>Highest as of July 1, 2021</t>
  </si>
  <si>
    <t>Teachers - Step 7 and above</t>
  </si>
  <si>
    <t>Lead Teacher Step 8 or above</t>
  </si>
  <si>
    <t>Requirements</t>
  </si>
  <si>
    <t>SPECIAL NEEDS STAFFING</t>
  </si>
  <si>
    <t>Instructional Support Staff</t>
  </si>
  <si>
    <t>Input number of FTE</t>
  </si>
  <si>
    <t>ERDC subsidy (special needs)</t>
  </si>
  <si>
    <r>
      <rPr>
        <u/>
        <sz val="10"/>
        <color rgb="FF484848"/>
        <rFont val="Arial"/>
        <family val="2"/>
      </rPr>
      <t>Registered</t>
    </r>
    <r>
      <rPr>
        <sz val="10"/>
        <color rgb="FF484848"/>
        <rFont val="Arial"/>
        <family val="2"/>
      </rPr>
      <t>:A maximum number of 10 children are allowed in care at any one time. Of those 10 children, six children may be preschool age or younger, two of the six preschool children may be under 24 months of age. The provider’s own children are included in the number of children in care.</t>
    </r>
  </si>
  <si>
    <r>
      <rPr>
        <u/>
        <sz val="10"/>
        <color rgb="FF484848"/>
        <rFont val="Arial"/>
        <family val="2"/>
      </rPr>
      <t>Certified</t>
    </r>
    <r>
      <rPr>
        <sz val="10"/>
        <color rgb="FF484848"/>
        <rFont val="Arial"/>
        <family val="2"/>
      </rPr>
      <t>: A maximum number of 12 children (16 children with prior approval by the Office of Child Care) are allowed in care at any one time. The provider’s own children are included in the determination of caregiver/child ratio and group size.</t>
    </r>
  </si>
  <si>
    <r>
      <rPr>
        <u/>
        <sz val="10"/>
        <color rgb="FF484848"/>
        <rFont val="Arial"/>
        <family val="2"/>
      </rPr>
      <t>License-exempt:</t>
    </r>
    <r>
      <rPr>
        <sz val="10"/>
        <color rgb="FF484848"/>
        <rFont val="Arial"/>
        <family val="2"/>
      </rPr>
      <t xml:space="preserve"> Caring for 3 or fewer children, not including your own, at any one time. </t>
    </r>
  </si>
  <si>
    <t>Cerftified FCC</t>
  </si>
  <si>
    <t>Director/owner at Step 8 or above</t>
  </si>
  <si>
    <t>Teacher/ Assistant</t>
  </si>
  <si>
    <t>Coverage</t>
  </si>
  <si>
    <t>based on minimum wage, 2080 hours</t>
  </si>
  <si>
    <t>Other Direct Expense</t>
  </si>
  <si>
    <t>based on data collection</t>
  </si>
  <si>
    <t>5, 8, 15 hours planning release time for lead</t>
  </si>
  <si>
    <t>Select yes to override salaries based on step levels, and 
manually enter salaries in table to right ---------------------------------&gt;</t>
  </si>
  <si>
    <t>Program expenses</t>
  </si>
  <si>
    <t>Vehicle/other</t>
  </si>
  <si>
    <t>75th percentile 2020 survey</t>
  </si>
  <si>
    <t>https://health.oregonstate.edu/sites/health.oregonstate.edu/files/early-learners/pdf/research/2020_oregon_child_care_market_price_study_-_main_report.pdf</t>
  </si>
  <si>
    <t>SA school year</t>
  </si>
  <si>
    <t>SA Summer</t>
  </si>
  <si>
    <t>Reg = Small</t>
  </si>
  <si>
    <t>Cert = Large</t>
  </si>
  <si>
    <t>Large</t>
  </si>
  <si>
    <t>Small</t>
  </si>
  <si>
    <t>[Set these values on INPUT-FCC page]</t>
  </si>
  <si>
    <t>School age transportation</t>
  </si>
  <si>
    <t>Part time</t>
  </si>
  <si>
    <t>part time rate</t>
  </si>
  <si>
    <t>Enhanced notlicensed FCC</t>
  </si>
  <si>
    <t>(for staff only)</t>
  </si>
  <si>
    <t>estimated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</si>
</sst>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
    <numFmt numFmtId="167" formatCode="_(&quot;$&quot;* #,##0_);_(&quot;$&quot;* \(#,##0\);_(&quot;$&quot;* &quot;-&quot;??_);_(@_)"/>
    <numFmt numFmtId="168" formatCode="&quot;$&quot;#,##0;[Red]&quot;$&quot;#,##0"/>
    <numFmt numFmtId="169" formatCode="0.0%"/>
    <numFmt numFmtId="170" formatCode="_(* #,##0_);_(* \(#,##0\);_(* &quot;-&quot;??_);_(@_)"/>
  </numFmts>
  <fonts count="6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0"/>
      <name val="Verdan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color indexed="8"/>
      <name val="Arial"/>
      <family val="2"/>
    </font>
    <font>
      <u/>
      <sz val="10"/>
      <name val="Arial"/>
      <family val="2"/>
    </font>
    <font>
      <b/>
      <i/>
      <sz val="10"/>
      <name val="Arial"/>
      <family val="2"/>
    </font>
    <font>
      <sz val="10"/>
      <name val="Arial"/>
      <family val="2"/>
    </font>
    <font>
      <sz val="10"/>
      <color rgb="FFFF0000"/>
      <name val="Arial"/>
      <family val="2"/>
    </font>
    <font>
      <b/>
      <u/>
      <sz val="10"/>
      <name val="Arial"/>
      <family val="2"/>
    </font>
    <font>
      <sz val="10"/>
      <color theme="1"/>
      <name val="Arial"/>
      <family val="2"/>
    </font>
    <font>
      <b/>
      <sz val="11"/>
      <color theme="1"/>
      <name val="Arial"/>
      <family val="2"/>
    </font>
    <font>
      <sz val="10"/>
      <color rgb="FF000000"/>
      <name val="Times New Roman"/>
      <family val="1"/>
    </font>
    <font>
      <i/>
      <sz val="10"/>
      <color theme="1"/>
      <name val="Arial"/>
      <family val="2"/>
    </font>
    <font>
      <b/>
      <sz val="11"/>
      <color rgb="FFFF0000"/>
      <name val="Arial"/>
      <family val="2"/>
    </font>
    <font>
      <b/>
      <i/>
      <sz val="14"/>
      <name val="Arial"/>
      <family val="2"/>
    </font>
    <font>
      <b/>
      <u/>
      <sz val="11"/>
      <name val="Arial"/>
      <family val="2"/>
    </font>
    <font>
      <sz val="10"/>
      <color theme="0"/>
      <name val="Arial"/>
      <family val="2"/>
    </font>
    <font>
      <b/>
      <i/>
      <sz val="10"/>
      <color theme="0"/>
      <name val="Arial"/>
      <family val="2"/>
    </font>
    <font>
      <i/>
      <sz val="10"/>
      <color theme="0"/>
      <name val="Arial"/>
      <family val="2"/>
    </font>
    <font>
      <b/>
      <sz val="11"/>
      <name val="Arial"/>
      <family val="2"/>
    </font>
    <font>
      <b/>
      <sz val="10"/>
      <color theme="0"/>
      <name val="Arial"/>
      <family val="2"/>
    </font>
    <font>
      <b/>
      <sz val="10"/>
      <color rgb="FFFF0000"/>
      <name val="Arial"/>
      <family val="2"/>
    </font>
    <font>
      <b/>
      <sz val="10"/>
      <color theme="1"/>
      <name val="Arial"/>
      <family val="2"/>
    </font>
    <font>
      <b/>
      <i/>
      <sz val="12"/>
      <color theme="1"/>
      <name val="Arial"/>
      <family val="2"/>
    </font>
    <font>
      <b/>
      <i/>
      <sz val="10"/>
      <color theme="1"/>
      <name val="Arial"/>
      <family val="2"/>
    </font>
    <font>
      <b/>
      <sz val="12"/>
      <name val="Arial"/>
      <family val="2"/>
    </font>
    <font>
      <i/>
      <sz val="11"/>
      <color rgb="FFFF0000"/>
      <name val="Calibri"/>
      <family val="2"/>
      <scheme val="minor"/>
    </font>
    <font>
      <b/>
      <sz val="12"/>
      <color theme="1"/>
      <name val="Arial"/>
      <family val="2"/>
    </font>
    <font>
      <sz val="10"/>
      <color theme="0" tint="-0.499984740745262"/>
      <name val="Arial"/>
      <family val="2"/>
    </font>
    <font>
      <sz val="10"/>
      <color theme="0" tint="-0.249977111117893"/>
      <name val="Arial"/>
      <family val="2"/>
    </font>
    <font>
      <sz val="14"/>
      <color theme="0" tint="-0.249977111117893"/>
      <name val="Arial"/>
      <family val="2"/>
    </font>
    <font>
      <sz val="10"/>
      <color rgb="FF484848"/>
      <name val="Arial"/>
      <family val="2"/>
    </font>
    <font>
      <b/>
      <i/>
      <sz val="10"/>
      <color rgb="FFFF0000"/>
      <name val="Arial"/>
      <family val="2"/>
    </font>
    <font>
      <i/>
      <sz val="10"/>
      <color theme="5"/>
      <name val="Arial"/>
      <family val="2"/>
    </font>
    <font>
      <u/>
      <sz val="10"/>
      <color rgb="FF484848"/>
      <name val="Arial"/>
      <family val="2"/>
    </font>
    <font>
      <i/>
      <sz val="10"/>
      <color theme="0" tint="-0.499984740745262"/>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99CC"/>
        <bgColor indexed="64"/>
      </patternFill>
    </fill>
    <fill>
      <patternFill patternType="solid">
        <fgColor theme="0"/>
        <bgColor indexed="64"/>
      </patternFill>
    </fill>
    <fill>
      <patternFill patternType="solid">
        <fgColor theme="8" tint="0.7999816888943144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bgColor indexed="64"/>
      </patternFill>
    </fill>
    <fill>
      <patternFill patternType="solid">
        <fgColor theme="0" tint="-0.14999847407452621"/>
        <bgColor indexed="64"/>
      </patternFill>
    </fill>
    <fill>
      <patternFill patternType="solid">
        <fgColor indexed="45"/>
        <bgColor indexed="64"/>
      </patternFill>
    </fill>
    <fill>
      <patternFill patternType="solid">
        <fgColor theme="6" tint="0.79998168889431442"/>
        <bgColor indexed="64"/>
      </patternFill>
    </fill>
    <fill>
      <patternFill patternType="solid">
        <fgColor theme="6"/>
        <bgColor indexed="64"/>
      </patternFill>
    </fill>
    <fill>
      <patternFill patternType="solid">
        <fgColor theme="9"/>
        <bgColor indexed="64"/>
      </patternFill>
    </fill>
    <fill>
      <patternFill patternType="solid">
        <fgColor theme="9" tint="0.79998168889431442"/>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style="thin">
        <color auto="1"/>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theme="0" tint="-0.499984740745262"/>
      </top>
      <bottom style="thin">
        <color theme="0" tint="-0.499984740745262"/>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theme="0" tint="-0.499984740745262"/>
      </top>
      <bottom/>
      <diagonal/>
    </border>
    <border>
      <left style="thin">
        <color indexed="64"/>
      </left>
      <right style="thin">
        <color indexed="64"/>
      </right>
      <top/>
      <bottom style="thin">
        <color theme="0" tint="-0.499984740745262"/>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68">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4" fontId="7"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7" fillId="23" borderId="7" applyNumberFormat="0" applyFont="0" applyAlignment="0" applyProtection="0"/>
    <xf numFmtId="0" fontId="26" fillId="20"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9" fontId="7" fillId="0" borderId="0" applyFont="0" applyFill="0" applyBorder="0" applyAlignment="0" applyProtection="0"/>
    <xf numFmtId="0" fontId="34" fillId="0" borderId="0"/>
    <xf numFmtId="9" fontId="34"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25" fillId="0" borderId="0"/>
    <xf numFmtId="44" fontId="25" fillId="0" borderId="0" applyFont="0" applyFill="0" applyBorder="0" applyAlignment="0" applyProtection="0"/>
    <xf numFmtId="43" fontId="7" fillId="0" borderId="0" applyFont="0" applyFill="0" applyBorder="0" applyAlignment="0" applyProtection="0"/>
    <xf numFmtId="0" fontId="2" fillId="0" borderId="0"/>
    <xf numFmtId="44" fontId="11" fillId="0" borderId="0" applyFont="0" applyFill="0" applyBorder="0" applyAlignment="0" applyProtection="0"/>
    <xf numFmtId="0" fontId="1" fillId="0" borderId="0"/>
    <xf numFmtId="43" fontId="1" fillId="0" borderId="0" applyFont="0" applyFill="0" applyBorder="0" applyAlignment="0" applyProtection="0"/>
    <xf numFmtId="0" fontId="39" fillId="0" borderId="0"/>
    <xf numFmtId="0" fontId="7" fillId="0" borderId="0"/>
    <xf numFmtId="44" fontId="7" fillId="0" borderId="0" applyFont="0" applyFill="0" applyBorder="0" applyAlignment="0" applyProtection="0"/>
    <xf numFmtId="9" fontId="7" fillId="0" borderId="0" applyFont="0" applyFill="0" applyBorder="0" applyAlignment="0" applyProtection="0"/>
    <xf numFmtId="44" fontId="1" fillId="0" borderId="0" applyFont="0" applyFill="0" applyBorder="0" applyAlignment="0" applyProtection="0"/>
    <xf numFmtId="0" fontId="7" fillId="0" borderId="0"/>
  </cellStyleXfs>
  <cellXfs count="441">
    <xf numFmtId="0" fontId="0" fillId="0" borderId="0" xfId="0"/>
    <xf numFmtId="0" fontId="9" fillId="0" borderId="0" xfId="0" applyFont="1"/>
    <xf numFmtId="0" fontId="10" fillId="0" borderId="0" xfId="0" applyFont="1"/>
    <xf numFmtId="0" fontId="30" fillId="0" borderId="0" xfId="0" applyFont="1"/>
    <xf numFmtId="0" fontId="0" fillId="0" borderId="0" xfId="0" applyAlignment="1">
      <alignment horizontal="left"/>
    </xf>
    <xf numFmtId="6" fontId="0" fillId="0" borderId="0" xfId="0" applyNumberFormat="1"/>
    <xf numFmtId="6" fontId="7" fillId="0" borderId="0" xfId="0" applyNumberFormat="1" applyFont="1"/>
    <xf numFmtId="6" fontId="9" fillId="0" borderId="0" xfId="0" applyNumberFormat="1" applyFont="1"/>
    <xf numFmtId="2" fontId="9" fillId="0" borderId="0" xfId="0" applyNumberFormat="1" applyFont="1"/>
    <xf numFmtId="8" fontId="0" fillId="0" borderId="0" xfId="0" applyNumberFormat="1"/>
    <xf numFmtId="0" fontId="9" fillId="0" borderId="0" xfId="0" applyFont="1" applyAlignment="1">
      <alignment horizontal="right"/>
    </xf>
    <xf numFmtId="0" fontId="21" fillId="0" borderId="0" xfId="35" applyAlignment="1" applyProtection="1"/>
    <xf numFmtId="0" fontId="9" fillId="25" borderId="0" xfId="0" applyFont="1" applyFill="1"/>
    <xf numFmtId="20" fontId="0" fillId="0" borderId="0" xfId="0" quotePrefix="1" applyNumberFormat="1" applyAlignment="1">
      <alignment horizontal="right"/>
    </xf>
    <xf numFmtId="0" fontId="35" fillId="0" borderId="0" xfId="0" applyFont="1"/>
    <xf numFmtId="0" fontId="7" fillId="0" borderId="0" xfId="0" applyFont="1"/>
    <xf numFmtId="0" fontId="7" fillId="0" borderId="0" xfId="0" quotePrefix="1" applyFont="1"/>
    <xf numFmtId="165" fontId="7" fillId="0" borderId="0" xfId="0" applyNumberFormat="1" applyFont="1"/>
    <xf numFmtId="0" fontId="7" fillId="0" borderId="0" xfId="0" applyFont="1" applyAlignment="1">
      <alignment horizontal="right"/>
    </xf>
    <xf numFmtId="8" fontId="7" fillId="0" borderId="0" xfId="0" applyNumberFormat="1" applyFont="1"/>
    <xf numFmtId="20" fontId="7" fillId="0" borderId="0" xfId="0" quotePrefix="1" applyNumberFormat="1" applyFont="1" applyAlignment="1">
      <alignment horizontal="right"/>
    </xf>
    <xf numFmtId="0" fontId="7" fillId="0" borderId="0" xfId="0" applyFont="1" applyAlignment="1">
      <alignment horizontal="left"/>
    </xf>
    <xf numFmtId="44" fontId="0" fillId="0" borderId="0" xfId="0" applyNumberFormat="1"/>
    <xf numFmtId="0" fontId="0" fillId="0" borderId="18" xfId="0" applyBorder="1"/>
    <xf numFmtId="0" fontId="7" fillId="0" borderId="18" xfId="0" applyFont="1" applyBorder="1"/>
    <xf numFmtId="0" fontId="0" fillId="0" borderId="12" xfId="0" applyBorder="1"/>
    <xf numFmtId="0" fontId="9" fillId="0" borderId="0" xfId="0" applyFont="1" applyAlignment="1">
      <alignment horizontal="center" wrapText="1"/>
    </xf>
    <xf numFmtId="0" fontId="9" fillId="0" borderId="12" xfId="0" applyFont="1" applyBorder="1"/>
    <xf numFmtId="165" fontId="9" fillId="0" borderId="12" xfId="0" applyNumberFormat="1" applyFont="1" applyBorder="1"/>
    <xf numFmtId="0" fontId="7" fillId="28" borderId="28" xfId="0" applyFont="1" applyFill="1" applyBorder="1" applyAlignment="1">
      <alignment horizontal="right"/>
    </xf>
    <xf numFmtId="165" fontId="7" fillId="28" borderId="29" xfId="0" applyNumberFormat="1" applyFont="1" applyFill="1" applyBorder="1"/>
    <xf numFmtId="0" fontId="7" fillId="28" borderId="30" xfId="0" applyFont="1" applyFill="1" applyBorder="1" applyAlignment="1">
      <alignment horizontal="right"/>
    </xf>
    <xf numFmtId="165" fontId="0" fillId="28" borderId="31" xfId="0" applyNumberFormat="1" applyFill="1" applyBorder="1"/>
    <xf numFmtId="165" fontId="7" fillId="28" borderId="31" xfId="0" applyNumberFormat="1" applyFont="1" applyFill="1" applyBorder="1"/>
    <xf numFmtId="0" fontId="7" fillId="28" borderId="32" xfId="0" applyFont="1" applyFill="1" applyBorder="1" applyAlignment="1">
      <alignment horizontal="right"/>
    </xf>
    <xf numFmtId="0" fontId="36" fillId="28" borderId="33" xfId="0" applyFont="1" applyFill="1" applyBorder="1"/>
    <xf numFmtId="0" fontId="10" fillId="0" borderId="0" xfId="0" applyFont="1" applyAlignment="1">
      <alignment horizontal="right"/>
    </xf>
    <xf numFmtId="166" fontId="7" fillId="0" borderId="0" xfId="0" applyNumberFormat="1" applyFont="1" applyAlignment="1">
      <alignment horizontal="right"/>
    </xf>
    <xf numFmtId="0" fontId="8" fillId="0" borderId="0" xfId="0" applyFont="1"/>
    <xf numFmtId="10" fontId="7" fillId="0" borderId="0" xfId="0" applyNumberFormat="1" applyFont="1"/>
    <xf numFmtId="0" fontId="0" fillId="0" borderId="21" xfId="0" applyBorder="1"/>
    <xf numFmtId="9" fontId="7" fillId="0" borderId="0" xfId="0" applyNumberFormat="1" applyFont="1"/>
    <xf numFmtId="0" fontId="9" fillId="0" borderId="11" xfId="0" applyFont="1" applyBorder="1"/>
    <xf numFmtId="0" fontId="7" fillId="0" borderId="15" xfId="0" applyFont="1" applyBorder="1"/>
    <xf numFmtId="167" fontId="0" fillId="0" borderId="0" xfId="28" applyNumberFormat="1" applyFont="1"/>
    <xf numFmtId="1" fontId="7" fillId="0" borderId="0" xfId="0" applyNumberFormat="1" applyFont="1"/>
    <xf numFmtId="0" fontId="37" fillId="0" borderId="0" xfId="0" applyFont="1"/>
    <xf numFmtId="0" fontId="7" fillId="0" borderId="12" xfId="0" applyFont="1" applyBorder="1"/>
    <xf numFmtId="9" fontId="0" fillId="0" borderId="0" xfId="44" applyFont="1" applyFill="1" applyBorder="1"/>
    <xf numFmtId="165" fontId="7" fillId="0" borderId="12" xfId="0" applyNumberFormat="1" applyFont="1" applyBorder="1"/>
    <xf numFmtId="0" fontId="9" fillId="0" borderId="0" xfId="0" applyFont="1" applyAlignment="1">
      <alignment wrapText="1"/>
    </xf>
    <xf numFmtId="0" fontId="7" fillId="27" borderId="37" xfId="0" applyFont="1" applyFill="1" applyBorder="1" applyAlignment="1" applyProtection="1">
      <alignment horizontal="center" vertical="center"/>
      <protection locked="0"/>
    </xf>
    <xf numFmtId="0" fontId="36" fillId="30" borderId="26" xfId="0" applyFont="1" applyFill="1" applyBorder="1"/>
    <xf numFmtId="0" fontId="7" fillId="30" borderId="22" xfId="0" applyFont="1" applyFill="1" applyBorder="1"/>
    <xf numFmtId="0" fontId="9" fillId="30" borderId="22" xfId="0" applyFont="1" applyFill="1" applyBorder="1" applyAlignment="1">
      <alignment horizontal="right"/>
    </xf>
    <xf numFmtId="0" fontId="7" fillId="0" borderId="20" xfId="0" applyFont="1" applyBorder="1"/>
    <xf numFmtId="6" fontId="31" fillId="0" borderId="0" xfId="0" applyNumberFormat="1" applyFont="1"/>
    <xf numFmtId="165" fontId="7" fillId="0" borderId="20" xfId="0" applyNumberFormat="1" applyFont="1" applyBorder="1"/>
    <xf numFmtId="0" fontId="7" fillId="0" borderId="21" xfId="28" applyNumberFormat="1" applyFont="1" applyFill="1" applyBorder="1"/>
    <xf numFmtId="165" fontId="7" fillId="0" borderId="18" xfId="0" applyNumberFormat="1" applyFont="1" applyBorder="1"/>
    <xf numFmtId="0" fontId="7" fillId="0" borderId="13" xfId="28" applyNumberFormat="1" applyFont="1" applyFill="1" applyBorder="1"/>
    <xf numFmtId="165" fontId="7" fillId="0" borderId="10" xfId="0" applyNumberFormat="1" applyFont="1" applyBorder="1"/>
    <xf numFmtId="0" fontId="0" fillId="0" borderId="16" xfId="0" applyBorder="1"/>
    <xf numFmtId="0" fontId="7" fillId="0" borderId="0" xfId="0" applyFont="1" applyAlignment="1">
      <alignment horizontal="left" vertical="top" wrapText="1"/>
    </xf>
    <xf numFmtId="9" fontId="0" fillId="0" borderId="0" xfId="0" applyNumberFormat="1" applyAlignment="1">
      <alignment horizontal="right"/>
    </xf>
    <xf numFmtId="0" fontId="9" fillId="0" borderId="0" xfId="0" applyFont="1" applyAlignment="1">
      <alignment horizontal="left"/>
    </xf>
    <xf numFmtId="0" fontId="7" fillId="0" borderId="11" xfId="0" applyFont="1" applyBorder="1" applyAlignment="1">
      <alignment horizontal="left"/>
    </xf>
    <xf numFmtId="0" fontId="9" fillId="0" borderId="12" xfId="0" applyFont="1" applyBorder="1" applyAlignment="1">
      <alignment horizontal="left" vertical="center" wrapText="1"/>
    </xf>
    <xf numFmtId="0" fontId="9" fillId="0" borderId="12" xfId="0" applyFont="1" applyBorder="1" applyAlignment="1">
      <alignment horizontal="right"/>
    </xf>
    <xf numFmtId="0" fontId="9" fillId="0" borderId="12" xfId="0" applyFont="1" applyBorder="1" applyAlignment="1">
      <alignment horizontal="center" vertical="center"/>
    </xf>
    <xf numFmtId="167" fontId="0" fillId="0" borderId="12" xfId="28" applyNumberFormat="1" applyFont="1" applyBorder="1"/>
    <xf numFmtId="6" fontId="0" fillId="0" borderId="0" xfId="28" applyNumberFormat="1" applyFont="1"/>
    <xf numFmtId="6" fontId="0" fillId="0" borderId="12" xfId="0" applyNumberFormat="1" applyBorder="1"/>
    <xf numFmtId="0" fontId="0" fillId="0" borderId="13" xfId="0" applyBorder="1"/>
    <xf numFmtId="0" fontId="0" fillId="0" borderId="17" xfId="0" applyBorder="1"/>
    <xf numFmtId="167" fontId="7" fillId="0" borderId="0" xfId="28" applyNumberFormat="1" applyFont="1" applyFill="1" applyBorder="1"/>
    <xf numFmtId="167" fontId="0" fillId="0" borderId="0" xfId="28" applyNumberFormat="1" applyFont="1" applyFill="1" applyBorder="1"/>
    <xf numFmtId="167" fontId="7" fillId="0" borderId="0" xfId="28" applyNumberFormat="1" applyFont="1" applyFill="1"/>
    <xf numFmtId="0" fontId="9" fillId="0" borderId="41" xfId="0" applyFont="1" applyBorder="1"/>
    <xf numFmtId="0" fontId="0" fillId="0" borderId="15" xfId="0" applyBorder="1"/>
    <xf numFmtId="0" fontId="7" fillId="0" borderId="15" xfId="0" applyFont="1" applyBorder="1" applyAlignment="1">
      <alignment horizontal="center"/>
    </xf>
    <xf numFmtId="0" fontId="7" fillId="0" borderId="17" xfId="0" applyFont="1" applyBorder="1" applyAlignment="1">
      <alignment horizontal="center"/>
    </xf>
    <xf numFmtId="0" fontId="7" fillId="0" borderId="16" xfId="0" applyFont="1" applyBorder="1" applyAlignment="1">
      <alignment horizontal="center"/>
    </xf>
    <xf numFmtId="0" fontId="7" fillId="0" borderId="41" xfId="0" applyFont="1" applyBorder="1"/>
    <xf numFmtId="0" fontId="7" fillId="0" borderId="19" xfId="0" applyFont="1" applyBorder="1"/>
    <xf numFmtId="0" fontId="7" fillId="0" borderId="14" xfId="0" applyFont="1" applyBorder="1"/>
    <xf numFmtId="0" fontId="44" fillId="0" borderId="0" xfId="0" applyFont="1"/>
    <xf numFmtId="0" fontId="45" fillId="0" borderId="0" xfId="0" applyFont="1" applyAlignment="1">
      <alignment horizontal="right"/>
    </xf>
    <xf numFmtId="0" fontId="45" fillId="0" borderId="0" xfId="0" applyFont="1" applyAlignment="1">
      <alignment horizontal="left"/>
    </xf>
    <xf numFmtId="0" fontId="46" fillId="0" borderId="0" xfId="0" applyFont="1"/>
    <xf numFmtId="20" fontId="44" fillId="0" borderId="0" xfId="0" quotePrefix="1" applyNumberFormat="1" applyFont="1" applyAlignment="1">
      <alignment horizontal="right"/>
    </xf>
    <xf numFmtId="0" fontId="7" fillId="27" borderId="42" xfId="0" applyFont="1" applyFill="1" applyBorder="1" applyAlignment="1" applyProtection="1">
      <alignment horizontal="center" vertical="center"/>
      <protection locked="0"/>
    </xf>
    <xf numFmtId="0" fontId="7" fillId="27" borderId="11" xfId="0" applyFont="1" applyFill="1" applyBorder="1" applyAlignment="1" applyProtection="1">
      <alignment horizontal="center" vertical="center"/>
      <protection locked="0"/>
    </xf>
    <xf numFmtId="0" fontId="0" fillId="29" borderId="0" xfId="0" applyFill="1"/>
    <xf numFmtId="0" fontId="35" fillId="29" borderId="0" xfId="0" applyFont="1" applyFill="1"/>
    <xf numFmtId="9" fontId="0" fillId="29" borderId="0" xfId="0" applyNumberFormat="1" applyFill="1" applyAlignment="1">
      <alignment horizontal="right"/>
    </xf>
    <xf numFmtId="0" fontId="7" fillId="27" borderId="43" xfId="0" applyFont="1" applyFill="1" applyBorder="1" applyAlignment="1" applyProtection="1">
      <alignment horizontal="center" vertical="center"/>
      <protection locked="0"/>
    </xf>
    <xf numFmtId="0" fontId="7" fillId="29" borderId="12" xfId="0" applyFont="1" applyFill="1" applyBorder="1"/>
    <xf numFmtId="0" fontId="9" fillId="29" borderId="12" xfId="0" applyFont="1" applyFill="1" applyBorder="1"/>
    <xf numFmtId="167" fontId="0" fillId="29" borderId="0" xfId="28" applyNumberFormat="1" applyFont="1" applyFill="1" applyBorder="1" applyAlignment="1"/>
    <xf numFmtId="9" fontId="44" fillId="29" borderId="0" xfId="44" applyFont="1" applyFill="1" applyBorder="1"/>
    <xf numFmtId="167" fontId="44" fillId="29" borderId="0" xfId="28" applyNumberFormat="1" applyFont="1" applyFill="1" applyBorder="1" applyAlignment="1"/>
    <xf numFmtId="167" fontId="7" fillId="29" borderId="0" xfId="28" applyNumberFormat="1" applyFont="1" applyFill="1" applyBorder="1" applyAlignment="1"/>
    <xf numFmtId="9" fontId="0" fillId="29" borderId="0" xfId="44" applyFont="1" applyFill="1" applyBorder="1"/>
    <xf numFmtId="0" fontId="0" fillId="29" borderId="26" xfId="0" applyFill="1" applyBorder="1"/>
    <xf numFmtId="0" fontId="42" fillId="29" borderId="34" xfId="0" applyFont="1" applyFill="1" applyBorder="1"/>
    <xf numFmtId="0" fontId="0" fillId="29" borderId="34" xfId="0" applyFill="1" applyBorder="1"/>
    <xf numFmtId="0" fontId="7" fillId="29" borderId="34" xfId="0" applyFont="1" applyFill="1" applyBorder="1"/>
    <xf numFmtId="0" fontId="44" fillId="29" borderId="34" xfId="0" applyFont="1" applyFill="1" applyBorder="1"/>
    <xf numFmtId="0" fontId="0" fillId="29" borderId="22" xfId="0" applyFill="1" applyBorder="1"/>
    <xf numFmtId="0" fontId="9" fillId="29" borderId="0" xfId="0" applyFont="1" applyFill="1"/>
    <xf numFmtId="0" fontId="7" fillId="29" borderId="0" xfId="0" applyFont="1" applyFill="1"/>
    <xf numFmtId="0" fontId="44" fillId="29" borderId="0" xfId="0" applyFont="1" applyFill="1"/>
    <xf numFmtId="0" fontId="44" fillId="29" borderId="23" xfId="0" applyFont="1" applyFill="1" applyBorder="1"/>
    <xf numFmtId="0" fontId="38" fillId="29" borderId="0" xfId="0" applyFont="1" applyFill="1"/>
    <xf numFmtId="0" fontId="45" fillId="29" borderId="0" xfId="0" applyFont="1" applyFill="1" applyAlignment="1">
      <alignment horizontal="right"/>
    </xf>
    <xf numFmtId="0" fontId="46" fillId="29" borderId="23" xfId="0" applyFont="1" applyFill="1" applyBorder="1" applyAlignment="1">
      <alignment horizontal="right"/>
    </xf>
    <xf numFmtId="0" fontId="7" fillId="0" borderId="0" xfId="0" applyFont="1" applyAlignment="1">
      <alignment horizontal="left" vertical="center" wrapText="1"/>
    </xf>
    <xf numFmtId="0" fontId="0" fillId="29" borderId="23" xfId="0" applyFill="1" applyBorder="1"/>
    <xf numFmtId="0" fontId="9" fillId="29" borderId="0" xfId="0" applyFont="1" applyFill="1" applyAlignment="1">
      <alignment horizontal="center" vertical="center"/>
    </xf>
    <xf numFmtId="0" fontId="10" fillId="29" borderId="0" xfId="0" applyFont="1" applyFill="1"/>
    <xf numFmtId="0" fontId="9" fillId="29" borderId="0" xfId="0" applyFont="1" applyFill="1" applyAlignment="1">
      <alignment horizontal="left"/>
    </xf>
    <xf numFmtId="0" fontId="35" fillId="29" borderId="22" xfId="0" applyFont="1" applyFill="1" applyBorder="1"/>
    <xf numFmtId="0" fontId="46" fillId="29" borderId="0" xfId="0" applyFont="1" applyFill="1" applyAlignment="1">
      <alignment vertical="center"/>
    </xf>
    <xf numFmtId="0" fontId="35" fillId="29" borderId="23" xfId="0" applyFont="1" applyFill="1" applyBorder="1"/>
    <xf numFmtId="0" fontId="9" fillId="26" borderId="0" xfId="0" applyFont="1" applyFill="1" applyAlignment="1">
      <alignment horizontal="left"/>
    </xf>
    <xf numFmtId="0" fontId="33" fillId="0" borderId="0" xfId="0" applyFont="1"/>
    <xf numFmtId="0" fontId="33" fillId="29" borderId="0" xfId="0" applyFont="1" applyFill="1"/>
    <xf numFmtId="0" fontId="0" fillId="29" borderId="24" xfId="0" applyFill="1" applyBorder="1"/>
    <xf numFmtId="0" fontId="0" fillId="29" borderId="35" xfId="0" applyFill="1" applyBorder="1"/>
    <xf numFmtId="0" fontId="33" fillId="0" borderId="16" xfId="0" applyFont="1" applyBorder="1"/>
    <xf numFmtId="0" fontId="33" fillId="0" borderId="36" xfId="0" applyFont="1" applyBorder="1"/>
    <xf numFmtId="0" fontId="0" fillId="0" borderId="36" xfId="0" applyBorder="1"/>
    <xf numFmtId="0" fontId="10" fillId="29" borderId="18" xfId="0" applyFont="1" applyFill="1" applyBorder="1"/>
    <xf numFmtId="0" fontId="9" fillId="0" borderId="40" xfId="0" applyFont="1" applyBorder="1" applyAlignment="1">
      <alignment horizontal="center" vertical="center"/>
    </xf>
    <xf numFmtId="0" fontId="0" fillId="27" borderId="22" xfId="0" applyFill="1" applyBorder="1"/>
    <xf numFmtId="0" fontId="0" fillId="33" borderId="34" xfId="0" applyFill="1" applyBorder="1"/>
    <xf numFmtId="0" fontId="9" fillId="33" borderId="34" xfId="0" applyFont="1" applyFill="1" applyBorder="1" applyAlignment="1">
      <alignment horizontal="center" vertical="center"/>
    </xf>
    <xf numFmtId="0" fontId="9" fillId="33" borderId="27" xfId="0" applyFont="1" applyFill="1" applyBorder="1" applyAlignment="1">
      <alignment horizontal="center" vertical="center"/>
    </xf>
    <xf numFmtId="0" fontId="0" fillId="33" borderId="22" xfId="0" applyFill="1" applyBorder="1"/>
    <xf numFmtId="0" fontId="0" fillId="33" borderId="0" xfId="0" applyFill="1"/>
    <xf numFmtId="6" fontId="0" fillId="33" borderId="0" xfId="0" applyNumberFormat="1" applyFill="1" applyAlignment="1">
      <alignment horizontal="center" vertical="center"/>
    </xf>
    <xf numFmtId="6" fontId="0" fillId="33" borderId="23" xfId="0" applyNumberFormat="1" applyFill="1" applyBorder="1" applyAlignment="1">
      <alignment horizontal="center" vertical="center"/>
    </xf>
    <xf numFmtId="0" fontId="0" fillId="33" borderId="24" xfId="0" applyFill="1" applyBorder="1"/>
    <xf numFmtId="0" fontId="0" fillId="33" borderId="35" xfId="0" applyFill="1" applyBorder="1"/>
    <xf numFmtId="6" fontId="0" fillId="33" borderId="35" xfId="0" applyNumberFormat="1" applyFill="1" applyBorder="1" applyAlignment="1">
      <alignment horizontal="center" vertical="center"/>
    </xf>
    <xf numFmtId="6" fontId="0" fillId="33" borderId="25" xfId="0" applyNumberFormat="1" applyFill="1" applyBorder="1" applyAlignment="1">
      <alignment horizontal="center" vertical="center"/>
    </xf>
    <xf numFmtId="9" fontId="44" fillId="31" borderId="22" xfId="44" applyFont="1" applyFill="1" applyBorder="1" applyAlignment="1">
      <alignment horizontal="center"/>
    </xf>
    <xf numFmtId="0" fontId="0" fillId="29" borderId="25" xfId="0" applyFill="1" applyBorder="1"/>
    <xf numFmtId="0" fontId="9" fillId="33" borderId="0" xfId="0" applyFont="1" applyFill="1"/>
    <xf numFmtId="0" fontId="0" fillId="34" borderId="0" xfId="0" applyFill="1"/>
    <xf numFmtId="0" fontId="48" fillId="34" borderId="0" xfId="0" applyFont="1" applyFill="1" applyAlignment="1">
      <alignment horizontal="left" vertical="top"/>
    </xf>
    <xf numFmtId="8" fontId="33" fillId="34" borderId="0" xfId="0" applyNumberFormat="1" applyFont="1" applyFill="1" applyAlignment="1">
      <alignment horizontal="left" vertical="top"/>
    </xf>
    <xf numFmtId="0" fontId="9" fillId="34" borderId="0" xfId="0" applyFont="1" applyFill="1" applyAlignment="1">
      <alignment horizontal="left" vertical="top"/>
    </xf>
    <xf numFmtId="0" fontId="48" fillId="34" borderId="0" xfId="0" applyFont="1" applyFill="1"/>
    <xf numFmtId="0" fontId="9" fillId="26" borderId="16" xfId="0" applyFont="1" applyFill="1" applyBorder="1" applyAlignment="1">
      <alignment horizontal="left"/>
    </xf>
    <xf numFmtId="0" fontId="9" fillId="26" borderId="0" xfId="0" applyFont="1" applyFill="1"/>
    <xf numFmtId="0" fontId="10" fillId="29" borderId="0" xfId="0" applyFont="1" applyFill="1" applyAlignment="1">
      <alignment horizontal="left"/>
    </xf>
    <xf numFmtId="0" fontId="9" fillId="0" borderId="10" xfId="0" applyFont="1" applyBorder="1" applyAlignment="1">
      <alignment horizontal="center" vertical="center"/>
    </xf>
    <xf numFmtId="0" fontId="9" fillId="26" borderId="0" xfId="0" applyFont="1" applyFill="1" applyAlignment="1">
      <alignment horizontal="left" vertical="center"/>
    </xf>
    <xf numFmtId="0" fontId="0" fillId="27" borderId="11" xfId="0" applyFill="1" applyBorder="1"/>
    <xf numFmtId="0" fontId="10" fillId="29" borderId="26" xfId="0" applyFont="1" applyFill="1" applyBorder="1"/>
    <xf numFmtId="0" fontId="9" fillId="29" borderId="27" xfId="0" applyFont="1" applyFill="1" applyBorder="1"/>
    <xf numFmtId="0" fontId="10" fillId="29" borderId="24" xfId="0" applyFont="1" applyFill="1" applyBorder="1"/>
    <xf numFmtId="0" fontId="7" fillId="29" borderId="34" xfId="0" applyFont="1" applyFill="1" applyBorder="1" applyAlignment="1">
      <alignment horizontal="right"/>
    </xf>
    <xf numFmtId="0" fontId="7" fillId="29" borderId="35" xfId="0" applyFont="1" applyFill="1" applyBorder="1" applyAlignment="1">
      <alignment horizontal="right"/>
    </xf>
    <xf numFmtId="0" fontId="33" fillId="0" borderId="11" xfId="0" applyFont="1" applyBorder="1" applyAlignment="1">
      <alignment horizontal="center" vertical="center" wrapText="1"/>
    </xf>
    <xf numFmtId="0" fontId="9" fillId="0" borderId="11" xfId="0" applyFont="1" applyBorder="1" applyAlignment="1">
      <alignment horizontal="center" vertical="center" wrapText="1"/>
    </xf>
    <xf numFmtId="9" fontId="9" fillId="0" borderId="11" xfId="0" applyNumberFormat="1" applyFont="1" applyBorder="1" applyAlignment="1">
      <alignment horizontal="center" vertical="center" wrapText="1"/>
    </xf>
    <xf numFmtId="9" fontId="0" fillId="29" borderId="25" xfId="44" applyFont="1" applyFill="1" applyBorder="1"/>
    <xf numFmtId="0" fontId="7" fillId="35" borderId="11" xfId="0" applyFont="1" applyFill="1" applyBorder="1"/>
    <xf numFmtId="9" fontId="7" fillId="35" borderId="11" xfId="0" applyNumberFormat="1" applyFont="1" applyFill="1" applyBorder="1" applyAlignment="1">
      <alignment horizontal="right"/>
    </xf>
    <xf numFmtId="0" fontId="7" fillId="0" borderId="0" xfId="0" applyFont="1" applyAlignment="1">
      <alignment horizontal="right" vertical="top" wrapText="1"/>
    </xf>
    <xf numFmtId="0" fontId="7" fillId="0" borderId="0" xfId="67"/>
    <xf numFmtId="0" fontId="49" fillId="27" borderId="0" xfId="67" applyFont="1" applyFill="1"/>
    <xf numFmtId="0" fontId="7" fillId="36" borderId="0" xfId="67" applyFill="1"/>
    <xf numFmtId="0" fontId="7" fillId="0" borderId="0" xfId="67" quotePrefix="1"/>
    <xf numFmtId="0" fontId="7" fillId="0" borderId="0" xfId="67" applyAlignment="1">
      <alignment wrapText="1"/>
    </xf>
    <xf numFmtId="0" fontId="7" fillId="0" borderId="0" xfId="67" applyAlignment="1">
      <alignment horizontal="center"/>
    </xf>
    <xf numFmtId="0" fontId="7" fillId="0" borderId="0" xfId="67" applyAlignment="1">
      <alignment horizontal="center" wrapText="1"/>
    </xf>
    <xf numFmtId="8" fontId="7" fillId="0" borderId="0" xfId="67" applyNumberFormat="1"/>
    <xf numFmtId="8" fontId="7" fillId="28" borderId="0" xfId="67" applyNumberFormat="1" applyFill="1"/>
    <xf numFmtId="0" fontId="9" fillId="0" borderId="0" xfId="67" applyFont="1"/>
    <xf numFmtId="164" fontId="7" fillId="0" borderId="0" xfId="67" applyNumberFormat="1"/>
    <xf numFmtId="0" fontId="40" fillId="0" borderId="0" xfId="0" applyFont="1"/>
    <xf numFmtId="9" fontId="37" fillId="28" borderId="0" xfId="0" applyNumberFormat="1" applyFont="1" applyFill="1"/>
    <xf numFmtId="6" fontId="37" fillId="0" borderId="0" xfId="0" applyNumberFormat="1" applyFont="1"/>
    <xf numFmtId="165" fontId="37" fillId="0" borderId="0" xfId="0" applyNumberFormat="1" applyFont="1"/>
    <xf numFmtId="9" fontId="37" fillId="0" borderId="0" xfId="0" applyNumberFormat="1" applyFont="1"/>
    <xf numFmtId="6" fontId="50" fillId="0" borderId="0" xfId="0" applyNumberFormat="1" applyFont="1"/>
    <xf numFmtId="0" fontId="37" fillId="0" borderId="0" xfId="0" quotePrefix="1" applyFont="1"/>
    <xf numFmtId="0" fontId="37" fillId="35" borderId="0" xfId="0" applyFont="1" applyFill="1"/>
    <xf numFmtId="168" fontId="50" fillId="35" borderId="0" xfId="0" applyNumberFormat="1" applyFont="1" applyFill="1"/>
    <xf numFmtId="169" fontId="37" fillId="35" borderId="0" xfId="0" applyNumberFormat="1" applyFont="1" applyFill="1"/>
    <xf numFmtId="0" fontId="7" fillId="0" borderId="17" xfId="0" applyFont="1" applyBorder="1"/>
    <xf numFmtId="8" fontId="37" fillId="0" borderId="0" xfId="0" applyNumberFormat="1" applyFont="1"/>
    <xf numFmtId="167" fontId="37" fillId="0" borderId="0" xfId="28" applyNumberFormat="1" applyFont="1" applyAlignment="1">
      <alignment horizontal="center" vertical="center"/>
    </xf>
    <xf numFmtId="167" fontId="37" fillId="0" borderId="0" xfId="28" applyNumberFormat="1" applyFont="1" applyFill="1" applyAlignment="1">
      <alignment horizontal="center" vertical="center" wrapText="1"/>
    </xf>
    <xf numFmtId="6" fontId="37" fillId="0" borderId="0" xfId="28" applyNumberFormat="1" applyFont="1" applyFill="1" applyAlignment="1">
      <alignment horizontal="right" vertical="center"/>
    </xf>
    <xf numFmtId="167" fontId="37" fillId="0" borderId="0" xfId="28" applyNumberFormat="1" applyFont="1" applyAlignment="1">
      <alignment horizontal="right" vertical="center"/>
    </xf>
    <xf numFmtId="0" fontId="37" fillId="0" borderId="0" xfId="0" applyFont="1" applyAlignment="1">
      <alignment wrapText="1"/>
    </xf>
    <xf numFmtId="167" fontId="37" fillId="0" borderId="0" xfId="44" applyNumberFormat="1" applyFont="1" applyFill="1"/>
    <xf numFmtId="14" fontId="37" fillId="29" borderId="34" xfId="0" applyNumberFormat="1" applyFont="1" applyFill="1" applyBorder="1" applyAlignment="1">
      <alignment horizontal="left"/>
    </xf>
    <xf numFmtId="0" fontId="37" fillId="29" borderId="0" xfId="0" applyFont="1" applyFill="1"/>
    <xf numFmtId="0" fontId="36" fillId="32" borderId="26" xfId="0" applyFont="1" applyFill="1" applyBorder="1"/>
    <xf numFmtId="0" fontId="0" fillId="32" borderId="27" xfId="0" applyFill="1" applyBorder="1"/>
    <xf numFmtId="0" fontId="7" fillId="32" borderId="22" xfId="0" applyFont="1" applyFill="1" applyBorder="1" applyAlignment="1">
      <alignment horizontal="left" vertical="top"/>
    </xf>
    <xf numFmtId="0" fontId="7" fillId="32" borderId="24" xfId="0" applyFont="1" applyFill="1" applyBorder="1" applyAlignment="1">
      <alignment horizontal="left" vertical="top"/>
    </xf>
    <xf numFmtId="0" fontId="10" fillId="0" borderId="10" xfId="0" applyFont="1" applyBorder="1" applyAlignment="1">
      <alignment horizontal="right"/>
    </xf>
    <xf numFmtId="0" fontId="37" fillId="29" borderId="0" xfId="0" applyFont="1" applyFill="1" applyAlignment="1">
      <alignment horizontal="right"/>
    </xf>
    <xf numFmtId="9" fontId="37" fillId="29" borderId="0" xfId="0" applyNumberFormat="1" applyFont="1" applyFill="1"/>
    <xf numFmtId="9" fontId="37" fillId="29" borderId="0" xfId="44" applyFont="1" applyFill="1" applyBorder="1"/>
    <xf numFmtId="0" fontId="37" fillId="29" borderId="0" xfId="0" applyFont="1" applyFill="1" applyAlignment="1">
      <alignment vertical="center"/>
    </xf>
    <xf numFmtId="0" fontId="0" fillId="35" borderId="27" xfId="0" applyFill="1" applyBorder="1"/>
    <xf numFmtId="0" fontId="0" fillId="35" borderId="22" xfId="0" applyFill="1" applyBorder="1"/>
    <xf numFmtId="0" fontId="9" fillId="35" borderId="23" xfId="0" applyFont="1" applyFill="1" applyBorder="1"/>
    <xf numFmtId="0" fontId="35" fillId="35" borderId="22" xfId="0" applyFont="1" applyFill="1" applyBorder="1"/>
    <xf numFmtId="167" fontId="7" fillId="35" borderId="0" xfId="28" applyNumberFormat="1" applyFont="1" applyFill="1" applyBorder="1" applyAlignment="1">
      <alignment horizontal="right"/>
    </xf>
    <xf numFmtId="0" fontId="9" fillId="35" borderId="0" xfId="0" applyFont="1" applyFill="1" applyAlignment="1">
      <alignment horizontal="right"/>
    </xf>
    <xf numFmtId="0" fontId="36" fillId="35" borderId="26" xfId="0" applyFont="1" applyFill="1" applyBorder="1" applyAlignment="1">
      <alignment horizontal="left" vertical="top"/>
    </xf>
    <xf numFmtId="0" fontId="0" fillId="35" borderId="34" xfId="0" applyFill="1" applyBorder="1"/>
    <xf numFmtId="0" fontId="0" fillId="32" borderId="23" xfId="0" applyFill="1" applyBorder="1"/>
    <xf numFmtId="0" fontId="0" fillId="32" borderId="34" xfId="0" applyFill="1" applyBorder="1"/>
    <xf numFmtId="0" fontId="7" fillId="32" borderId="0" xfId="0" applyFont="1" applyFill="1" applyAlignment="1">
      <alignment horizontal="left"/>
    </xf>
    <xf numFmtId="0" fontId="7" fillId="32" borderId="35" xfId="0" applyFont="1" applyFill="1" applyBorder="1" applyAlignment="1">
      <alignment horizontal="left"/>
    </xf>
    <xf numFmtId="0" fontId="0" fillId="32" borderId="25" xfId="0" applyFill="1" applyBorder="1"/>
    <xf numFmtId="167" fontId="0" fillId="27" borderId="11" xfId="28" applyNumberFormat="1" applyFont="1" applyFill="1" applyBorder="1"/>
    <xf numFmtId="44" fontId="0" fillId="27" borderId="11" xfId="28" applyFont="1" applyFill="1" applyBorder="1"/>
    <xf numFmtId="44" fontId="0" fillId="27" borderId="11" xfId="28" applyFont="1" applyFill="1" applyBorder="1" applyAlignment="1">
      <alignment horizontal="right"/>
    </xf>
    <xf numFmtId="44" fontId="7" fillId="27" borderId="11" xfId="28" applyFont="1" applyFill="1" applyBorder="1" applyAlignment="1">
      <alignment horizontal="right"/>
    </xf>
    <xf numFmtId="0" fontId="7" fillId="0" borderId="0" xfId="0" applyFont="1" applyAlignment="1">
      <alignment horizontal="left" vertical="top"/>
    </xf>
    <xf numFmtId="0" fontId="7" fillId="24" borderId="0" xfId="0" applyFont="1" applyFill="1"/>
    <xf numFmtId="0" fontId="7" fillId="28" borderId="0" xfId="0" applyFont="1" applyFill="1"/>
    <xf numFmtId="0" fontId="7" fillId="25" borderId="0" xfId="0" applyFont="1" applyFill="1"/>
    <xf numFmtId="0" fontId="7" fillId="26" borderId="0" xfId="0" applyFont="1" applyFill="1"/>
    <xf numFmtId="6" fontId="7" fillId="28" borderId="0" xfId="0" applyNumberFormat="1" applyFont="1" applyFill="1"/>
    <xf numFmtId="9" fontId="7" fillId="24" borderId="0" xfId="0" applyNumberFormat="1" applyFont="1" applyFill="1"/>
    <xf numFmtId="44" fontId="7" fillId="0" borderId="0" xfId="0" applyNumberFormat="1" applyFont="1"/>
    <xf numFmtId="0" fontId="7" fillId="30" borderId="27" xfId="0" applyFont="1" applyFill="1" applyBorder="1"/>
    <xf numFmtId="44" fontId="7" fillId="30" borderId="23" xfId="28" applyFont="1" applyFill="1" applyBorder="1"/>
    <xf numFmtId="44" fontId="7" fillId="30" borderId="38" xfId="28" applyFont="1" applyFill="1" applyBorder="1"/>
    <xf numFmtId="0" fontId="7" fillId="30" borderId="24" xfId="0" applyFont="1" applyFill="1" applyBorder="1"/>
    <xf numFmtId="44" fontId="7" fillId="30" borderId="25" xfId="0" applyNumberFormat="1" applyFont="1" applyFill="1" applyBorder="1"/>
    <xf numFmtId="43" fontId="7" fillId="0" borderId="0" xfId="61" applyFont="1"/>
    <xf numFmtId="43" fontId="7" fillId="27" borderId="0" xfId="61" applyFont="1" applyFill="1"/>
    <xf numFmtId="8" fontId="7" fillId="30" borderId="23" xfId="28" applyNumberFormat="1" applyFont="1" applyFill="1" applyBorder="1"/>
    <xf numFmtId="167" fontId="37" fillId="0" borderId="0" xfId="28" applyNumberFormat="1" applyFont="1" applyFill="1"/>
    <xf numFmtId="44" fontId="37" fillId="0" borderId="0" xfId="0" applyNumberFormat="1" applyFont="1" applyAlignment="1">
      <alignment wrapText="1"/>
    </xf>
    <xf numFmtId="167" fontId="40" fillId="0" borderId="0" xfId="44" applyNumberFormat="1" applyFont="1" applyFill="1"/>
    <xf numFmtId="1" fontId="32" fillId="0" borderId="0" xfId="0" applyNumberFormat="1" applyFont="1"/>
    <xf numFmtId="165" fontId="9" fillId="0" borderId="36" xfId="0" applyNumberFormat="1" applyFont="1" applyBorder="1"/>
    <xf numFmtId="43" fontId="37" fillId="0" borderId="0" xfId="61" applyFont="1"/>
    <xf numFmtId="0" fontId="44" fillId="0" borderId="0" xfId="0" applyFont="1" applyAlignment="1" applyProtection="1">
      <alignment vertical="top" wrapText="1"/>
      <protection hidden="1"/>
    </xf>
    <xf numFmtId="0" fontId="10" fillId="0" borderId="50" xfId="0" applyFont="1" applyBorder="1"/>
    <xf numFmtId="167" fontId="0" fillId="27" borderId="0" xfId="28" applyNumberFormat="1" applyFont="1" applyFill="1"/>
    <xf numFmtId="0" fontId="0" fillId="29" borderId="0" xfId="0" applyFill="1" applyAlignment="1">
      <alignment horizontal="right"/>
    </xf>
    <xf numFmtId="0" fontId="0" fillId="29" borderId="49" xfId="0" applyFill="1" applyBorder="1" applyAlignment="1">
      <alignment horizontal="right"/>
    </xf>
    <xf numFmtId="0" fontId="40" fillId="0" borderId="13" xfId="0" applyFont="1" applyBorder="1" applyAlignment="1">
      <alignment horizontal="right" vertical="center"/>
    </xf>
    <xf numFmtId="9" fontId="44" fillId="29" borderId="0" xfId="44" applyFont="1" applyFill="1" applyBorder="1" applyAlignment="1">
      <alignment horizontal="center"/>
    </xf>
    <xf numFmtId="2" fontId="0" fillId="0" borderId="11" xfId="28" applyNumberFormat="1" applyFont="1" applyFill="1" applyBorder="1"/>
    <xf numFmtId="0" fontId="7" fillId="0" borderId="0" xfId="0" applyFont="1" applyProtection="1">
      <protection locked="0"/>
    </xf>
    <xf numFmtId="44" fontId="7" fillId="0" borderId="0" xfId="28" applyFont="1" applyFill="1"/>
    <xf numFmtId="0" fontId="7" fillId="0" borderId="0" xfId="63"/>
    <xf numFmtId="0" fontId="51" fillId="0" borderId="0" xfId="63" applyFont="1" applyAlignment="1">
      <alignment wrapText="1"/>
    </xf>
    <xf numFmtId="0" fontId="52" fillId="0" borderId="0" xfId="63" applyFont="1"/>
    <xf numFmtId="164" fontId="44" fillId="0" borderId="0" xfId="63" applyNumberFormat="1" applyFont="1"/>
    <xf numFmtId="1" fontId="7" fillId="0" borderId="0" xfId="63" applyNumberFormat="1"/>
    <xf numFmtId="8" fontId="7" fillId="0" borderId="0" xfId="63" applyNumberFormat="1"/>
    <xf numFmtId="9" fontId="7" fillId="0" borderId="0" xfId="63" applyNumberFormat="1"/>
    <xf numFmtId="6" fontId="7" fillId="0" borderId="0" xfId="63" applyNumberFormat="1"/>
    <xf numFmtId="0" fontId="53" fillId="0" borderId="35" xfId="63" applyFont="1" applyBorder="1" applyAlignment="1">
      <alignment wrapText="1"/>
    </xf>
    <xf numFmtId="0" fontId="9" fillId="0" borderId="35" xfId="63" applyFont="1" applyBorder="1"/>
    <xf numFmtId="0" fontId="7" fillId="0" borderId="35" xfId="63" applyBorder="1"/>
    <xf numFmtId="0" fontId="53" fillId="0" borderId="0" xfId="63" applyFont="1" applyAlignment="1">
      <alignment wrapText="1"/>
    </xf>
    <xf numFmtId="0" fontId="9" fillId="0" borderId="0" xfId="63" applyFont="1"/>
    <xf numFmtId="0" fontId="33" fillId="0" borderId="0" xfId="63" applyFont="1" applyAlignment="1">
      <alignment horizontal="center"/>
    </xf>
    <xf numFmtId="0" fontId="7" fillId="0" borderId="0" xfId="61" applyNumberFormat="1" applyFont="1" applyBorder="1"/>
    <xf numFmtId="0" fontId="7" fillId="0" borderId="0" xfId="63" applyAlignment="1">
      <alignment wrapText="1"/>
    </xf>
    <xf numFmtId="44" fontId="7" fillId="0" borderId="0" xfId="28"/>
    <xf numFmtId="170" fontId="7" fillId="0" borderId="0" xfId="61" applyNumberFormat="1" applyFont="1" applyBorder="1"/>
    <xf numFmtId="0" fontId="7" fillId="0" borderId="0" xfId="63" applyAlignment="1">
      <alignment horizontal="center"/>
    </xf>
    <xf numFmtId="44" fontId="7" fillId="0" borderId="0" xfId="66" applyFont="1" applyBorder="1"/>
    <xf numFmtId="0" fontId="7" fillId="0" borderId="0" xfId="61" applyNumberFormat="1" applyFont="1" applyFill="1" applyBorder="1"/>
    <xf numFmtId="0" fontId="1" fillId="0" borderId="0" xfId="60"/>
    <xf numFmtId="0" fontId="54" fillId="0" borderId="0" xfId="60" applyFont="1"/>
    <xf numFmtId="43" fontId="7" fillId="0" borderId="0" xfId="61" applyFont="1" applyFill="1" applyBorder="1"/>
    <xf numFmtId="43" fontId="7" fillId="0" borderId="12" xfId="61" applyFont="1" applyBorder="1"/>
    <xf numFmtId="0" fontId="9" fillId="0" borderId="0" xfId="63" applyFont="1" applyAlignment="1">
      <alignment horizontal="right"/>
    </xf>
    <xf numFmtId="0" fontId="7" fillId="0" borderId="12" xfId="63" applyBorder="1"/>
    <xf numFmtId="170" fontId="9" fillId="0" borderId="12" xfId="61" applyNumberFormat="1" applyFont="1" applyBorder="1"/>
    <xf numFmtId="0" fontId="9" fillId="0" borderId="0" xfId="63" applyFont="1" applyAlignment="1">
      <alignment wrapText="1"/>
    </xf>
    <xf numFmtId="0" fontId="36" fillId="0" borderId="0" xfId="63" applyFont="1"/>
    <xf numFmtId="165" fontId="7" fillId="0" borderId="0" xfId="63" applyNumberFormat="1"/>
    <xf numFmtId="10" fontId="7" fillId="0" borderId="0" xfId="63" applyNumberFormat="1"/>
    <xf numFmtId="43" fontId="7" fillId="0" borderId="0" xfId="63" applyNumberFormat="1"/>
    <xf numFmtId="165" fontId="9" fillId="0" borderId="0" xfId="63" applyNumberFormat="1" applyFont="1"/>
    <xf numFmtId="0" fontId="7" fillId="0" borderId="0" xfId="63" applyAlignment="1">
      <alignment horizontal="right"/>
    </xf>
    <xf numFmtId="164" fontId="7" fillId="0" borderId="0" xfId="63" applyNumberFormat="1"/>
    <xf numFmtId="164" fontId="7" fillId="0" borderId="0" xfId="63" applyNumberFormat="1" applyAlignment="1">
      <alignment horizontal="right"/>
    </xf>
    <xf numFmtId="0" fontId="9" fillId="0" borderId="0" xfId="63" applyFont="1" applyAlignment="1">
      <alignment horizontal="right" wrapText="1"/>
    </xf>
    <xf numFmtId="10" fontId="9" fillId="0" borderId="12" xfId="63" applyNumberFormat="1" applyFont="1" applyBorder="1"/>
    <xf numFmtId="165" fontId="9" fillId="0" borderId="12" xfId="63" applyNumberFormat="1" applyFont="1" applyBorder="1"/>
    <xf numFmtId="2" fontId="7" fillId="0" borderId="0" xfId="63" applyNumberFormat="1"/>
    <xf numFmtId="0" fontId="7" fillId="0" borderId="0" xfId="63" applyAlignment="1">
      <alignment horizontal="left" wrapText="1"/>
    </xf>
    <xf numFmtId="44" fontId="7" fillId="27" borderId="0" xfId="28" applyFill="1" applyAlignment="1">
      <alignment horizontal="left"/>
    </xf>
    <xf numFmtId="0" fontId="7" fillId="0" borderId="0" xfId="63" applyAlignment="1">
      <alignment horizontal="left"/>
    </xf>
    <xf numFmtId="165" fontId="7" fillId="0" borderId="12" xfId="63" applyNumberFormat="1" applyBorder="1"/>
    <xf numFmtId="5" fontId="7" fillId="0" borderId="0" xfId="63" applyNumberFormat="1"/>
    <xf numFmtId="0" fontId="55" fillId="0" borderId="35" xfId="63" applyFont="1" applyBorder="1" applyAlignment="1">
      <alignment wrapText="1"/>
    </xf>
    <xf numFmtId="0" fontId="50" fillId="0" borderId="35" xfId="63" applyFont="1" applyBorder="1"/>
    <xf numFmtId="165" fontId="7" fillId="0" borderId="35" xfId="63" applyNumberFormat="1" applyBorder="1"/>
    <xf numFmtId="0" fontId="37" fillId="0" borderId="0" xfId="63" applyFont="1" applyAlignment="1">
      <alignment wrapText="1"/>
    </xf>
    <xf numFmtId="165" fontId="9" fillId="0" borderId="0" xfId="63" applyNumberFormat="1" applyFont="1" applyAlignment="1">
      <alignment horizontal="right"/>
    </xf>
    <xf numFmtId="167" fontId="7" fillId="29" borderId="34" xfId="28" applyNumberFormat="1" applyFont="1" applyFill="1" applyBorder="1" applyAlignment="1">
      <alignment horizontal="right"/>
    </xf>
    <xf numFmtId="44" fontId="0" fillId="29" borderId="0" xfId="28" applyFont="1" applyFill="1" applyBorder="1"/>
    <xf numFmtId="167" fontId="7" fillId="35" borderId="13" xfId="28" applyNumberFormat="1" applyFont="1" applyFill="1" applyBorder="1" applyAlignment="1">
      <alignment horizontal="right"/>
    </xf>
    <xf numFmtId="0" fontId="7" fillId="0" borderId="41" xfId="0" applyFont="1" applyBorder="1" applyAlignment="1">
      <alignment horizontal="left"/>
    </xf>
    <xf numFmtId="0" fontId="7" fillId="0" borderId="19" xfId="0" applyFont="1" applyBorder="1" applyAlignment="1">
      <alignment horizontal="left"/>
    </xf>
    <xf numFmtId="0" fontId="9" fillId="0" borderId="14" xfId="0" applyFont="1" applyBorder="1" applyAlignment="1">
      <alignment horizontal="left"/>
    </xf>
    <xf numFmtId="0" fontId="7" fillId="0" borderId="41" xfId="0" applyFont="1" applyBorder="1" applyAlignment="1">
      <alignment horizontal="right"/>
    </xf>
    <xf numFmtId="0" fontId="7" fillId="0" borderId="19" xfId="0" applyFont="1" applyBorder="1" applyAlignment="1">
      <alignment horizontal="right"/>
    </xf>
    <xf numFmtId="0" fontId="7" fillId="0" borderId="14" xfId="0" applyFont="1" applyBorder="1" applyAlignment="1">
      <alignment horizontal="right"/>
    </xf>
    <xf numFmtId="167" fontId="7" fillId="0" borderId="0" xfId="28" applyNumberFormat="1"/>
    <xf numFmtId="44" fontId="10" fillId="0" borderId="40" xfId="0" applyNumberFormat="1" applyFont="1" applyBorder="1"/>
    <xf numFmtId="43" fontId="10" fillId="0" borderId="0" xfId="0" applyNumberFormat="1" applyFont="1"/>
    <xf numFmtId="9" fontId="7" fillId="0" borderId="13" xfId="44" applyFont="1" applyFill="1" applyBorder="1"/>
    <xf numFmtId="165" fontId="7" fillId="0" borderId="36" xfId="0" applyNumberFormat="1" applyFont="1" applyBorder="1"/>
    <xf numFmtId="0" fontId="7" fillId="0" borderId="17" xfId="28" applyNumberFormat="1" applyFont="1" applyFill="1" applyBorder="1"/>
    <xf numFmtId="165" fontId="7" fillId="0" borderId="12" xfId="0" applyNumberFormat="1" applyFont="1" applyBorder="1" applyAlignment="1">
      <alignment horizontal="right"/>
    </xf>
    <xf numFmtId="0" fontId="7" fillId="0" borderId="13" xfId="0" applyFont="1" applyBorder="1"/>
    <xf numFmtId="0" fontId="37" fillId="0" borderId="10" xfId="0" applyFont="1" applyBorder="1"/>
    <xf numFmtId="0" fontId="37" fillId="0" borderId="40" xfId="0" applyFont="1" applyBorder="1"/>
    <xf numFmtId="0" fontId="56" fillId="0" borderId="15" xfId="0" applyFont="1" applyBorder="1" applyAlignment="1">
      <alignment horizontal="center"/>
    </xf>
    <xf numFmtId="0" fontId="56" fillId="0" borderId="17" xfId="0" applyFont="1" applyBorder="1" applyAlignment="1">
      <alignment horizontal="center"/>
    </xf>
    <xf numFmtId="0" fontId="56" fillId="0" borderId="18" xfId="0" applyFont="1" applyBorder="1"/>
    <xf numFmtId="0" fontId="56" fillId="0" borderId="13" xfId="0" applyFont="1" applyBorder="1"/>
    <xf numFmtId="0" fontId="56" fillId="0" borderId="15" xfId="0" applyFont="1" applyBorder="1"/>
    <xf numFmtId="0" fontId="56" fillId="0" borderId="17" xfId="0" applyFont="1" applyBorder="1"/>
    <xf numFmtId="0" fontId="56" fillId="0" borderId="0" xfId="0" applyFont="1"/>
    <xf numFmtId="167" fontId="9" fillId="0" borderId="12" xfId="28" applyNumberFormat="1" applyFont="1" applyFill="1" applyBorder="1"/>
    <xf numFmtId="0" fontId="57" fillId="0" borderId="20" xfId="0" applyFont="1" applyBorder="1"/>
    <xf numFmtId="0" fontId="57" fillId="0" borderId="21" xfId="0" applyFont="1" applyBorder="1"/>
    <xf numFmtId="0" fontId="57" fillId="0" borderId="0" xfId="0" applyFont="1"/>
    <xf numFmtId="8" fontId="57" fillId="0" borderId="0" xfId="0" applyNumberFormat="1" applyFont="1"/>
    <xf numFmtId="164" fontId="57" fillId="0" borderId="18" xfId="0" applyNumberFormat="1" applyFont="1" applyBorder="1"/>
    <xf numFmtId="164" fontId="57" fillId="0" borderId="13" xfId="0" applyNumberFormat="1" applyFont="1" applyBorder="1"/>
    <xf numFmtId="0" fontId="58" fillId="0" borderId="0" xfId="0" applyFont="1"/>
    <xf numFmtId="164" fontId="57" fillId="0" borderId="15" xfId="0" applyNumberFormat="1" applyFont="1" applyBorder="1"/>
    <xf numFmtId="164" fontId="57" fillId="0" borderId="16" xfId="0" applyNumberFormat="1" applyFont="1" applyBorder="1"/>
    <xf numFmtId="164" fontId="57" fillId="0" borderId="12" xfId="0" applyNumberFormat="1" applyFont="1" applyBorder="1"/>
    <xf numFmtId="164" fontId="57" fillId="0" borderId="40" xfId="0" applyNumberFormat="1" applyFont="1" applyBorder="1"/>
    <xf numFmtId="10" fontId="7" fillId="27" borderId="0" xfId="63" applyNumberFormat="1" applyFill="1"/>
    <xf numFmtId="0" fontId="60" fillId="29" borderId="0" xfId="0" applyFont="1" applyFill="1" applyAlignment="1">
      <alignment horizontal="left"/>
    </xf>
    <xf numFmtId="9" fontId="44" fillId="29" borderId="22" xfId="44" applyFont="1" applyFill="1" applyBorder="1" applyAlignment="1">
      <alignment horizontal="center"/>
    </xf>
    <xf numFmtId="0" fontId="38" fillId="29" borderId="11" xfId="0" applyFont="1" applyFill="1" applyBorder="1" applyAlignment="1">
      <alignment vertical="center"/>
    </xf>
    <xf numFmtId="0" fontId="9" fillId="0" borderId="13" xfId="0" applyFont="1" applyBorder="1"/>
    <xf numFmtId="164" fontId="0" fillId="0" borderId="0" xfId="0" applyNumberFormat="1"/>
    <xf numFmtId="0" fontId="0" fillId="35" borderId="24" xfId="0" applyFill="1" applyBorder="1"/>
    <xf numFmtId="0" fontId="61" fillId="0" borderId="0" xfId="0" applyFont="1"/>
    <xf numFmtId="167" fontId="35" fillId="27" borderId="11" xfId="28" applyNumberFormat="1" applyFont="1" applyFill="1" applyBorder="1"/>
    <xf numFmtId="44" fontId="0" fillId="0" borderId="0" xfId="28" applyFont="1" applyFill="1" applyBorder="1"/>
    <xf numFmtId="167" fontId="7" fillId="27" borderId="11" xfId="28" applyNumberFormat="1" applyFont="1" applyFill="1" applyBorder="1"/>
    <xf numFmtId="0" fontId="61" fillId="0" borderId="0" xfId="0" applyFont="1" applyAlignment="1">
      <alignment horizontal="left"/>
    </xf>
    <xf numFmtId="44" fontId="7" fillId="27" borderId="11" xfId="28" applyFont="1" applyFill="1" applyBorder="1"/>
    <xf numFmtId="0" fontId="37" fillId="32" borderId="22" xfId="0" applyFont="1" applyFill="1" applyBorder="1" applyAlignment="1">
      <alignment horizontal="left" vertical="top"/>
    </xf>
    <xf numFmtId="0" fontId="37" fillId="32" borderId="0" xfId="0" applyFont="1" applyFill="1" applyAlignment="1">
      <alignment horizontal="left"/>
    </xf>
    <xf numFmtId="0" fontId="40" fillId="29" borderId="0" xfId="0" applyFont="1" applyFill="1" applyAlignment="1">
      <alignment horizontal="right" vertical="center"/>
    </xf>
    <xf numFmtId="0" fontId="44" fillId="29" borderId="0" xfId="0" applyFont="1" applyFill="1" applyAlignment="1">
      <alignment horizontal="center"/>
    </xf>
    <xf numFmtId="0" fontId="40" fillId="29" borderId="0" xfId="0" applyFont="1" applyFill="1" applyAlignment="1">
      <alignment horizontal="left"/>
    </xf>
    <xf numFmtId="0" fontId="7" fillId="35" borderId="41" xfId="0" applyFont="1" applyFill="1" applyBorder="1"/>
    <xf numFmtId="0" fontId="9" fillId="29" borderId="0" xfId="0" applyFont="1" applyFill="1" applyAlignment="1">
      <alignment horizontal="center"/>
    </xf>
    <xf numFmtId="9" fontId="7" fillId="27" borderId="0" xfId="0" applyNumberFormat="1" applyFont="1" applyFill="1"/>
    <xf numFmtId="0" fontId="43" fillId="33" borderId="26" xfId="0" applyFont="1" applyFill="1" applyBorder="1" applyAlignment="1">
      <alignment horizontal="left" vertical="center"/>
    </xf>
    <xf numFmtId="44" fontId="1" fillId="0" borderId="0" xfId="60" applyNumberFormat="1"/>
    <xf numFmtId="0" fontId="44" fillId="0" borderId="22" xfId="0" applyFont="1" applyBorder="1"/>
    <xf numFmtId="0" fontId="60" fillId="29" borderId="0" xfId="0" applyFont="1" applyFill="1" applyAlignment="1">
      <alignment horizontal="left" vertical="center"/>
    </xf>
    <xf numFmtId="0" fontId="50" fillId="0" borderId="0" xfId="0" applyFont="1"/>
    <xf numFmtId="6" fontId="9" fillId="0" borderId="12" xfId="0" applyNumberFormat="1" applyFont="1" applyBorder="1"/>
    <xf numFmtId="165" fontId="9" fillId="0" borderId="12" xfId="63" applyNumberFormat="1" applyFont="1" applyBorder="1" applyAlignment="1">
      <alignment horizontal="right"/>
    </xf>
    <xf numFmtId="44" fontId="10" fillId="0" borderId="0" xfId="66" applyFont="1" applyBorder="1"/>
    <xf numFmtId="0" fontId="10" fillId="0" borderId="0" xfId="63" applyFont="1" applyAlignment="1">
      <alignment wrapText="1"/>
    </xf>
    <xf numFmtId="0" fontId="9" fillId="29" borderId="12" xfId="0" applyFont="1" applyFill="1" applyBorder="1" applyAlignment="1">
      <alignment horizontal="center"/>
    </xf>
    <xf numFmtId="0" fontId="33" fillId="29" borderId="11" xfId="0" applyFont="1" applyFill="1" applyBorder="1" applyAlignment="1">
      <alignment horizontal="center" wrapText="1"/>
    </xf>
    <xf numFmtId="166" fontId="0" fillId="0" borderId="0" xfId="0" applyNumberFormat="1"/>
    <xf numFmtId="1" fontId="0" fillId="0" borderId="0" xfId="0" applyNumberFormat="1"/>
    <xf numFmtId="0" fontId="7" fillId="0" borderId="0" xfId="0" applyFont="1" applyAlignment="1">
      <alignment horizontal="center"/>
    </xf>
    <xf numFmtId="0" fontId="7" fillId="0" borderId="13" xfId="0" applyFont="1" applyBorder="1" applyAlignment="1">
      <alignment horizontal="right"/>
    </xf>
    <xf numFmtId="0" fontId="9" fillId="39" borderId="46" xfId="0" applyFont="1" applyFill="1" applyBorder="1" applyAlignment="1">
      <alignment horizontal="center" vertical="center" wrapText="1"/>
    </xf>
    <xf numFmtId="164" fontId="0" fillId="40" borderId="44" xfId="28" applyNumberFormat="1" applyFont="1" applyFill="1" applyBorder="1" applyAlignment="1">
      <alignment horizontal="center"/>
    </xf>
    <xf numFmtId="0" fontId="63" fillId="0" borderId="0" xfId="0" applyFont="1" applyAlignment="1">
      <alignment vertical="top"/>
    </xf>
    <xf numFmtId="0" fontId="57" fillId="0" borderId="18" xfId="0" applyFont="1" applyBorder="1"/>
    <xf numFmtId="0" fontId="57" fillId="0" borderId="15" xfId="0" applyFont="1" applyBorder="1"/>
    <xf numFmtId="165" fontId="57" fillId="0" borderId="15" xfId="0" applyNumberFormat="1" applyFont="1" applyBorder="1"/>
    <xf numFmtId="170" fontId="7" fillId="0" borderId="0" xfId="63" applyNumberFormat="1" applyAlignment="1">
      <alignment horizontal="center"/>
    </xf>
    <xf numFmtId="44" fontId="0" fillId="27" borderId="18" xfId="28" applyFont="1" applyFill="1" applyBorder="1" applyAlignment="1">
      <alignment horizontal="right"/>
    </xf>
    <xf numFmtId="164" fontId="7" fillId="0" borderId="0" xfId="0" applyNumberFormat="1" applyFont="1" applyProtection="1">
      <protection locked="0"/>
    </xf>
    <xf numFmtId="164" fontId="0" fillId="37" borderId="47" xfId="28" applyNumberFormat="1" applyFont="1" applyFill="1" applyBorder="1" applyAlignment="1">
      <alignment horizontal="center" vertical="center"/>
    </xf>
    <xf numFmtId="164" fontId="0" fillId="37" borderId="21" xfId="28" applyNumberFormat="1" applyFont="1" applyFill="1" applyBorder="1" applyAlignment="1">
      <alignment horizontal="center" vertical="center"/>
    </xf>
    <xf numFmtId="164" fontId="0" fillId="37" borderId="22" xfId="28" applyNumberFormat="1" applyFont="1" applyFill="1" applyBorder="1" applyAlignment="1">
      <alignment horizontal="center" vertical="center"/>
    </xf>
    <xf numFmtId="164" fontId="0" fillId="37" borderId="13" xfId="28" applyNumberFormat="1" applyFont="1" applyFill="1" applyBorder="1" applyAlignment="1">
      <alignment horizontal="center" vertical="center"/>
    </xf>
    <xf numFmtId="164" fontId="0" fillId="37" borderId="24" xfId="28" applyNumberFormat="1" applyFont="1" applyFill="1" applyBorder="1" applyAlignment="1">
      <alignment horizontal="center" vertical="center"/>
    </xf>
    <xf numFmtId="0" fontId="10" fillId="29" borderId="18" xfId="0" applyFont="1" applyFill="1" applyBorder="1" applyAlignment="1">
      <alignment horizontal="left"/>
    </xf>
    <xf numFmtId="0" fontId="10" fillId="29" borderId="0" xfId="0" applyFont="1" applyFill="1" applyAlignment="1">
      <alignment horizontal="left"/>
    </xf>
    <xf numFmtId="167" fontId="9" fillId="38" borderId="39" xfId="28" applyNumberFormat="1" applyFont="1" applyFill="1" applyBorder="1" applyAlignment="1">
      <alignment horizontal="center" vertical="center" wrapText="1"/>
    </xf>
    <xf numFmtId="167" fontId="9" fillId="38" borderId="45" xfId="28" applyNumberFormat="1" applyFont="1" applyFill="1" applyBorder="1" applyAlignment="1">
      <alignment horizontal="center" vertical="center" wrapText="1"/>
    </xf>
    <xf numFmtId="9" fontId="37" fillId="29" borderId="0" xfId="44" applyFont="1" applyFill="1" applyBorder="1" applyAlignment="1">
      <alignment horizontal="left" wrapText="1"/>
    </xf>
    <xf numFmtId="9" fontId="37" fillId="29" borderId="23" xfId="44" applyFont="1" applyFill="1" applyBorder="1" applyAlignment="1">
      <alignment horizontal="left" wrapText="1"/>
    </xf>
    <xf numFmtId="0" fontId="59" fillId="29" borderId="0" xfId="0" applyFont="1" applyFill="1" applyAlignment="1">
      <alignment horizontal="left" vertical="top" wrapText="1"/>
    </xf>
    <xf numFmtId="0" fontId="59" fillId="29" borderId="23" xfId="0" applyFont="1" applyFill="1" applyBorder="1" applyAlignment="1">
      <alignment horizontal="left" vertical="top" wrapText="1"/>
    </xf>
    <xf numFmtId="0" fontId="40" fillId="0" borderId="18" xfId="0" applyFont="1" applyBorder="1" applyAlignment="1">
      <alignment horizontal="right" vertical="center"/>
    </xf>
    <xf numFmtId="0" fontId="40" fillId="0" borderId="13" xfId="0" applyFont="1" applyBorder="1" applyAlignment="1">
      <alignment horizontal="right"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7" fillId="0" borderId="0" xfId="0" applyFont="1" applyAlignment="1">
      <alignment horizontal="left" vertical="center" wrapText="1"/>
    </xf>
    <xf numFmtId="0" fontId="7" fillId="0" borderId="18" xfId="0" applyFont="1" applyBorder="1" applyAlignment="1">
      <alignment horizontal="center"/>
    </xf>
    <xf numFmtId="0" fontId="7" fillId="0" borderId="0" xfId="0" applyFont="1" applyAlignment="1">
      <alignment horizontal="center"/>
    </xf>
    <xf numFmtId="0" fontId="56" fillId="0" borderId="20" xfId="0" applyFont="1" applyBorder="1" applyAlignment="1">
      <alignment horizontal="center"/>
    </xf>
    <xf numFmtId="0" fontId="56" fillId="0" borderId="21" xfId="0" applyFont="1" applyBorder="1" applyAlignment="1">
      <alignment horizontal="center"/>
    </xf>
    <xf numFmtId="0" fontId="7" fillId="0" borderId="20" xfId="0" applyFont="1" applyBorder="1" applyAlignment="1">
      <alignment horizontal="center"/>
    </xf>
    <xf numFmtId="0" fontId="7" fillId="0" borderId="36" xfId="0" applyFont="1" applyBorder="1" applyAlignment="1">
      <alignment horizontal="center"/>
    </xf>
    <xf numFmtId="0" fontId="7" fillId="0" borderId="21" xfId="0" applyFont="1" applyBorder="1" applyAlignment="1">
      <alignment horizontal="center"/>
    </xf>
    <xf numFmtId="0" fontId="7" fillId="0" borderId="0" xfId="67" applyAlignment="1">
      <alignment wrapText="1"/>
    </xf>
    <xf numFmtId="9" fontId="44" fillId="31" borderId="11" xfId="44" applyFont="1" applyFill="1" applyBorder="1" applyAlignment="1" applyProtection="1">
      <alignment horizontal="center"/>
      <protection locked="0"/>
    </xf>
    <xf numFmtId="9" fontId="45" fillId="31" borderId="11" xfId="44" applyFont="1" applyFill="1" applyBorder="1" applyAlignment="1" applyProtection="1">
      <alignment horizontal="center"/>
      <protection locked="0"/>
    </xf>
    <xf numFmtId="9" fontId="37" fillId="27" borderId="11" xfId="0" applyNumberFormat="1" applyFont="1" applyFill="1" applyBorder="1" applyAlignment="1" applyProtection="1">
      <alignment horizontal="center" vertical="center"/>
      <protection locked="0"/>
    </xf>
    <xf numFmtId="0" fontId="44" fillId="31" borderId="14" xfId="0" applyFont="1" applyFill="1" applyBorder="1" applyAlignment="1" applyProtection="1">
      <alignment horizontal="center"/>
      <protection locked="0"/>
    </xf>
    <xf numFmtId="0" fontId="44" fillId="31" borderId="11" xfId="0" applyFont="1" applyFill="1" applyBorder="1" applyAlignment="1" applyProtection="1">
      <alignment horizontal="center"/>
      <protection locked="0"/>
    </xf>
    <xf numFmtId="44" fontId="37" fillId="27" borderId="48" xfId="28" applyFont="1" applyFill="1" applyBorder="1" applyProtection="1">
      <protection locked="0"/>
    </xf>
    <xf numFmtId="44" fontId="0" fillId="27" borderId="48" xfId="28" applyFont="1" applyFill="1" applyBorder="1" applyProtection="1">
      <protection locked="0"/>
    </xf>
    <xf numFmtId="44" fontId="0" fillId="27" borderId="51" xfId="28" applyFont="1" applyFill="1" applyBorder="1" applyProtection="1">
      <protection locked="0"/>
    </xf>
    <xf numFmtId="0" fontId="37" fillId="27" borderId="11" xfId="0" applyFont="1" applyFill="1" applyBorder="1" applyAlignment="1" applyProtection="1">
      <alignment horizontal="center"/>
      <protection locked="0"/>
    </xf>
    <xf numFmtId="0" fontId="0" fillId="27" borderId="11" xfId="0" applyFill="1" applyBorder="1" applyAlignment="1" applyProtection="1">
      <alignment horizontal="center" vertical="center"/>
      <protection locked="0"/>
    </xf>
    <xf numFmtId="9" fontId="0" fillId="27" borderId="11" xfId="0" applyNumberFormat="1" applyFill="1" applyBorder="1" applyAlignment="1" applyProtection="1">
      <alignment horizontal="right"/>
      <protection locked="0"/>
    </xf>
    <xf numFmtId="0" fontId="7" fillId="27" borderId="11" xfId="0" applyFont="1" applyFill="1" applyBorder="1" applyProtection="1">
      <protection locked="0"/>
    </xf>
    <xf numFmtId="0" fontId="7" fillId="27" borderId="11" xfId="0" applyFont="1" applyFill="1" applyBorder="1" applyAlignment="1" applyProtection="1">
      <alignment horizontal="right"/>
      <protection locked="0"/>
    </xf>
    <xf numFmtId="0" fontId="7" fillId="27" borderId="52" xfId="0" applyFont="1" applyFill="1" applyBorder="1" applyAlignment="1" applyProtection="1">
      <alignment horizontal="center"/>
      <protection locked="0"/>
    </xf>
    <xf numFmtId="0" fontId="0" fillId="27" borderId="52" xfId="0" applyFill="1" applyBorder="1" applyAlignment="1" applyProtection="1">
      <alignment horizontal="center"/>
      <protection locked="0"/>
    </xf>
    <xf numFmtId="0" fontId="9" fillId="27" borderId="11" xfId="0" applyFont="1" applyFill="1" applyBorder="1" applyAlignment="1" applyProtection="1">
      <alignment vertical="center"/>
      <protection locked="0"/>
    </xf>
    <xf numFmtId="0" fontId="44" fillId="31" borderId="14" xfId="0" applyFont="1" applyFill="1" applyBorder="1" applyProtection="1">
      <protection locked="0"/>
    </xf>
    <xf numFmtId="0" fontId="44" fillId="31" borderId="11" xfId="0" applyFont="1" applyFill="1" applyBorder="1" applyProtection="1">
      <protection locked="0"/>
    </xf>
    <xf numFmtId="0" fontId="44" fillId="31" borderId="41" xfId="0" applyFont="1" applyFill="1" applyBorder="1" applyProtection="1">
      <protection locked="0"/>
    </xf>
  </cellXfs>
  <cellStyles count="6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57" xr:uid="{00000000-0005-0000-0000-00001B000000}"/>
    <cellStyle name="Comma 3" xfId="61" xr:uid="{00000000-0005-0000-0000-00001C000000}"/>
    <cellStyle name="Currency" xfId="28" builtinId="4"/>
    <cellStyle name="Currency 2" xfId="52" xr:uid="{00000000-0005-0000-0000-00001E000000}"/>
    <cellStyle name="Currency 2 2" xfId="56" xr:uid="{00000000-0005-0000-0000-00001F000000}"/>
    <cellStyle name="Currency 2 3" xfId="64" xr:uid="{54B92CF2-DC33-F549-A2EC-046BD2B2D406}"/>
    <cellStyle name="Currency 3" xfId="54" xr:uid="{00000000-0005-0000-0000-000020000000}"/>
    <cellStyle name="Currency 4" xfId="59" xr:uid="{00000000-0005-0000-0000-000021000000}"/>
    <cellStyle name="Currency 5" xfId="66" xr:uid="{77741308-79E3-DF4D-B987-554A22D72CB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rmal 2" xfId="45" xr:uid="{00000000-0005-0000-0000-00002D000000}"/>
    <cellStyle name="Normal 2 2" xfId="55" xr:uid="{00000000-0005-0000-0000-00002E000000}"/>
    <cellStyle name="Normal 2 3" xfId="63" xr:uid="{073E5740-0F4E-1143-952E-49B4E3561A97}"/>
    <cellStyle name="Normal 3" xfId="47" xr:uid="{00000000-0005-0000-0000-00002F000000}"/>
    <cellStyle name="Normal 3 2" xfId="67" xr:uid="{584964AF-28CB-324B-A1AA-4736EAAD57EC}"/>
    <cellStyle name="Normal 4" xfId="49" xr:uid="{00000000-0005-0000-0000-000030000000}"/>
    <cellStyle name="Normal 5" xfId="51" xr:uid="{00000000-0005-0000-0000-000031000000}"/>
    <cellStyle name="Normal 6" xfId="53" xr:uid="{00000000-0005-0000-0000-000032000000}"/>
    <cellStyle name="Normal 7" xfId="58" xr:uid="{00000000-0005-0000-0000-000033000000}"/>
    <cellStyle name="Normal 8" xfId="60" xr:uid="{00000000-0005-0000-0000-000034000000}"/>
    <cellStyle name="Normal 9" xfId="62" xr:uid="{134BEEEC-DE54-2148-8802-28946ED0A017}"/>
    <cellStyle name="Note" xfId="39" builtinId="10" customBuiltin="1"/>
    <cellStyle name="Output" xfId="40" builtinId="21" customBuiltin="1"/>
    <cellStyle name="Percent" xfId="44" builtinId="5"/>
    <cellStyle name="Percent 2" xfId="46" xr:uid="{00000000-0005-0000-0000-000039000000}"/>
    <cellStyle name="Percent 2 2" xfId="65" xr:uid="{08534AB9-3840-3F45-877E-12B738DBD5D2}"/>
    <cellStyle name="Percent 3" xfId="48" xr:uid="{00000000-0005-0000-0000-00003A000000}"/>
    <cellStyle name="Percent 4" xfId="50" xr:uid="{00000000-0005-0000-0000-00003B000000}"/>
    <cellStyle name="Title" xfId="41" builtinId="15" customBuiltin="1"/>
    <cellStyle name="Total" xfId="42" builtinId="25" customBuiltin="1"/>
    <cellStyle name="Warning Text" xfId="43"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CC"/>
      <color rgb="FF5F7530"/>
      <color rgb="FFFDE9D9"/>
      <color rgb="FFFF66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enterforamericanprogress-my.sharepoint.com/personal/sworkman_americanprogress_org/Documents/Oregon%20COVID%20cost%20mode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enterforamericanprogress-my.sharepoint.com/C:/Users/Owner/Desktop/SF_Center_RE_Model_2016%20sampl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enterforamericanprogress-my.sharepoint.com/Users/sworkman/OneDrive%20-%20Center%20For%20American%20Progress/Copy%20of%20SF_RE_Model_Centerbased_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9cb6bf57e6c3811/Washington%20Fiscal/final%20docs/WA%20CB%20RE%20Model_ICF%20July%20202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enterforamericanprogress-my.sharepoint.com/Users/sworkman/OneDrive%20-%20Center%20For%20American%20Progress/North%20Carolina%20PCI/NC-Center%20based%20mod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INPUT-CTR"/>
      <sheetName val="Quality Center Profile"/>
      <sheetName val="VariablesINPUT-FCC"/>
      <sheetName val="QualityHomeProfile"/>
      <sheetName val="System costs"/>
      <sheetName val="Ratios"/>
      <sheetName val="Wages"/>
      <sheetName val="Nonpersonnel PCQC"/>
    </sheetNames>
    <sheetDataSet>
      <sheetData sheetId="0"/>
      <sheetData sheetId="1">
        <row r="9">
          <cell r="F9">
            <v>2</v>
          </cell>
        </row>
        <row r="39">
          <cell r="C39">
            <v>5380</v>
          </cell>
        </row>
        <row r="40">
          <cell r="D40">
            <v>718686.46710000001</v>
          </cell>
        </row>
      </sheetData>
      <sheetData sheetId="2">
        <row r="2">
          <cell r="F2" t="str">
            <v>Metro</v>
          </cell>
        </row>
        <row r="16">
          <cell r="D16" t="str">
            <v>BLS</v>
          </cell>
        </row>
        <row r="20">
          <cell r="D20" t="str">
            <v>Yes</v>
          </cell>
        </row>
        <row r="21">
          <cell r="D21">
            <v>10</v>
          </cell>
        </row>
        <row r="22">
          <cell r="D22">
            <v>10</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INPUT-CTR"/>
      <sheetName val="Quality Center Profile"/>
      <sheetName val="Child Finance Charts"/>
      <sheetName val="Wages BLS"/>
      <sheetName val="Nonpersonnel Aggregated"/>
      <sheetName val="Nonpersonnel from interviews"/>
      <sheetName val="Tuition Rates&amp;SMI"/>
      <sheetName val="FCS"/>
      <sheetName val="State Vouchers"/>
      <sheetName val="State Contracts"/>
      <sheetName val="Fed CACFP"/>
      <sheetName val="Fed EHS HS"/>
      <sheetName val="FamilyIncome&amp;HomePrices"/>
      <sheetName val="ECERS Cost by Level"/>
    </sheetNames>
    <sheetDataSet>
      <sheetData sheetId="0">
        <row r="6">
          <cell r="D6" t="str">
            <v>infants (0-24 mos.)</v>
          </cell>
        </row>
        <row r="26">
          <cell r="C26">
            <v>2</v>
          </cell>
          <cell r="D26">
            <v>7</v>
          </cell>
          <cell r="F26">
            <v>0</v>
          </cell>
        </row>
        <row r="27">
          <cell r="C27">
            <v>2</v>
          </cell>
          <cell r="D27">
            <v>6</v>
          </cell>
          <cell r="F27">
            <v>1</v>
          </cell>
        </row>
        <row r="28">
          <cell r="C28">
            <v>7</v>
          </cell>
          <cell r="D28">
            <v>11</v>
          </cell>
          <cell r="F28">
            <v>5</v>
          </cell>
        </row>
        <row r="29">
          <cell r="C29">
            <v>5</v>
          </cell>
          <cell r="D29">
            <v>8</v>
          </cell>
          <cell r="F29">
            <v>11</v>
          </cell>
        </row>
      </sheetData>
      <sheetData sheetId="1"/>
      <sheetData sheetId="2"/>
      <sheetData sheetId="3">
        <row r="19">
          <cell r="C19">
            <v>13</v>
          </cell>
        </row>
      </sheetData>
      <sheetData sheetId="4">
        <row r="21">
          <cell r="B21">
            <v>1535.0875411152008</v>
          </cell>
        </row>
        <row r="23">
          <cell r="B23">
            <v>2535.2442193985435</v>
          </cell>
        </row>
      </sheetData>
      <sheetData sheetId="5"/>
      <sheetData sheetId="6">
        <row r="4">
          <cell r="C4">
            <v>1900</v>
          </cell>
        </row>
      </sheetData>
      <sheetData sheetId="7"/>
      <sheetData sheetId="8">
        <row r="4">
          <cell r="B4">
            <v>1662.14</v>
          </cell>
        </row>
      </sheetData>
      <sheetData sheetId="9">
        <row r="7">
          <cell r="C7">
            <v>1444.6458333333333</v>
          </cell>
        </row>
      </sheetData>
      <sheetData sheetId="10">
        <row r="6">
          <cell r="J6">
            <v>3.5999999999999996</v>
          </cell>
        </row>
      </sheetData>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lity Center Profile"/>
      <sheetName val="VariablesINPUT-CTR"/>
      <sheetName val="Child Finance Charts"/>
      <sheetName val="Wages BLS"/>
      <sheetName val="Nonpersonnel Aggregated"/>
      <sheetName val="Nonpersonnel from interviews"/>
      <sheetName val="Tuition Rates&amp;SMI"/>
      <sheetName val="C- Wages"/>
      <sheetName val="PFA"/>
      <sheetName val="City Child Care"/>
      <sheetName val="ACCESS"/>
      <sheetName val="FCS"/>
      <sheetName val="State Vouchers"/>
      <sheetName val="State Contracts"/>
      <sheetName val="Fed CACFP"/>
      <sheetName val="Fed EHS HS"/>
      <sheetName val="Revenue-NOT USED"/>
      <sheetName val="FamilyIncome&amp;HomePrices"/>
      <sheetName val="ECERS Cost by Level"/>
      <sheetName val="Apdx C - Center Baseline"/>
    </sheetNames>
    <sheetDataSet>
      <sheetData sheetId="0" refreshError="1"/>
      <sheetData sheetId="1" refreshError="1">
        <row r="26">
          <cell r="C26">
            <v>2</v>
          </cell>
          <cell r="E26">
            <v>0</v>
          </cell>
        </row>
        <row r="27">
          <cell r="E27">
            <v>3</v>
          </cell>
        </row>
        <row r="28">
          <cell r="E28">
            <v>1</v>
          </cell>
        </row>
      </sheetData>
      <sheetData sheetId="2">
        <row r="3">
          <cell r="C3" t="str">
            <v>infant</v>
          </cell>
        </row>
      </sheetData>
      <sheetData sheetId="3" refreshError="1"/>
      <sheetData sheetId="4">
        <row r="21">
          <cell r="B21">
            <v>1535.0875411152008</v>
          </cell>
        </row>
      </sheetData>
      <sheetData sheetId="5" refreshError="1"/>
      <sheetData sheetId="6"/>
      <sheetData sheetId="7"/>
      <sheetData sheetId="8"/>
      <sheetData sheetId="9"/>
      <sheetData sheetId="10" refreshError="1"/>
      <sheetData sheetId="11" refreshError="1"/>
      <sheetData sheetId="12"/>
      <sheetData sheetId="13"/>
      <sheetData sheetId="14"/>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INPUT-CTR"/>
      <sheetName val="ob"/>
      <sheetName val="Center Output"/>
      <sheetName val="co bas"/>
      <sheetName val="co qua"/>
      <sheetName val="co asp"/>
      <sheetName val="Baseline"/>
      <sheetName val="Quality"/>
      <sheetName val="Aspirational"/>
      <sheetName val="Analysis no SA"/>
      <sheetName val="Analysis with SA"/>
      <sheetName val="Wages Input"/>
      <sheetName val="Wages Data"/>
      <sheetName val="Wages BLS"/>
      <sheetName val="Aggregated Data"/>
      <sheetName val="State Subsidy"/>
      <sheetName val="Tuition"/>
      <sheetName val="ECEAP"/>
      <sheetName val="Fed CACF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9">
          <cell r="B29">
            <v>28146.352499999997</v>
          </cell>
        </row>
      </sheetData>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INPUT-CTR"/>
      <sheetName val="Quality Center Profile"/>
      <sheetName val="Ratios"/>
      <sheetName val="Wages"/>
      <sheetName val="Wages BLS"/>
      <sheetName val="Nonpersonnel Aggregated"/>
      <sheetName val="Nonpersonnel disaggregated"/>
      <sheetName val="Tuition Rates"/>
      <sheetName val="Subsidy rates"/>
      <sheetName val="PreK"/>
      <sheetName val="Fed CACFP"/>
      <sheetName val="County Subsidy rates"/>
    </sheetNames>
    <sheetDataSet>
      <sheetData sheetId="0" refreshError="1"/>
      <sheetData sheetId="1" refreshError="1">
        <row r="7">
          <cell r="A7">
            <v>10</v>
          </cell>
        </row>
        <row r="9">
          <cell r="A9">
            <v>18</v>
          </cell>
          <cell r="F9">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federalregister.gov/documents/2020/07/22/2020-15765/child-and-adult-care-food-program-national-average-payment-rates-day-care-home-food-service-paymen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www.oregon.gov/DHS/ASSISTANCE/CHILD-CARE/Pages/rates.asp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health.oregonstate.edu/sites/health.oregonstate.edu/files/early-learners/pdf/research/2020_oregon_child_care_market_price_study_-_main_repor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sheetPr>
  <dimension ref="A1:Q65"/>
  <sheetViews>
    <sheetView tabSelected="1" zoomScale="119" zoomScaleNormal="130" workbookViewId="0">
      <selection activeCell="G20" sqref="G20"/>
    </sheetView>
  </sheetViews>
  <sheetFormatPr baseColWidth="10" defaultColWidth="8.83203125" defaultRowHeight="13" x14ac:dyDescent="0.15"/>
  <cols>
    <col min="1" max="1" width="3.1640625" customWidth="1"/>
    <col min="2" max="2" width="23.33203125" customWidth="1"/>
    <col min="3" max="3" width="16.5" customWidth="1"/>
    <col min="4" max="4" width="15.1640625" customWidth="1"/>
    <col min="5" max="5" width="16" customWidth="1"/>
    <col min="6" max="6" width="14" customWidth="1"/>
    <col min="7" max="7" width="16" customWidth="1"/>
    <col min="8" max="8" width="12.33203125" customWidth="1"/>
    <col min="9" max="9" width="15" customWidth="1"/>
    <col min="10" max="10" width="18" customWidth="1"/>
    <col min="11" max="11" width="21" customWidth="1"/>
    <col min="12" max="12" width="11" customWidth="1"/>
    <col min="13" max="13" width="11.1640625" customWidth="1"/>
  </cols>
  <sheetData>
    <row r="1" spans="1:13" ht="18" x14ac:dyDescent="0.2">
      <c r="A1" s="104"/>
      <c r="B1" s="105" t="s">
        <v>242</v>
      </c>
      <c r="C1" s="106"/>
      <c r="D1" s="106"/>
      <c r="E1" s="106"/>
      <c r="F1" s="107"/>
      <c r="G1" s="202"/>
      <c r="H1" s="108" t="s">
        <v>75</v>
      </c>
      <c r="I1" s="108" t="s">
        <v>76</v>
      </c>
      <c r="J1" s="108"/>
      <c r="K1" s="86"/>
      <c r="M1" s="46"/>
    </row>
    <row r="2" spans="1:13" ht="15" customHeight="1" x14ac:dyDescent="0.15">
      <c r="A2" s="109"/>
      <c r="B2" s="110"/>
      <c r="C2" s="93"/>
      <c r="D2" s="93"/>
      <c r="E2" s="93"/>
      <c r="F2" s="111"/>
      <c r="G2" s="203"/>
      <c r="H2" s="112" t="s">
        <v>75</v>
      </c>
      <c r="I2" s="112" t="s">
        <v>77</v>
      </c>
      <c r="K2" s="113"/>
      <c r="L2" s="86"/>
      <c r="M2" s="46"/>
    </row>
    <row r="3" spans="1:13" ht="8" customHeight="1" x14ac:dyDescent="0.15">
      <c r="A3" s="109"/>
      <c r="B3" s="110"/>
      <c r="C3" s="93"/>
      <c r="D3" s="93"/>
      <c r="E3" s="93"/>
      <c r="F3" s="111"/>
      <c r="G3" s="203"/>
      <c r="H3" s="112" t="s">
        <v>75</v>
      </c>
      <c r="I3" s="112" t="s">
        <v>76</v>
      </c>
      <c r="K3" s="113" t="s">
        <v>81</v>
      </c>
      <c r="L3" s="86" t="s">
        <v>82</v>
      </c>
      <c r="M3" s="46"/>
    </row>
    <row r="4" spans="1:13" ht="14" x14ac:dyDescent="0.15">
      <c r="A4" s="135"/>
      <c r="B4" s="114" t="s">
        <v>236</v>
      </c>
      <c r="C4" s="94"/>
      <c r="D4" s="94"/>
      <c r="E4" s="94"/>
      <c r="F4" s="94"/>
      <c r="G4" s="94"/>
      <c r="H4" s="112"/>
      <c r="I4" s="112"/>
      <c r="J4" s="112"/>
      <c r="K4" s="113"/>
      <c r="L4" s="86"/>
      <c r="M4" s="86"/>
    </row>
    <row r="5" spans="1:13" ht="14" x14ac:dyDescent="0.15">
      <c r="A5" s="147"/>
      <c r="B5" s="114" t="s">
        <v>107</v>
      </c>
      <c r="C5" s="94"/>
      <c r="D5" s="94"/>
      <c r="E5" s="94"/>
      <c r="F5" s="94"/>
      <c r="G5" s="94"/>
      <c r="H5" s="112"/>
      <c r="I5" s="112"/>
      <c r="J5" s="112"/>
      <c r="K5" s="113"/>
      <c r="L5" s="86"/>
      <c r="M5" s="86"/>
    </row>
    <row r="6" spans="1:13" ht="14" x14ac:dyDescent="0.15">
      <c r="A6" s="353"/>
      <c r="B6" s="114"/>
      <c r="C6" s="94"/>
      <c r="D6" s="94"/>
      <c r="E6" s="94"/>
      <c r="F6" s="94"/>
      <c r="G6" s="94"/>
      <c r="H6" s="112"/>
      <c r="I6" s="112"/>
      <c r="J6" s="112"/>
      <c r="K6" s="113"/>
      <c r="L6" s="86"/>
      <c r="M6" s="86"/>
    </row>
    <row r="7" spans="1:13" ht="18" customHeight="1" x14ac:dyDescent="0.15">
      <c r="A7" s="353"/>
      <c r="B7" s="354" t="s">
        <v>241</v>
      </c>
      <c r="C7" s="437" t="s">
        <v>189</v>
      </c>
      <c r="D7" s="94"/>
      <c r="E7" s="112" t="s">
        <v>189</v>
      </c>
      <c r="F7" s="112" t="s">
        <v>184</v>
      </c>
      <c r="G7" s="112" t="s">
        <v>238</v>
      </c>
      <c r="H7" s="112"/>
      <c r="I7" s="112"/>
      <c r="J7" s="112"/>
      <c r="K7" s="113"/>
      <c r="L7" s="86"/>
      <c r="M7" s="86"/>
    </row>
    <row r="8" spans="1:13" ht="15" customHeight="1" x14ac:dyDescent="0.15">
      <c r="A8" s="109"/>
      <c r="B8" s="110"/>
      <c r="C8" s="93"/>
      <c r="D8" s="93"/>
      <c r="E8" s="93"/>
      <c r="F8" s="111"/>
      <c r="G8" s="93"/>
      <c r="H8" s="112" t="s">
        <v>75</v>
      </c>
      <c r="I8" s="112" t="s">
        <v>80</v>
      </c>
      <c r="J8" s="112" t="s">
        <v>77</v>
      </c>
      <c r="K8" s="113" t="s">
        <v>82</v>
      </c>
      <c r="L8" s="86"/>
      <c r="M8" s="86"/>
    </row>
    <row r="9" spans="1:13" x14ac:dyDescent="0.15">
      <c r="A9" s="109"/>
      <c r="B9" s="156" t="s">
        <v>204</v>
      </c>
      <c r="C9" s="93"/>
      <c r="D9" s="93"/>
      <c r="E9" s="93"/>
      <c r="F9" s="93"/>
      <c r="G9" s="93"/>
      <c r="H9" s="112"/>
      <c r="I9" s="115"/>
      <c r="J9" s="112"/>
      <c r="K9" s="116"/>
      <c r="L9" s="87"/>
      <c r="M9" s="88"/>
    </row>
    <row r="10" spans="1:13" x14ac:dyDescent="0.15">
      <c r="A10" s="109"/>
      <c r="B10" s="97" t="s">
        <v>203</v>
      </c>
      <c r="C10" s="98" t="s">
        <v>83</v>
      </c>
      <c r="D10" s="98" t="s">
        <v>94</v>
      </c>
      <c r="E10" s="112"/>
      <c r="F10" s="407" t="s">
        <v>259</v>
      </c>
      <c r="G10" s="407"/>
      <c r="H10" s="407"/>
      <c r="I10" s="407"/>
      <c r="J10" s="407"/>
      <c r="K10" s="408"/>
      <c r="L10" s="87"/>
      <c r="M10" s="86"/>
    </row>
    <row r="11" spans="1:13" ht="16" customHeight="1" x14ac:dyDescent="0.15">
      <c r="A11" s="109"/>
      <c r="B11" s="96">
        <v>2</v>
      </c>
      <c r="C11" s="117" t="s">
        <v>35</v>
      </c>
      <c r="D11" s="438" t="s">
        <v>75</v>
      </c>
      <c r="E11" s="112"/>
      <c r="F11" s="407"/>
      <c r="G11" s="407"/>
      <c r="H11" s="407"/>
      <c r="I11" s="407"/>
      <c r="J11" s="407"/>
      <c r="K11" s="408"/>
      <c r="L11" s="90"/>
      <c r="M11" s="90"/>
    </row>
    <row r="12" spans="1:13" ht="17" customHeight="1" x14ac:dyDescent="0.15">
      <c r="A12" s="109"/>
      <c r="B12" s="51">
        <v>2</v>
      </c>
      <c r="C12" s="117" t="s">
        <v>36</v>
      </c>
      <c r="D12" s="439" t="s">
        <v>75</v>
      </c>
      <c r="E12" s="112"/>
      <c r="F12" s="407"/>
      <c r="G12" s="407"/>
      <c r="H12" s="407"/>
      <c r="I12" s="407"/>
      <c r="J12" s="407"/>
      <c r="K12" s="408"/>
      <c r="L12" s="90"/>
      <c r="M12" s="90"/>
    </row>
    <row r="13" spans="1:13" ht="15" customHeight="1" x14ac:dyDescent="0.15">
      <c r="A13" s="109"/>
      <c r="B13" s="91">
        <v>2</v>
      </c>
      <c r="C13" s="117" t="s">
        <v>37</v>
      </c>
      <c r="D13" s="439" t="s">
        <v>75</v>
      </c>
      <c r="E13" s="93"/>
      <c r="F13" s="407" t="s">
        <v>260</v>
      </c>
      <c r="G13" s="407"/>
      <c r="H13" s="407"/>
      <c r="I13" s="407"/>
      <c r="J13" s="407"/>
      <c r="K13" s="408"/>
      <c r="L13" s="20"/>
      <c r="M13" s="13"/>
    </row>
    <row r="14" spans="1:13" ht="15" customHeight="1" x14ac:dyDescent="0.15">
      <c r="A14" s="109"/>
      <c r="B14" s="92">
        <v>2</v>
      </c>
      <c r="C14" s="117" t="s">
        <v>79</v>
      </c>
      <c r="D14" s="440" t="s">
        <v>75</v>
      </c>
      <c r="E14" s="110"/>
      <c r="F14" s="407"/>
      <c r="G14" s="407"/>
      <c r="H14" s="407"/>
      <c r="I14" s="407"/>
      <c r="J14" s="407"/>
      <c r="K14" s="408"/>
      <c r="L14" s="20"/>
      <c r="M14" s="13"/>
    </row>
    <row r="15" spans="1:13" ht="24" customHeight="1" x14ac:dyDescent="0.15">
      <c r="A15" s="109"/>
      <c r="B15" s="69">
        <f>SUM(B11:B14)</f>
        <v>8</v>
      </c>
      <c r="C15" s="67" t="s">
        <v>205</v>
      </c>
      <c r="D15" s="25"/>
      <c r="E15" s="93"/>
      <c r="F15" s="407" t="s">
        <v>261</v>
      </c>
      <c r="G15" s="407"/>
      <c r="H15" s="407"/>
      <c r="I15" s="407"/>
      <c r="J15" s="407"/>
      <c r="K15" s="408"/>
    </row>
    <row r="16" spans="1:13" ht="15" customHeight="1" x14ac:dyDescent="0.15">
      <c r="A16" s="109"/>
      <c r="B16" s="352" t="str">
        <f>IF(AND(C7="Registered FCC",B15&gt;10),"Exceeds Licensing Regulations - Max of 10",
IF(AND(C7="Certified FCC",B15&gt;12),"Exceeds Licensing Regulations - Max of 12",
IF(AND(C7="License-exempt",B15&gt;3),"Exceeds Regulations - Max of 3"," ")))</f>
        <v xml:space="preserve"> </v>
      </c>
      <c r="C16" s="119"/>
      <c r="D16" s="93"/>
      <c r="E16" s="110"/>
      <c r="F16" s="407"/>
      <c r="G16" s="407"/>
      <c r="H16" s="407"/>
      <c r="I16" s="407"/>
      <c r="J16" s="407"/>
      <c r="K16" s="408"/>
    </row>
    <row r="17" spans="1:11" ht="12.75" customHeight="1" x14ac:dyDescent="0.15">
      <c r="A17" s="374">
        <f>SUM(B11:B13)</f>
        <v>6</v>
      </c>
      <c r="B17" s="375" t="str">
        <f>IF(AND(C7="Registered FCC",A17&gt;6),"Exceeds Licensing Regulations - only 6 preschool or younger allowed", " ")</f>
        <v xml:space="preserve"> </v>
      </c>
      <c r="D17" s="94"/>
      <c r="E17" s="110"/>
      <c r="F17" s="93"/>
      <c r="G17" s="110"/>
      <c r="H17" s="93"/>
      <c r="I17" s="93"/>
      <c r="J17" s="111"/>
      <c r="K17" s="118"/>
    </row>
    <row r="18" spans="1:11" x14ac:dyDescent="0.15">
      <c r="A18" s="109"/>
      <c r="B18" s="93"/>
      <c r="C18" s="93"/>
      <c r="D18" s="93"/>
      <c r="E18" s="93"/>
      <c r="F18" s="93"/>
      <c r="G18" s="93"/>
      <c r="H18" s="93"/>
      <c r="I18" s="93"/>
      <c r="J18" s="93"/>
      <c r="K18" s="118"/>
    </row>
    <row r="19" spans="1:11" ht="14" thickBot="1" x14ac:dyDescent="0.2">
      <c r="A19" s="109"/>
      <c r="B19" s="155" t="s">
        <v>137</v>
      </c>
      <c r="C19" s="121"/>
      <c r="D19" s="93"/>
      <c r="E19" s="95"/>
      <c r="F19" s="120"/>
      <c r="G19" s="93"/>
      <c r="H19" s="93"/>
      <c r="I19" s="93"/>
      <c r="J19" s="93"/>
      <c r="K19" s="118"/>
    </row>
    <row r="20" spans="1:11" ht="28" x14ac:dyDescent="0.15">
      <c r="A20" s="109"/>
      <c r="B20" s="157" t="s">
        <v>138</v>
      </c>
      <c r="C20" s="381" t="s">
        <v>206</v>
      </c>
      <c r="D20" s="382" t="s">
        <v>264</v>
      </c>
      <c r="E20" s="370"/>
      <c r="F20" s="204" t="s">
        <v>254</v>
      </c>
      <c r="G20" s="222"/>
      <c r="H20" s="205"/>
      <c r="I20" s="93"/>
      <c r="J20" s="93"/>
      <c r="K20" s="118"/>
    </row>
    <row r="21" spans="1:11" x14ac:dyDescent="0.15">
      <c r="A21" s="109"/>
      <c r="B21" s="319" t="s">
        <v>84</v>
      </c>
      <c r="C21" s="422"/>
      <c r="D21" s="422"/>
      <c r="E21" s="258"/>
      <c r="F21" s="206" t="s">
        <v>76</v>
      </c>
      <c r="G21" s="223" t="s">
        <v>252</v>
      </c>
      <c r="H21" s="221"/>
      <c r="I21" s="93"/>
      <c r="J21" s="93"/>
      <c r="K21" s="118"/>
    </row>
    <row r="22" spans="1:11" x14ac:dyDescent="0.15">
      <c r="A22" s="109"/>
      <c r="B22" s="320" t="s">
        <v>118</v>
      </c>
      <c r="C22" s="423"/>
      <c r="D22" s="422">
        <v>0.5</v>
      </c>
      <c r="E22" s="258"/>
      <c r="F22" s="364" t="s">
        <v>77</v>
      </c>
      <c r="G22" s="365" t="s">
        <v>253</v>
      </c>
      <c r="H22" s="221"/>
      <c r="I22" s="93"/>
      <c r="J22" s="93"/>
      <c r="K22" s="118"/>
    </row>
    <row r="23" spans="1:11" x14ac:dyDescent="0.15">
      <c r="A23" s="109"/>
      <c r="B23" s="320" t="s">
        <v>119</v>
      </c>
      <c r="C23" s="422">
        <v>1</v>
      </c>
      <c r="D23" s="422">
        <v>0.5</v>
      </c>
      <c r="E23" s="258"/>
      <c r="F23" s="364" t="s">
        <v>262</v>
      </c>
      <c r="G23" s="365" t="s">
        <v>263</v>
      </c>
      <c r="H23" s="221"/>
      <c r="I23" s="93"/>
      <c r="J23" s="93"/>
      <c r="K23" s="118"/>
    </row>
    <row r="24" spans="1:11" ht="14" thickBot="1" x14ac:dyDescent="0.2">
      <c r="A24" s="109"/>
      <c r="B24" s="320" t="s">
        <v>95</v>
      </c>
      <c r="C24" s="422"/>
      <c r="D24" s="422"/>
      <c r="E24" s="258"/>
      <c r="F24" s="207"/>
      <c r="G24" s="224"/>
      <c r="H24" s="225"/>
      <c r="I24" s="93"/>
      <c r="J24" s="93"/>
      <c r="K24" s="118"/>
    </row>
    <row r="25" spans="1:11" x14ac:dyDescent="0.15">
      <c r="A25" s="109"/>
      <c r="B25" s="321" t="s">
        <v>120</v>
      </c>
      <c r="C25" s="422"/>
      <c r="D25" s="422"/>
      <c r="E25" s="258"/>
      <c r="F25" s="258"/>
      <c r="G25" s="258"/>
      <c r="H25" s="93"/>
      <c r="I25" s="93"/>
      <c r="J25" s="93"/>
      <c r="K25" s="118"/>
    </row>
    <row r="26" spans="1:11" x14ac:dyDescent="0.15">
      <c r="A26" s="109"/>
      <c r="B26" s="209"/>
      <c r="C26" s="210">
        <f>SUM(C21:C25)</f>
        <v>1</v>
      </c>
      <c r="D26" s="211">
        <f>SUM(D21:D25)</f>
        <v>1</v>
      </c>
      <c r="E26" s="211"/>
      <c r="F26" s="100">
        <f>SUM(F25:F25)</f>
        <v>0</v>
      </c>
      <c r="G26" s="100">
        <f>SUM(G25:G25)</f>
        <v>0</v>
      </c>
      <c r="H26" s="93"/>
      <c r="I26" s="93"/>
      <c r="J26" s="93"/>
      <c r="K26" s="118"/>
    </row>
    <row r="27" spans="1:11" ht="14" thickBot="1" x14ac:dyDescent="0.2">
      <c r="A27" s="109"/>
      <c r="B27" s="209"/>
      <c r="C27" s="210"/>
      <c r="D27" s="211"/>
      <c r="E27" s="211"/>
      <c r="F27" s="100"/>
      <c r="G27" s="100"/>
      <c r="H27" s="93"/>
      <c r="I27" s="93"/>
      <c r="J27" s="93"/>
      <c r="K27" s="118"/>
    </row>
    <row r="28" spans="1:11" ht="13" customHeight="1" x14ac:dyDescent="0.15">
      <c r="A28" s="109"/>
      <c r="B28" s="209" t="s">
        <v>198</v>
      </c>
      <c r="C28" s="424" t="s">
        <v>199</v>
      </c>
      <c r="D28" s="405" t="s">
        <v>270</v>
      </c>
      <c r="E28" s="405"/>
      <c r="F28" s="405"/>
      <c r="G28" s="406"/>
      <c r="H28" s="219" t="s">
        <v>198</v>
      </c>
      <c r="I28" s="220"/>
      <c r="J28" s="213"/>
      <c r="K28" s="118"/>
    </row>
    <row r="29" spans="1:11" x14ac:dyDescent="0.15">
      <c r="A29" s="109"/>
      <c r="B29" s="203"/>
      <c r="C29" s="212" t="str">
        <f>IF(C26=1," ","total must=100%")</f>
        <v xml:space="preserve"> </v>
      </c>
      <c r="D29" s="405"/>
      <c r="E29" s="405"/>
      <c r="F29" s="405"/>
      <c r="G29" s="406"/>
      <c r="H29" s="214"/>
      <c r="I29" s="218" t="s">
        <v>200</v>
      </c>
      <c r="J29" s="215" t="s">
        <v>201</v>
      </c>
      <c r="K29" s="118"/>
    </row>
    <row r="30" spans="1:11" s="14" customFormat="1" x14ac:dyDescent="0.15">
      <c r="A30" s="122"/>
      <c r="B30" s="125" t="s">
        <v>92</v>
      </c>
      <c r="C30" s="123"/>
      <c r="D30" s="112"/>
      <c r="E30" s="112"/>
      <c r="F30" s="101"/>
      <c r="G30" s="94"/>
      <c r="H30" s="216"/>
      <c r="I30" s="315" t="s">
        <v>207</v>
      </c>
      <c r="J30" s="427"/>
      <c r="K30" s="124"/>
    </row>
    <row r="31" spans="1:11" ht="17" customHeight="1" x14ac:dyDescent="0.15">
      <c r="A31" s="109"/>
      <c r="B31" s="411" t="s">
        <v>91</v>
      </c>
      <c r="C31" s="412"/>
      <c r="D31" s="158" t="s">
        <v>93</v>
      </c>
      <c r="E31" s="134" t="s">
        <v>31</v>
      </c>
      <c r="F31" s="99"/>
      <c r="G31" s="93"/>
      <c r="H31" s="214"/>
      <c r="I31" s="217" t="s">
        <v>25</v>
      </c>
      <c r="J31" s="428"/>
      <c r="K31" s="118"/>
    </row>
    <row r="32" spans="1:11" ht="17" customHeight="1" thickBot="1" x14ac:dyDescent="0.2">
      <c r="A32" s="109"/>
      <c r="B32" s="409" t="s">
        <v>78</v>
      </c>
      <c r="C32" s="410"/>
      <c r="D32" s="425" t="s">
        <v>75</v>
      </c>
      <c r="E32" s="425" t="s">
        <v>75</v>
      </c>
      <c r="F32" s="99"/>
      <c r="G32" s="93"/>
      <c r="H32" s="357"/>
      <c r="I32" s="217" t="s">
        <v>226</v>
      </c>
      <c r="J32" s="429"/>
      <c r="K32" s="118"/>
    </row>
    <row r="33" spans="1:11" ht="17" customHeight="1" x14ac:dyDescent="0.15">
      <c r="A33" s="109"/>
      <c r="B33" s="23"/>
      <c r="C33" s="257" t="s">
        <v>89</v>
      </c>
      <c r="D33" s="426" t="s">
        <v>75</v>
      </c>
      <c r="E33" s="426" t="s">
        <v>75</v>
      </c>
      <c r="F33" s="99"/>
      <c r="G33" s="99"/>
      <c r="H33" s="106"/>
      <c r="I33" s="313"/>
      <c r="J33" s="314"/>
      <c r="K33" s="118"/>
    </row>
    <row r="34" spans="1:11" ht="17" customHeight="1" x14ac:dyDescent="0.15">
      <c r="A34" s="109"/>
      <c r="B34" s="23"/>
      <c r="C34" s="257" t="s">
        <v>90</v>
      </c>
      <c r="D34" s="426" t="s">
        <v>75</v>
      </c>
      <c r="E34" s="426" t="s">
        <v>75</v>
      </c>
      <c r="F34" s="99"/>
      <c r="G34" s="99"/>
      <c r="H34" s="102"/>
      <c r="I34" s="93"/>
      <c r="J34" s="314"/>
      <c r="K34" s="118"/>
    </row>
    <row r="35" spans="1:11" ht="17" customHeight="1" x14ac:dyDescent="0.15">
      <c r="A35" s="109"/>
      <c r="B35" s="93"/>
      <c r="C35" s="366"/>
      <c r="D35" s="367"/>
      <c r="E35" s="367"/>
      <c r="F35" s="99"/>
      <c r="G35" s="99"/>
      <c r="H35" s="102"/>
      <c r="I35" s="93"/>
      <c r="J35" s="314"/>
      <c r="K35" s="118"/>
    </row>
    <row r="36" spans="1:11" ht="17" customHeight="1" x14ac:dyDescent="0.15">
      <c r="A36" s="109"/>
      <c r="B36" s="159" t="s">
        <v>255</v>
      </c>
      <c r="C36" s="366"/>
      <c r="D36" s="367"/>
      <c r="E36" s="367"/>
      <c r="F36" s="99"/>
      <c r="G36" s="99"/>
      <c r="H36" s="102"/>
      <c r="I36" s="93"/>
      <c r="J36" s="314"/>
      <c r="K36" s="118"/>
    </row>
    <row r="37" spans="1:11" ht="17" customHeight="1" x14ac:dyDescent="0.15">
      <c r="A37" s="109"/>
      <c r="B37" s="121"/>
      <c r="C37" s="366" t="s">
        <v>256</v>
      </c>
      <c r="D37" s="430">
        <v>0</v>
      </c>
      <c r="E37" s="368" t="s">
        <v>257</v>
      </c>
      <c r="F37" s="99"/>
      <c r="G37" s="99"/>
      <c r="H37" s="102"/>
      <c r="I37" s="93"/>
      <c r="J37" s="314"/>
      <c r="K37" s="118"/>
    </row>
    <row r="38" spans="1:11" ht="17" customHeight="1" x14ac:dyDescent="0.15">
      <c r="A38" s="109"/>
      <c r="C38" s="93"/>
      <c r="D38" s="93"/>
      <c r="E38" s="111"/>
      <c r="F38" s="93"/>
      <c r="G38" s="93"/>
      <c r="H38" s="93"/>
      <c r="I38" s="112" t="s">
        <v>26</v>
      </c>
      <c r="J38" s="112" t="s">
        <v>199</v>
      </c>
      <c r="K38" s="118"/>
    </row>
    <row r="39" spans="1:11" ht="18" customHeight="1" x14ac:dyDescent="0.15">
      <c r="A39" s="109"/>
      <c r="B39" s="159" t="s">
        <v>132</v>
      </c>
      <c r="C39" s="83" t="s">
        <v>24</v>
      </c>
      <c r="D39" s="92" t="s">
        <v>26</v>
      </c>
      <c r="E39" s="401" t="s">
        <v>30</v>
      </c>
      <c r="F39" s="402"/>
      <c r="G39" s="402"/>
      <c r="H39" s="402"/>
      <c r="I39" s="402"/>
      <c r="J39" s="402"/>
      <c r="K39" s="118"/>
    </row>
    <row r="40" spans="1:11" ht="17" customHeight="1" x14ac:dyDescent="0.15">
      <c r="A40" s="109"/>
      <c r="B40" s="93"/>
      <c r="C40" s="84" t="s">
        <v>28</v>
      </c>
      <c r="D40" s="431">
        <v>10</v>
      </c>
      <c r="E40" s="401" t="s">
        <v>44</v>
      </c>
      <c r="F40" s="402"/>
      <c r="G40" s="402"/>
      <c r="H40" s="402"/>
      <c r="I40" s="402"/>
      <c r="J40" s="402"/>
      <c r="K40" s="118"/>
    </row>
    <row r="41" spans="1:11" ht="17" customHeight="1" x14ac:dyDescent="0.15">
      <c r="A41" s="109"/>
      <c r="B41" s="93"/>
      <c r="C41" s="85" t="s">
        <v>29</v>
      </c>
      <c r="D41" s="431">
        <v>10</v>
      </c>
      <c r="E41" s="133" t="s">
        <v>45</v>
      </c>
      <c r="F41" s="93"/>
      <c r="G41" s="93"/>
      <c r="H41" s="93"/>
      <c r="I41" s="93"/>
      <c r="J41" s="93"/>
      <c r="K41" s="118"/>
    </row>
    <row r="42" spans="1:11" ht="16" customHeight="1" x14ac:dyDescent="0.15">
      <c r="A42" s="109"/>
      <c r="B42" s="93"/>
      <c r="C42" s="93"/>
      <c r="D42" s="93"/>
      <c r="E42" s="93"/>
      <c r="F42" s="93"/>
      <c r="G42" s="93"/>
      <c r="H42" s="94"/>
      <c r="I42" s="93"/>
      <c r="J42" s="93"/>
      <c r="K42" s="118"/>
    </row>
    <row r="43" spans="1:11" ht="13" customHeight="1" x14ac:dyDescent="0.15">
      <c r="A43" s="109"/>
      <c r="B43" s="125" t="s">
        <v>18</v>
      </c>
      <c r="C43" s="131" t="s">
        <v>21</v>
      </c>
      <c r="D43" s="132"/>
      <c r="E43" s="432">
        <v>0.85</v>
      </c>
      <c r="F43" s="120" t="s">
        <v>16</v>
      </c>
      <c r="G43" s="93"/>
      <c r="H43" s="93"/>
      <c r="I43" s="93"/>
      <c r="J43" s="93"/>
      <c r="K43" s="118"/>
    </row>
    <row r="44" spans="1:11" x14ac:dyDescent="0.15">
      <c r="A44" s="109"/>
      <c r="B44" s="65"/>
      <c r="C44" s="130" t="s">
        <v>17</v>
      </c>
      <c r="D44" s="62"/>
      <c r="E44" s="432">
        <v>0.03</v>
      </c>
      <c r="F44" s="120" t="s">
        <v>8</v>
      </c>
      <c r="G44" s="93"/>
      <c r="H44" s="93"/>
      <c r="I44" s="93"/>
      <c r="J44" s="93"/>
      <c r="K44" s="118"/>
    </row>
    <row r="45" spans="1:11" x14ac:dyDescent="0.15">
      <c r="A45" s="109"/>
      <c r="B45" s="121"/>
      <c r="C45" s="127"/>
      <c r="D45" s="93"/>
      <c r="E45" s="95"/>
      <c r="F45" s="120"/>
      <c r="G45" s="93"/>
      <c r="H45" s="93"/>
      <c r="I45" s="93"/>
      <c r="J45" s="93"/>
      <c r="K45" s="118"/>
    </row>
    <row r="46" spans="1:11" x14ac:dyDescent="0.15">
      <c r="A46" s="109"/>
      <c r="B46" s="121"/>
      <c r="C46" s="127"/>
      <c r="D46" s="93"/>
      <c r="E46" s="95"/>
      <c r="F46" s="120"/>
      <c r="G46" s="93"/>
      <c r="H46" s="93"/>
      <c r="I46" s="93"/>
      <c r="J46" s="93"/>
      <c r="K46" s="118"/>
    </row>
    <row r="47" spans="1:11" x14ac:dyDescent="0.15">
      <c r="A47" s="109"/>
      <c r="B47" s="125" t="s">
        <v>139</v>
      </c>
      <c r="C47" s="127"/>
      <c r="D47" s="93"/>
      <c r="E47" s="95"/>
      <c r="F47" s="120"/>
      <c r="G47" s="93"/>
      <c r="H47" s="93"/>
      <c r="I47" s="93"/>
      <c r="J47" s="93"/>
      <c r="K47" s="118"/>
    </row>
    <row r="48" spans="1:11" x14ac:dyDescent="0.15">
      <c r="A48" s="109"/>
      <c r="B48" s="157" t="s">
        <v>147</v>
      </c>
      <c r="C48" s="126"/>
      <c r="E48" s="64"/>
      <c r="F48" s="120"/>
      <c r="G48" s="93"/>
      <c r="H48" s="93"/>
      <c r="I48" s="93"/>
      <c r="J48" s="93"/>
      <c r="K48" s="118"/>
    </row>
    <row r="49" spans="1:15" ht="28" customHeight="1" x14ac:dyDescent="0.15">
      <c r="A49" s="109"/>
      <c r="B49" s="93"/>
      <c r="C49" s="166" t="s">
        <v>140</v>
      </c>
      <c r="D49" s="167" t="s">
        <v>76</v>
      </c>
      <c r="E49" s="167" t="s">
        <v>143</v>
      </c>
      <c r="F49" s="168" t="s">
        <v>77</v>
      </c>
      <c r="G49" s="167" t="s">
        <v>196</v>
      </c>
      <c r="H49" s="167" t="s">
        <v>144</v>
      </c>
      <c r="I49" s="93"/>
      <c r="J49" s="111"/>
      <c r="K49" s="118"/>
    </row>
    <row r="50" spans="1:15" x14ac:dyDescent="0.15">
      <c r="A50" s="109"/>
      <c r="B50" s="316" t="s">
        <v>35</v>
      </c>
      <c r="C50" s="433">
        <v>0</v>
      </c>
      <c r="D50" s="433"/>
      <c r="E50" s="434"/>
      <c r="F50" s="170"/>
      <c r="G50" s="170"/>
      <c r="H50" s="259">
        <f>B11-C50-D50-E50-F50-G50</f>
        <v>2</v>
      </c>
      <c r="I50" s="93"/>
      <c r="J50" s="93"/>
      <c r="K50" s="118"/>
    </row>
    <row r="51" spans="1:15" x14ac:dyDescent="0.15">
      <c r="A51" s="109"/>
      <c r="B51" s="317" t="s">
        <v>36</v>
      </c>
      <c r="C51" s="433">
        <v>2</v>
      </c>
      <c r="D51" s="433">
        <v>0</v>
      </c>
      <c r="E51" s="434">
        <v>0</v>
      </c>
      <c r="F51" s="170"/>
      <c r="G51" s="170"/>
      <c r="H51" s="259">
        <f>B12-C51-D51-E51-F51-G51</f>
        <v>0</v>
      </c>
      <c r="I51" s="93"/>
      <c r="J51" s="93"/>
      <c r="K51" s="118"/>
    </row>
    <row r="52" spans="1:15" x14ac:dyDescent="0.15">
      <c r="A52" s="109"/>
      <c r="B52" s="317" t="s">
        <v>37</v>
      </c>
      <c r="C52" s="433">
        <v>0</v>
      </c>
      <c r="D52" s="170"/>
      <c r="E52" s="171"/>
      <c r="F52" s="433">
        <v>0</v>
      </c>
      <c r="G52" s="433">
        <v>0</v>
      </c>
      <c r="H52" s="259">
        <f>B13-C52-D52-E52-F52-G52</f>
        <v>2</v>
      </c>
      <c r="I52" s="93"/>
      <c r="J52" s="93"/>
      <c r="K52" s="118"/>
    </row>
    <row r="53" spans="1:15" x14ac:dyDescent="0.15">
      <c r="A53" s="109"/>
      <c r="B53" s="317" t="s">
        <v>79</v>
      </c>
      <c r="C53" s="433">
        <v>0</v>
      </c>
      <c r="D53" s="170"/>
      <c r="E53" s="171"/>
      <c r="F53" s="170"/>
      <c r="G53" s="170"/>
      <c r="H53" s="259">
        <f>B14-C53-D53-E53-F53-G53</f>
        <v>2</v>
      </c>
      <c r="I53" s="93"/>
      <c r="J53" s="93"/>
      <c r="K53" s="118"/>
    </row>
    <row r="54" spans="1:15" x14ac:dyDescent="0.15">
      <c r="A54" s="109"/>
      <c r="B54" s="317" t="s">
        <v>122</v>
      </c>
      <c r="C54" s="433">
        <v>0</v>
      </c>
      <c r="D54" s="170"/>
      <c r="E54" s="171"/>
      <c r="F54" s="170"/>
      <c r="G54" s="369"/>
      <c r="H54" s="259">
        <f>B15-C54-D54-E54-F54-G54</f>
        <v>8</v>
      </c>
      <c r="I54" s="93"/>
      <c r="J54" s="93"/>
      <c r="K54" s="118"/>
    </row>
    <row r="55" spans="1:15" ht="14" thickBot="1" x14ac:dyDescent="0.2">
      <c r="A55" s="109"/>
      <c r="B55" s="318" t="s">
        <v>9</v>
      </c>
      <c r="C55" s="42">
        <f>SUM(C50:C54)</f>
        <v>2</v>
      </c>
      <c r="D55" s="42">
        <f t="shared" ref="D55:G55" si="0">SUM(D50:D53)</f>
        <v>0</v>
      </c>
      <c r="E55" s="42">
        <f t="shared" si="0"/>
        <v>0</v>
      </c>
      <c r="F55" s="42">
        <v>0</v>
      </c>
      <c r="G55" s="78">
        <f t="shared" si="0"/>
        <v>0</v>
      </c>
      <c r="H55" s="259">
        <f>B15-C55-D55-E55-F55-G55</f>
        <v>6</v>
      </c>
      <c r="I55" s="93"/>
      <c r="J55" s="93"/>
      <c r="K55" s="118"/>
    </row>
    <row r="56" spans="1:15" x14ac:dyDescent="0.15">
      <c r="A56" s="109"/>
      <c r="B56" s="93"/>
      <c r="C56" s="127"/>
      <c r="D56" s="93"/>
      <c r="E56" s="95"/>
      <c r="F56" s="161"/>
      <c r="G56" s="164" t="s">
        <v>145</v>
      </c>
      <c r="H56" s="162">
        <f>SUM(C55:G55)</f>
        <v>2</v>
      </c>
      <c r="I56" s="93"/>
      <c r="J56" s="93"/>
      <c r="K56" s="118"/>
    </row>
    <row r="57" spans="1:15" ht="14" thickBot="1" x14ac:dyDescent="0.2">
      <c r="A57" s="109"/>
      <c r="B57" s="93"/>
      <c r="C57" s="127"/>
      <c r="D57" s="93"/>
      <c r="E57" s="95"/>
      <c r="F57" s="163"/>
      <c r="G57" s="165" t="s">
        <v>146</v>
      </c>
      <c r="H57" s="169">
        <f>H56/B15</f>
        <v>0.25</v>
      </c>
      <c r="J57" s="93"/>
      <c r="K57" s="118"/>
      <c r="N57" s="5"/>
      <c r="O57" s="9"/>
    </row>
    <row r="58" spans="1:15" ht="16" customHeight="1" thickBot="1" x14ac:dyDescent="0.2">
      <c r="A58" s="109"/>
      <c r="B58" s="93"/>
      <c r="C58" s="93"/>
      <c r="D58" s="93"/>
      <c r="E58" s="103"/>
      <c r="F58" s="93"/>
      <c r="G58" s="93"/>
      <c r="H58" s="93"/>
      <c r="I58" s="93"/>
      <c r="J58" s="93"/>
      <c r="K58" s="118"/>
      <c r="N58" s="5"/>
      <c r="O58" s="9"/>
    </row>
    <row r="59" spans="1:15" ht="32" customHeight="1" x14ac:dyDescent="0.15">
      <c r="A59" s="109"/>
      <c r="B59" s="372" t="s">
        <v>32</v>
      </c>
      <c r="C59" s="136"/>
      <c r="D59" s="137" t="s">
        <v>133</v>
      </c>
      <c r="E59" s="137" t="s">
        <v>11</v>
      </c>
      <c r="F59" s="138" t="s">
        <v>134</v>
      </c>
      <c r="G59" s="93"/>
      <c r="H59" s="403" t="s">
        <v>192</v>
      </c>
      <c r="I59" s="404"/>
      <c r="J59" s="387" t="s">
        <v>193</v>
      </c>
      <c r="K59" s="118"/>
      <c r="N59" s="5"/>
      <c r="O59" s="9"/>
    </row>
    <row r="60" spans="1:15" x14ac:dyDescent="0.15">
      <c r="A60" s="109"/>
      <c r="B60" s="139"/>
      <c r="C60" s="140" t="str">
        <f>C11</f>
        <v>Infants</v>
      </c>
      <c r="D60" s="141">
        <f>IF(C$7="license-exempt",'License-Exempt profile'!C7,'Quality Home Profile'!C7)</f>
        <v>7815.2445887043068</v>
      </c>
      <c r="E60" s="141">
        <f>D60/12</f>
        <v>651.27038239202557</v>
      </c>
      <c r="F60" s="142">
        <f>D60/52</f>
        <v>150.29316516739053</v>
      </c>
      <c r="G60" s="255" t="s">
        <v>35</v>
      </c>
      <c r="H60" s="396">
        <f>IF(C$7="License-exempt",(('License-Exempt profile'!C56/12)-E60),(('Quality Home Profile'!C69)/12)-E60)</f>
        <v>148.72961760797443</v>
      </c>
      <c r="I60" s="397"/>
      <c r="J60" s="388">
        <f>IF(C$7="License-exempt",(E60-('License-Exempt profile'!C52/12)),(('Quality Home Profile'!C65)/12)-E60)</f>
        <v>148.72961760797443</v>
      </c>
      <c r="K60" s="118"/>
      <c r="N60" s="5"/>
      <c r="O60" s="9"/>
    </row>
    <row r="61" spans="1:15" x14ac:dyDescent="0.15">
      <c r="A61" s="109"/>
      <c r="B61" s="139"/>
      <c r="C61" s="140" t="str">
        <f>C12</f>
        <v>Toddlers</v>
      </c>
      <c r="D61" s="141">
        <f>IF(C$7="license-exempt",'License-Exempt profile'!C8,'Quality Home Profile'!C8)</f>
        <v>7815.2445887043068</v>
      </c>
      <c r="E61" s="141">
        <f>D61/12</f>
        <v>651.27038239202557</v>
      </c>
      <c r="F61" s="142">
        <f>D61/52</f>
        <v>150.29316516739053</v>
      </c>
      <c r="G61" s="255" t="s">
        <v>36</v>
      </c>
      <c r="H61" s="398">
        <f>IF(C$7="License-exempt",(('License-Exempt profile'!C57/12)-E61),(('Quality Home Profile'!C70)/12)-E61)</f>
        <v>98.729617607974433</v>
      </c>
      <c r="I61" s="399"/>
      <c r="J61" s="388">
        <f>IF(C$7="License-exempt",(E61-('License-Exempt profile'!C53/12)),('Quality Home Profile'!C66)/12)-E61</f>
        <v>48.729617607974433</v>
      </c>
      <c r="K61" s="118"/>
    </row>
    <row r="62" spans="1:15" x14ac:dyDescent="0.15">
      <c r="A62" s="109"/>
      <c r="B62" s="139"/>
      <c r="C62" s="140" t="str">
        <f>C13</f>
        <v>Preschoolers</v>
      </c>
      <c r="D62" s="141">
        <f>IF(C$7="license-exempt",'License-Exempt profile'!C9,'Quality Home Profile'!C9)</f>
        <v>7815.2445887043068</v>
      </c>
      <c r="E62" s="141">
        <f>D62/12</f>
        <v>651.27038239202557</v>
      </c>
      <c r="F62" s="142">
        <f>D62/52</f>
        <v>150.29316516739053</v>
      </c>
      <c r="G62" s="255" t="s">
        <v>37</v>
      </c>
      <c r="H62" s="398">
        <f>IF(C$7="License-exempt",(('License-Exempt profile'!C58/12)-E62),(('Quality Home Profile'!C71)/12)-E62)</f>
        <v>78.729617607974433</v>
      </c>
      <c r="I62" s="399"/>
      <c r="J62" s="388">
        <f>IF(C$7="License-exempt",(E62-('License-Exempt profile'!C54/12)),(('Quality Home Profile'!C67)/12)-E62)</f>
        <v>48.729617607974433</v>
      </c>
      <c r="K62" s="118"/>
    </row>
    <row r="63" spans="1:15" ht="14" thickBot="1" x14ac:dyDescent="0.2">
      <c r="A63" s="109"/>
      <c r="B63" s="143"/>
      <c r="C63" s="144" t="str">
        <f>C14</f>
        <v>School age</v>
      </c>
      <c r="D63" s="145">
        <f>IF(C$7="license-exempt",'License-Exempt profile'!C10,'Quality Home Profile'!C10)</f>
        <v>5037.4824293140446</v>
      </c>
      <c r="E63" s="145">
        <f>D63/12</f>
        <v>419.79020244283703</v>
      </c>
      <c r="F63" s="146">
        <f>D63/52</f>
        <v>96.87466210219317</v>
      </c>
      <c r="G63" s="256" t="s">
        <v>79</v>
      </c>
      <c r="H63" s="400">
        <f>IF(C$7="License-exempt",(('License-Exempt profile'!C59/12)-E63),(('Quality Home Profile'!C72)/12)-E63)</f>
        <v>38.209797557162972</v>
      </c>
      <c r="I63" s="399"/>
      <c r="J63" s="388">
        <f>IF(C$7="License-exempt",(E63-('License-Exempt profile'!C55/12)),(('Quality Home Profile'!C68)/12)-E63)</f>
        <v>180.20979755716297</v>
      </c>
      <c r="K63" s="118"/>
    </row>
    <row r="64" spans="1:15" ht="14" thickBot="1" x14ac:dyDescent="0.2">
      <c r="A64" s="128"/>
      <c r="B64" s="129"/>
      <c r="C64" s="129"/>
      <c r="D64" s="129"/>
      <c r="E64" s="129"/>
      <c r="F64" s="129"/>
      <c r="G64" s="129"/>
      <c r="H64" s="253" t="s">
        <v>202</v>
      </c>
      <c r="I64" s="435" t="s">
        <v>117</v>
      </c>
      <c r="J64" s="436" t="s">
        <v>114</v>
      </c>
      <c r="K64" s="148"/>
      <c r="L64" s="86" t="s">
        <v>117</v>
      </c>
      <c r="M64" s="86" t="s">
        <v>116</v>
      </c>
      <c r="N64" s="86" t="s">
        <v>115</v>
      </c>
      <c r="O64" s="86"/>
    </row>
    <row r="65" spans="8:17" ht="14" x14ac:dyDescent="0.15">
      <c r="H65" s="15"/>
      <c r="L65" s="252" t="s">
        <v>114</v>
      </c>
      <c r="M65" s="252" t="s">
        <v>185</v>
      </c>
      <c r="N65" s="252" t="s">
        <v>186</v>
      </c>
      <c r="O65" s="252" t="s">
        <v>187</v>
      </c>
      <c r="P65" s="252" t="s">
        <v>188</v>
      </c>
      <c r="Q65" s="15"/>
    </row>
  </sheetData>
  <sheetProtection algorithmName="SHA-512" hashValue="+bHyZEpOt7hrxxGiXe95QRVJb+SYldrjTMUK2nKi/yLbizTq8Zo2wYKwbbPEKCYQ2PpluSP474DOHAvejHYvMw==" saltValue="9AAXeMPe5aTiMXhYgecN+w==" spinCount="100000" sheet="1" objects="1" scenarios="1"/>
  <mergeCells count="13">
    <mergeCell ref="D28:G29"/>
    <mergeCell ref="F13:K14"/>
    <mergeCell ref="F10:K12"/>
    <mergeCell ref="B32:C32"/>
    <mergeCell ref="B31:C31"/>
    <mergeCell ref="F15:K16"/>
    <mergeCell ref="H60:I60"/>
    <mergeCell ref="H61:I61"/>
    <mergeCell ref="H63:I63"/>
    <mergeCell ref="E40:J40"/>
    <mergeCell ref="E39:J39"/>
    <mergeCell ref="H62:I62"/>
    <mergeCell ref="H59:I59"/>
  </mergeCells>
  <phoneticPr fontId="8" type="noConversion"/>
  <dataValidations count="12">
    <dataValidation type="list" allowBlank="1" showInputMessage="1" showErrorMessage="1" sqref="D39" xr:uid="{C2CF9409-A270-DB47-8547-2D1B6985602C}">
      <formula1>$I$38:$J$38</formula1>
    </dataValidation>
    <dataValidation type="whole" allowBlank="1" showInputMessage="1" showErrorMessage="1" errorTitle="Enter a whole number" promptTitle="Enter number of days" prompt="Enter number of days of paid sick leave per year per staff member_x000a_" sqref="D40" xr:uid="{18AE733C-7F46-9946-ACAB-7914FD730588}">
      <formula1>0</formula1>
      <formula2>100</formula2>
    </dataValidation>
    <dataValidation allowBlank="1" showInputMessage="1" showErrorMessage="1" promptTitle="Enter number of days " prompt="Enter number of days paid leave offered to staff per year (not including holidays where program is closed)" sqref="D41" xr:uid="{38DE5AB1-75D8-9E49-87E4-584A9244F140}"/>
    <dataValidation type="list" allowBlank="1" showInputMessage="1" showErrorMessage="1" sqref="C7" xr:uid="{97FA57B7-3921-9B41-B7C4-4A58A64673A1}">
      <formula1>$E$7:$G$7</formula1>
    </dataValidation>
    <dataValidation type="list" allowBlank="1" showInputMessage="1" showErrorMessage="1" sqref="C28" xr:uid="{7B0980EA-FE60-944F-B9FF-460FE27F8A1E}">
      <formula1>#REF!</formula1>
    </dataValidation>
    <dataValidation type="list" allowBlank="1" showInputMessage="1" showErrorMessage="1" sqref="D35:D36" xr:uid="{6BFCF02B-77CF-0241-914E-697D6462F5D7}">
      <formula1>$H$1:$K$1</formula1>
    </dataValidation>
    <dataValidation type="list" allowBlank="1" showInputMessage="1" showErrorMessage="1" sqref="I64" xr:uid="{1B1A7F7B-96AF-0A43-A09A-E241EA3B062E}">
      <formula1>$L$64:$N$64</formula1>
    </dataValidation>
    <dataValidation type="list" allowBlank="1" showInputMessage="1" showErrorMessage="1" sqref="J64" xr:uid="{F71F0062-F5AE-A04F-8795-33D02FD2C076}">
      <formula1>$L$65:$Q$65</formula1>
    </dataValidation>
    <dataValidation type="list" allowBlank="1" showInputMessage="1" showErrorMessage="1" sqref="E35:E36" xr:uid="{C084B7F3-A5CB-6146-8BC0-87AF37BAF2F0}">
      <formula1>$H$2:$K$2</formula1>
    </dataValidation>
    <dataValidation type="list" allowBlank="1" showInputMessage="1" showErrorMessage="1" sqref="D11:D12 D33:D34" xr:uid="{8C4F1051-72B9-1644-89E8-56727CAF0CB4}">
      <formula1>$H$1:$I$1</formula1>
    </dataValidation>
    <dataValidation type="list" allowBlank="1" showInputMessage="1" showErrorMessage="1" sqref="E32:E34 D13:D14" xr:uid="{9BED5A97-352D-2042-BA03-1A9AB2145C35}">
      <formula1>$H$2:$I$2</formula1>
    </dataValidation>
    <dataValidation type="list" allowBlank="1" showInputMessage="1" showErrorMessage="1" sqref="D32" xr:uid="{3954439C-7101-6449-A1CC-3D9F523B4883}">
      <formula1>$H$3:$I$3</formula1>
    </dataValidation>
  </dataValidations>
  <pageMargins left="0.25" right="0.25" top="0.25" bottom="0.25" header="0.05" footer="0.05"/>
  <pageSetup scale="75" orientation="landscape" horizontalDpi="4294967293" r:id="rId1"/>
  <headerFooter alignWithMargins="0">
    <oddFooter>&amp;CDRAFT - Not for Distribution</oddFooter>
  </headerFooter>
  <ignoredErrors>
    <ignoredError sqref="A17"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97D33-A6BF-BE41-987E-1D38E46FE635}">
  <sheetPr codeName="Sheet12">
    <tabColor theme="5" tint="0.39997558519241921"/>
  </sheetPr>
  <dimension ref="A1:Q20"/>
  <sheetViews>
    <sheetView workbookViewId="0">
      <selection activeCell="L1" sqref="L1"/>
    </sheetView>
  </sheetViews>
  <sheetFormatPr baseColWidth="10" defaultColWidth="8.83203125" defaultRowHeight="13" x14ac:dyDescent="0.15"/>
  <cols>
    <col min="1" max="1" width="13.83203125" style="173" customWidth="1"/>
    <col min="2" max="2" width="8.83203125" style="173"/>
    <col min="3" max="3" width="8.83203125" style="173" customWidth="1"/>
    <col min="4" max="16384" width="8.83203125" style="173"/>
  </cols>
  <sheetData>
    <row r="1" spans="1:17" x14ac:dyDescent="0.15">
      <c r="A1" s="173" t="s">
        <v>160</v>
      </c>
      <c r="L1" s="174"/>
    </row>
    <row r="2" spans="1:17" x14ac:dyDescent="0.15">
      <c r="A2" s="173" t="s">
        <v>161</v>
      </c>
    </row>
    <row r="3" spans="1:17" ht="25.75" customHeight="1" x14ac:dyDescent="0.15">
      <c r="A3" s="173" t="s">
        <v>177</v>
      </c>
    </row>
    <row r="4" spans="1:17" x14ac:dyDescent="0.15">
      <c r="A4" s="173" t="s">
        <v>162</v>
      </c>
      <c r="H4" s="175"/>
      <c r="I4" s="176" t="s">
        <v>163</v>
      </c>
      <c r="Q4" s="11" t="s">
        <v>178</v>
      </c>
    </row>
    <row r="6" spans="1:17" x14ac:dyDescent="0.15">
      <c r="B6" s="182" t="s">
        <v>171</v>
      </c>
      <c r="H6" s="176" t="s">
        <v>170</v>
      </c>
    </row>
    <row r="7" spans="1:17" ht="28" x14ac:dyDescent="0.15">
      <c r="D7" s="178" t="s">
        <v>164</v>
      </c>
      <c r="E7" s="179" t="s">
        <v>165</v>
      </c>
      <c r="F7" s="178" t="s">
        <v>166</v>
      </c>
      <c r="H7" s="177" t="s">
        <v>167</v>
      </c>
      <c r="J7" s="173" t="s">
        <v>168</v>
      </c>
    </row>
    <row r="8" spans="1:17" x14ac:dyDescent="0.15">
      <c r="A8" s="173" t="s">
        <v>169</v>
      </c>
      <c r="B8" s="173" t="s">
        <v>172</v>
      </c>
      <c r="D8" s="183">
        <v>1.39</v>
      </c>
      <c r="E8" s="183">
        <v>2.61</v>
      </c>
      <c r="F8" s="183">
        <v>0.78</v>
      </c>
      <c r="H8" s="180">
        <f>SUM(D8,E8,2*F8)</f>
        <v>5.5600000000000005</v>
      </c>
      <c r="J8" s="181">
        <f>5*H8</f>
        <v>27.800000000000004</v>
      </c>
    </row>
    <row r="9" spans="1:17" x14ac:dyDescent="0.15">
      <c r="B9" s="173" t="s">
        <v>173</v>
      </c>
      <c r="D9" s="183">
        <v>0.5</v>
      </c>
      <c r="E9" s="183">
        <v>1.58</v>
      </c>
      <c r="F9" s="183">
        <v>0.21</v>
      </c>
      <c r="H9" s="180">
        <f>SUM(D9,E9,2*F9)</f>
        <v>2.5</v>
      </c>
      <c r="J9" s="181">
        <f>5*H9</f>
        <v>12.5</v>
      </c>
    </row>
    <row r="11" spans="1:17" x14ac:dyDescent="0.15">
      <c r="A11" s="173" t="s">
        <v>174</v>
      </c>
    </row>
    <row r="12" spans="1:17" x14ac:dyDescent="0.15">
      <c r="A12" s="11" t="s">
        <v>178</v>
      </c>
      <c r="H12" s="173" t="s">
        <v>175</v>
      </c>
    </row>
    <row r="13" spans="1:17" x14ac:dyDescent="0.15">
      <c r="A13" s="11"/>
      <c r="G13" s="173" t="s">
        <v>176</v>
      </c>
    </row>
    <row r="16" spans="1:17" ht="50.75" customHeight="1" x14ac:dyDescent="0.15">
      <c r="B16" s="421"/>
      <c r="C16" s="421"/>
      <c r="D16" s="421"/>
      <c r="E16" s="421"/>
      <c r="F16" s="421"/>
      <c r="G16" s="421"/>
      <c r="H16" s="421"/>
      <c r="I16" s="421"/>
      <c r="J16" s="421"/>
      <c r="K16" s="421"/>
    </row>
    <row r="17" spans="2:11" x14ac:dyDescent="0.15">
      <c r="B17" s="177"/>
    </row>
    <row r="18" spans="2:11" ht="51.25" customHeight="1" x14ac:dyDescent="0.15">
      <c r="B18" s="421"/>
      <c r="C18" s="421"/>
      <c r="D18" s="421"/>
      <c r="E18" s="421"/>
      <c r="F18" s="421"/>
      <c r="G18" s="421"/>
      <c r="H18" s="421"/>
      <c r="I18" s="421"/>
      <c r="J18" s="421"/>
      <c r="K18" s="421"/>
    </row>
    <row r="19" spans="2:11" x14ac:dyDescent="0.15">
      <c r="B19" s="177"/>
    </row>
    <row r="20" spans="2:11" ht="35.5" customHeight="1" x14ac:dyDescent="0.15">
      <c r="B20" s="421"/>
      <c r="C20" s="421"/>
      <c r="D20" s="421"/>
      <c r="E20" s="421"/>
      <c r="F20" s="421"/>
      <c r="G20" s="421"/>
      <c r="H20" s="421"/>
      <c r="I20" s="421"/>
      <c r="J20" s="421"/>
      <c r="K20" s="421"/>
    </row>
  </sheetData>
  <mergeCells count="3">
    <mergeCell ref="B16:K16"/>
    <mergeCell ref="B18:K18"/>
    <mergeCell ref="B20:K20"/>
  </mergeCells>
  <hyperlinks>
    <hyperlink ref="Q4" r:id="rId1" xr:uid="{76EEF180-33DD-5D47-AA56-8070A3ADC0E7}"/>
  </hyperlinks>
  <pageMargins left="0.75" right="0.75" top="1" bottom="1" header="0.5" footer="0.5"/>
  <pageSetup orientation="portrait" horizontalDpi="4294967293"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T85"/>
  <sheetViews>
    <sheetView topLeftCell="A22" zoomScale="130" zoomScaleNormal="130" workbookViewId="0">
      <selection activeCell="B32" sqref="B32"/>
    </sheetView>
  </sheetViews>
  <sheetFormatPr baseColWidth="10" defaultColWidth="8.83203125" defaultRowHeight="13" x14ac:dyDescent="0.15"/>
  <cols>
    <col min="1" max="1" width="7.5" style="15" customWidth="1"/>
    <col min="2" max="2" width="44.5" style="15" customWidth="1"/>
    <col min="3" max="3" width="12.33203125" style="15" customWidth="1"/>
    <col min="4" max="4" width="12.6640625" style="15" customWidth="1"/>
    <col min="5" max="5" width="11.1640625" style="15" customWidth="1"/>
    <col min="6" max="6" width="12" style="15" customWidth="1"/>
    <col min="7" max="7" width="11.83203125" style="15" customWidth="1"/>
    <col min="8" max="8" width="13.1640625" style="15" customWidth="1"/>
    <col min="9" max="9" width="14.83203125" style="15" customWidth="1"/>
    <col min="10" max="10" width="14.1640625" style="15" customWidth="1"/>
    <col min="11" max="12" width="10.5" style="15" customWidth="1"/>
    <col min="13" max="13" width="10" style="15" customWidth="1"/>
    <col min="14" max="14" width="9.5" style="15" customWidth="1"/>
    <col min="15" max="15" width="12.83203125" style="15" customWidth="1"/>
    <col min="16" max="16" width="13.1640625" style="15" customWidth="1"/>
    <col min="17" max="17" width="8.1640625" style="15" customWidth="1"/>
    <col min="18" max="18" width="5.5" style="15" customWidth="1"/>
    <col min="19" max="19" width="11.5" style="15" customWidth="1"/>
    <col min="20" max="16384" width="8.83203125" style="15"/>
  </cols>
  <sheetData>
    <row r="1" spans="1:20" ht="16.5" customHeight="1" x14ac:dyDescent="0.15">
      <c r="A1" s="1" t="s">
        <v>39</v>
      </c>
      <c r="B1" s="230"/>
      <c r="C1" s="1"/>
      <c r="D1" s="1"/>
      <c r="E1" s="1"/>
      <c r="F1" s="1"/>
      <c r="G1" s="1"/>
    </row>
    <row r="2" spans="1:20" x14ac:dyDescent="0.15">
      <c r="A2" s="2"/>
      <c r="B2" s="2" t="s">
        <v>2</v>
      </c>
      <c r="E2" s="231"/>
      <c r="F2" s="15" t="s">
        <v>23</v>
      </c>
    </row>
    <row r="3" spans="1:20" x14ac:dyDescent="0.15">
      <c r="A3" s="2"/>
      <c r="B3" s="2" t="s">
        <v>7</v>
      </c>
      <c r="E3" s="232"/>
      <c r="F3" s="15" t="s">
        <v>22</v>
      </c>
    </row>
    <row r="4" spans="1:20" x14ac:dyDescent="0.15">
      <c r="A4" s="12" t="s">
        <v>239</v>
      </c>
      <c r="B4" s="233"/>
      <c r="C4" s="233"/>
      <c r="D4" s="233"/>
      <c r="E4" s="233"/>
      <c r="F4" s="233"/>
      <c r="G4" s="233"/>
      <c r="H4" s="234"/>
      <c r="I4" s="234"/>
    </row>
    <row r="5" spans="1:20" x14ac:dyDescent="0.15">
      <c r="K5" s="89"/>
      <c r="L5" s="89"/>
      <c r="M5" s="89"/>
      <c r="N5" s="89"/>
      <c r="O5" s="89"/>
      <c r="P5" s="2"/>
    </row>
    <row r="6" spans="1:20" ht="25.5" customHeight="1" x14ac:dyDescent="0.15">
      <c r="B6" s="1" t="s">
        <v>4</v>
      </c>
      <c r="C6" s="50" t="s">
        <v>10</v>
      </c>
      <c r="D6" s="1" t="s">
        <v>11</v>
      </c>
      <c r="E6" s="1" t="s">
        <v>208</v>
      </c>
      <c r="G6" s="340" t="s">
        <v>231</v>
      </c>
      <c r="H6" s="341" t="s">
        <v>232</v>
      </c>
      <c r="I6" s="342"/>
      <c r="J6" s="343"/>
      <c r="K6" s="200"/>
      <c r="L6" s="200"/>
      <c r="M6" s="200"/>
      <c r="N6" s="200"/>
      <c r="O6" s="200"/>
      <c r="P6" s="200"/>
    </row>
    <row r="7" spans="1:20" ht="14" customHeight="1" x14ac:dyDescent="0.15">
      <c r="A7" s="15">
        <f>'VariablesINPUT-FCC'!B11</f>
        <v>2</v>
      </c>
      <c r="B7" s="15" t="str">
        <f>'VariablesINPUT-FCC'!C11</f>
        <v>Infants</v>
      </c>
      <c r="C7" s="235">
        <f>H7</f>
        <v>7815.2445887043068</v>
      </c>
      <c r="D7" s="235">
        <f>C7/12</f>
        <v>651.27038239202557</v>
      </c>
      <c r="E7" s="261">
        <f>C7*A7</f>
        <v>15630.489177408614</v>
      </c>
      <c r="F7" s="395"/>
      <c r="G7" s="344">
        <f>IF(Infants&gt;0,($D$58-D54)/A$11,0)</f>
        <v>6895.8040488567412</v>
      </c>
      <c r="H7" s="345">
        <f>SUM(G7,$I$10)</f>
        <v>7815.2445887043068</v>
      </c>
      <c r="I7" s="342"/>
      <c r="J7" s="343"/>
      <c r="K7" s="196"/>
      <c r="L7" s="196"/>
      <c r="M7" s="197"/>
      <c r="N7" s="197"/>
      <c r="O7" s="198"/>
      <c r="P7" s="186"/>
      <c r="Q7" s="186"/>
    </row>
    <row r="8" spans="1:20" ht="14" customHeight="1" x14ac:dyDescent="0.2">
      <c r="A8" s="15">
        <f>'VariablesINPUT-FCC'!B12</f>
        <v>2</v>
      </c>
      <c r="B8" s="15" t="str">
        <f>'VariablesINPUT-FCC'!C12</f>
        <v>Toddlers</v>
      </c>
      <c r="C8" s="235">
        <f>H8</f>
        <v>7815.2445887043068</v>
      </c>
      <c r="D8" s="235">
        <f>C8/12</f>
        <v>651.27038239202557</v>
      </c>
      <c r="E8" s="261">
        <f t="shared" ref="E8:E9" si="0">C8*A8</f>
        <v>15630.489177408614</v>
      </c>
      <c r="F8" s="395"/>
      <c r="G8" s="344">
        <f>IF(Toddlers&gt;0,($D$58-D54)/A$11,0)</f>
        <v>6895.8040488567412</v>
      </c>
      <c r="H8" s="345">
        <f>SUM(G8,$I$10)</f>
        <v>7815.2445887043068</v>
      </c>
      <c r="I8" s="342"/>
      <c r="J8" s="346"/>
      <c r="K8" s="196"/>
      <c r="L8" s="196"/>
      <c r="M8" s="197"/>
      <c r="N8" s="197"/>
      <c r="O8" s="198"/>
      <c r="P8" s="186"/>
      <c r="Q8" s="46"/>
    </row>
    <row r="9" spans="1:20" ht="14" customHeight="1" x14ac:dyDescent="0.2">
      <c r="A9" s="15">
        <f>'VariablesINPUT-FCC'!B13</f>
        <v>2</v>
      </c>
      <c r="B9" s="15" t="str">
        <f>'VariablesINPUT-FCC'!C13</f>
        <v>Preschoolers</v>
      </c>
      <c r="C9" s="235">
        <f t="shared" ref="C9" si="1">H9</f>
        <v>7815.2445887043068</v>
      </c>
      <c r="D9" s="235">
        <f>C9/12</f>
        <v>651.27038239202557</v>
      </c>
      <c r="E9" s="261">
        <f t="shared" si="0"/>
        <v>15630.489177408614</v>
      </c>
      <c r="F9" s="395"/>
      <c r="G9" s="344">
        <f>IF(Preschoolers&gt;0,($D$58-D54)/A$11,0)</f>
        <v>6895.8040488567412</v>
      </c>
      <c r="H9" s="345">
        <f>SUM(G9,$I$10)</f>
        <v>7815.2445887043068</v>
      </c>
      <c r="I9" s="342"/>
      <c r="J9" s="346"/>
      <c r="K9" s="196"/>
      <c r="L9" s="197"/>
      <c r="M9" s="197"/>
      <c r="N9" s="197"/>
      <c r="O9" s="198"/>
      <c r="P9" s="186"/>
      <c r="Q9" s="46"/>
    </row>
    <row r="10" spans="1:20" ht="14" customHeight="1" x14ac:dyDescent="0.15">
      <c r="A10" s="15">
        <f>'VariablesINPUT-FCC'!B14</f>
        <v>2</v>
      </c>
      <c r="B10" s="15" t="str">
        <f>'VariablesINPUT-FCC'!C14</f>
        <v>School age</v>
      </c>
      <c r="C10" s="235">
        <f>H10</f>
        <v>5037.4824293140446</v>
      </c>
      <c r="D10" s="235">
        <f>C10/12</f>
        <v>419.79020244283703</v>
      </c>
      <c r="E10" s="261">
        <f>C10*A10</f>
        <v>10074.964858628089</v>
      </c>
      <c r="F10" s="395"/>
      <c r="G10" s="347">
        <f>IF(Schoolagers&gt;0,($D$58-D54)/A$11,0)</f>
        <v>6895.8040488567412</v>
      </c>
      <c r="H10" s="348">
        <f>SUM((G10*60%),D54/Schoolagers)</f>
        <v>5037.4824293140446</v>
      </c>
      <c r="I10" s="349">
        <f>SUM(((G10*40%)*A10)/(A11-A10))</f>
        <v>919.44053984756556</v>
      </c>
      <c r="J10" s="350">
        <f>SUM(G10-I10)*(SUM(A7:A9))</f>
        <v>35858.18105405505</v>
      </c>
      <c r="K10" s="196"/>
      <c r="L10" s="196"/>
      <c r="M10" s="196"/>
      <c r="N10" s="196"/>
      <c r="O10" s="199"/>
      <c r="P10" s="186"/>
      <c r="Q10" s="46"/>
    </row>
    <row r="11" spans="1:20" ht="14" customHeight="1" x14ac:dyDescent="0.15">
      <c r="A11" s="27">
        <f>SUM(A7:A10)</f>
        <v>8</v>
      </c>
      <c r="B11" s="47"/>
      <c r="C11" s="47"/>
      <c r="D11" s="47"/>
      <c r="E11" s="339">
        <f>SUM(E7:E10)</f>
        <v>56966.43239085393</v>
      </c>
      <c r="F11" s="339"/>
      <c r="H11" s="6"/>
      <c r="J11" s="195"/>
      <c r="K11" s="201"/>
      <c r="L11" s="201"/>
      <c r="M11" s="201"/>
      <c r="N11" s="248"/>
      <c r="O11" s="201"/>
      <c r="P11" s="186"/>
      <c r="Q11" s="46"/>
    </row>
    <row r="12" spans="1:20" ht="26" customHeight="1" x14ac:dyDescent="0.15">
      <c r="C12" s="15" t="s">
        <v>265</v>
      </c>
      <c r="D12" s="371">
        <v>0</v>
      </c>
      <c r="E12" s="413"/>
      <c r="F12" s="413"/>
      <c r="G12" s="413"/>
      <c r="H12" s="413"/>
      <c r="I12" s="413"/>
      <c r="J12" s="46"/>
      <c r="K12" s="246"/>
      <c r="L12" s="246"/>
      <c r="M12" s="247"/>
      <c r="N12" s="247"/>
      <c r="O12" s="188"/>
      <c r="P12" s="186"/>
      <c r="Q12" s="46"/>
    </row>
    <row r="13" spans="1:20" s="262" customFormat="1" ht="17" x14ac:dyDescent="0.2">
      <c r="B13" s="263" t="s">
        <v>210</v>
      </c>
      <c r="C13" s="264"/>
      <c r="F13" s="265"/>
      <c r="K13" s="266"/>
      <c r="L13" s="266"/>
      <c r="M13" s="266"/>
      <c r="P13" s="267"/>
      <c r="Q13" s="267"/>
      <c r="R13" s="268"/>
      <c r="S13" s="269"/>
      <c r="T13" s="267"/>
    </row>
    <row r="14" spans="1:20" s="262" customFormat="1" ht="18" thickBot="1" x14ac:dyDescent="0.25">
      <c r="B14" s="270" t="s">
        <v>211</v>
      </c>
      <c r="C14" s="271"/>
      <c r="D14" s="272"/>
      <c r="E14" s="272"/>
      <c r="F14" s="272"/>
      <c r="G14" s="271"/>
      <c r="K14" s="266"/>
      <c r="L14" s="266"/>
      <c r="M14" s="266"/>
      <c r="P14" s="267"/>
      <c r="R14" s="268"/>
      <c r="S14" s="269"/>
      <c r="T14" s="267"/>
    </row>
    <row r="15" spans="1:20" s="262" customFormat="1" ht="16" x14ac:dyDescent="0.2">
      <c r="B15" s="273"/>
      <c r="C15" s="262" t="s">
        <v>133</v>
      </c>
      <c r="D15" s="275" t="s">
        <v>212</v>
      </c>
      <c r="K15" s="266"/>
      <c r="L15" s="266"/>
      <c r="M15" s="266"/>
      <c r="P15" s="267"/>
      <c r="R15" s="268"/>
      <c r="S15" s="269"/>
      <c r="T15" s="267"/>
    </row>
    <row r="16" spans="1:20" s="262" customFormat="1" ht="14" x14ac:dyDescent="0.15">
      <c r="A16" s="276">
        <v>1</v>
      </c>
      <c r="B16" s="277" t="s">
        <v>209</v>
      </c>
      <c r="C16" s="278">
        <f>IF('VariablesINPUT-FCC'!C28="Yes",'VariablesINPUT-FCC'!J30,
IF(OR('VariablesINPUT-FCC'!D11="Point 2",'VariablesINPUT-FCC'!D12="Point 2",'VariablesINPUT-FCC'!D13="Point 2",'VariablesINPUT-FCC'!D14="Point 2"),Wages!B20,
IF(OR('VariablesINPUT-FCC'!D11="Baby Promise",'VariablesINPUT-FCC'!D12="Baby Promise",'VariablesINPUT-FCC'!D13="Preschool Promise",'VariablesINPUT-FCC'!D14="Preschool Promise"),Wages!B30,
IF(OR('VariablesINPUT-FCC'!D11="Aspirational",'VariablesINPUT-FCC'!D12="Aspirational",'VariablesINPUT-FCC'!D13="Aspirational",'VariablesINPUT-FCC'!D14="Aspirational"),Wages!B40,Wages!B9))))</f>
        <v>34236</v>
      </c>
      <c r="D16" s="279">
        <f>C16*A16</f>
        <v>34236</v>
      </c>
      <c r="E16" s="280"/>
      <c r="F16" s="281"/>
      <c r="K16" s="266"/>
      <c r="L16" s="266"/>
      <c r="M16" s="266"/>
      <c r="R16" s="268"/>
      <c r="S16" s="269"/>
      <c r="T16" s="267"/>
    </row>
    <row r="17" spans="1:20" s="262" customFormat="1" ht="15" x14ac:dyDescent="0.2">
      <c r="A17" s="282">
        <f>IF(A7&gt;2,1,0)</f>
        <v>0</v>
      </c>
      <c r="B17" s="277" t="s">
        <v>233</v>
      </c>
      <c r="C17" s="278">
        <f>IF('VariablesINPUT-FCC'!C28="Yes",'VariablesINPUT-FCC'!J31,
IF(OR('VariablesINPUT-FCC'!D11="Point 2",'VariablesINPUT-FCC'!D12="Point 2",'VariablesINPUT-FCC'!D13="Point 2",'VariablesINPUT-FCC'!D14="Point 2"),Wages!C20,
IF(OR('VariablesINPUT-FCC'!D11="Baby Promise",'VariablesINPUT-FCC'!D12="Baby Promise",'VariablesINPUT-FCC'!D13="Preschool Promise",'VariablesINPUT-FCC'!D14="Preschool Promise"),Wages!C30,
IF(OR('VariablesINPUT-FCC'!D11="Aspirational",'VariablesINPUT-FCC'!D12="Aspirational",'VariablesINPUT-FCC'!D13="Aspirational",'VariablesINPUT-FCC'!D14="Aspirational"),Wages!C40,Wages!C9))))</f>
        <v>34236</v>
      </c>
      <c r="D17" s="279">
        <f>C17*A17</f>
        <v>0</v>
      </c>
      <c r="E17" s="280"/>
      <c r="F17" s="281"/>
      <c r="H17" s="283"/>
      <c r="I17" s="284"/>
      <c r="J17" s="283"/>
      <c r="K17" s="283"/>
      <c r="L17" s="283"/>
      <c r="M17" s="283"/>
      <c r="R17" s="268"/>
      <c r="S17" s="269"/>
      <c r="T17" s="267"/>
    </row>
    <row r="18" spans="1:20" s="262" customFormat="1" ht="15" x14ac:dyDescent="0.2">
      <c r="A18" s="282">
        <f>IF(A17=0,IF('VariablesINPUT-FCC'!C7="Certified FCC",1,0),0)</f>
        <v>0</v>
      </c>
      <c r="B18" s="277" t="s">
        <v>235</v>
      </c>
      <c r="C18" s="278">
        <f>IF('VariablesINPUT-FCC'!C28="Yes",'VariablesINPUT-FCC'!J32,
IF(OR('VariablesINPUT-FCC'!D11="Point 2",'VariablesINPUT-FCC'!D12="Point 2",'VariablesINPUT-FCC'!D13="Point 2",'VariablesINPUT-FCC'!D14="Point 2"),Wages!D20,
IF(OR('VariablesINPUT-FCC'!D11="Baby Promise",'VariablesINPUT-FCC'!D12="Baby Promise",'VariablesINPUT-FCC'!D13="Preschool Promise",'VariablesINPUT-FCC'!D14="Preschool Promise"),Wages!D30,
IF(OR('VariablesINPUT-FCC'!D11="Aspirational",'VariablesINPUT-FCC'!D12="Aspirational",'VariablesINPUT-FCC'!D13="Aspirational",'VariablesINPUT-FCC'!D14="Aspirational"),Wages!D40,Wages!D9))))</f>
        <v>30977</v>
      </c>
      <c r="D18" s="279">
        <f>C18*A18</f>
        <v>0</v>
      </c>
      <c r="E18" s="280"/>
      <c r="F18" s="281"/>
      <c r="H18" s="283"/>
      <c r="I18" s="284"/>
      <c r="J18" s="283"/>
      <c r="K18" s="283"/>
      <c r="L18" s="283"/>
      <c r="M18" s="283"/>
      <c r="R18" s="268"/>
      <c r="S18" s="269"/>
      <c r="T18" s="267"/>
    </row>
    <row r="19" spans="1:20" s="262" customFormat="1" ht="15" x14ac:dyDescent="0.2">
      <c r="A19" s="285">
        <f>SUM(A16:A18)*D12</f>
        <v>0</v>
      </c>
      <c r="B19" s="277" t="s">
        <v>234</v>
      </c>
      <c r="C19" s="278">
        <f>AsstTeacherFCC</f>
        <v>30977</v>
      </c>
      <c r="D19" s="279">
        <f>(C19*A19)</f>
        <v>0</v>
      </c>
      <c r="E19" s="280"/>
      <c r="F19" s="281"/>
      <c r="H19" s="283"/>
      <c r="I19" s="284"/>
      <c r="J19" s="283"/>
      <c r="K19" s="283"/>
      <c r="L19" s="283"/>
      <c r="M19" s="283"/>
    </row>
    <row r="20" spans="1:20" s="262" customFormat="1" ht="15" x14ac:dyDescent="0.2">
      <c r="A20" s="285">
        <f>(SUM(A16:A18)*15)/2080</f>
        <v>7.2115384615384619E-3</v>
      </c>
      <c r="B20" s="277" t="s">
        <v>237</v>
      </c>
      <c r="C20" s="278">
        <f>AsstTeacherFCC</f>
        <v>30977</v>
      </c>
      <c r="D20" s="279">
        <f>(C20*A20)</f>
        <v>223.39182692307693</v>
      </c>
      <c r="E20" s="305" t="s">
        <v>240</v>
      </c>
      <c r="F20" s="281"/>
      <c r="H20" s="373"/>
      <c r="I20" s="284"/>
      <c r="J20" s="283"/>
      <c r="K20" s="283"/>
      <c r="L20" s="283"/>
      <c r="M20" s="283"/>
    </row>
    <row r="21" spans="1:20" s="262" customFormat="1" ht="15" x14ac:dyDescent="0.2">
      <c r="A21" s="285">
        <f>'VariablesINPUT-FCC'!D37</f>
        <v>0</v>
      </c>
      <c r="B21" s="277" t="s">
        <v>256</v>
      </c>
      <c r="C21" s="278">
        <f>AsstTeacherFCC</f>
        <v>30977</v>
      </c>
      <c r="D21" s="279">
        <f>(C21*A21)</f>
        <v>0</v>
      </c>
      <c r="E21" s="305"/>
      <c r="F21" s="281"/>
      <c r="H21" s="373"/>
      <c r="I21" s="284"/>
      <c r="J21" s="283"/>
      <c r="K21" s="283"/>
      <c r="L21" s="283"/>
      <c r="M21" s="283"/>
    </row>
    <row r="22" spans="1:20" s="262" customFormat="1" ht="15" x14ac:dyDescent="0.2">
      <c r="A22" s="286">
        <f>SUM(A16:A18)</f>
        <v>1</v>
      </c>
      <c r="B22" s="287" t="s">
        <v>213</v>
      </c>
      <c r="C22" s="288"/>
      <c r="D22" s="289">
        <f>SUM(D16:D21)</f>
        <v>34459.391826923078</v>
      </c>
      <c r="I22" s="284"/>
    </row>
    <row r="23" spans="1:20" x14ac:dyDescent="0.15">
      <c r="A23" s="37"/>
      <c r="C23" s="41"/>
      <c r="D23" s="6"/>
      <c r="E23" s="237"/>
      <c r="F23" s="77"/>
      <c r="G23" s="45"/>
    </row>
    <row r="24" spans="1:20" s="262" customFormat="1" ht="15" x14ac:dyDescent="0.2">
      <c r="B24" s="290" t="s">
        <v>214</v>
      </c>
      <c r="C24" s="291"/>
      <c r="E24" s="292"/>
      <c r="H24" s="283"/>
      <c r="I24" s="283"/>
      <c r="J24" s="283"/>
      <c r="K24" s="283"/>
      <c r="L24" s="283"/>
      <c r="M24" s="283"/>
      <c r="N24" s="283"/>
      <c r="O24" s="283"/>
      <c r="P24" s="283"/>
    </row>
    <row r="25" spans="1:20" s="262" customFormat="1" ht="15" x14ac:dyDescent="0.2">
      <c r="B25" s="277" t="s">
        <v>15</v>
      </c>
      <c r="C25" s="293">
        <v>6.2E-2</v>
      </c>
      <c r="D25" s="294">
        <f>SUM(D$17:D$21)*C25</f>
        <v>13.85029326923077</v>
      </c>
      <c r="F25" s="274"/>
      <c r="G25" s="295"/>
      <c r="H25" s="283"/>
      <c r="I25" s="283"/>
      <c r="J25" s="283"/>
      <c r="K25" s="283"/>
      <c r="L25" s="283"/>
      <c r="M25" s="283"/>
      <c r="N25" s="283"/>
      <c r="O25" s="283"/>
      <c r="P25" s="283"/>
    </row>
    <row r="26" spans="1:20" s="262" customFormat="1" ht="15" x14ac:dyDescent="0.2">
      <c r="B26" s="277" t="s">
        <v>5</v>
      </c>
      <c r="C26" s="293">
        <v>1.4500000000000001E-2</v>
      </c>
      <c r="D26" s="294">
        <f>SUM(D$17:D$21)*C26</f>
        <v>3.2391814903846159</v>
      </c>
      <c r="F26" s="296"/>
      <c r="G26" s="297"/>
      <c r="H26" s="283"/>
      <c r="I26" s="283"/>
      <c r="J26" s="283"/>
      <c r="K26" s="283"/>
      <c r="L26" s="283"/>
      <c r="M26" s="283"/>
      <c r="N26" s="283"/>
      <c r="O26" s="283"/>
      <c r="P26" s="283"/>
    </row>
    <row r="27" spans="1:20" s="262" customFormat="1" ht="15" x14ac:dyDescent="0.2">
      <c r="B27" s="277" t="s">
        <v>215</v>
      </c>
      <c r="C27" s="351">
        <v>5.0000000000000001E-3</v>
      </c>
      <c r="D27" s="294">
        <f>SUM(D$17:D$21)*C27</f>
        <v>1.1169591346153847</v>
      </c>
      <c r="F27" s="298"/>
      <c r="G27" s="292"/>
      <c r="H27" s="283"/>
      <c r="I27" s="283"/>
      <c r="J27" s="283"/>
      <c r="K27" s="283"/>
      <c r="L27" s="283"/>
      <c r="M27" s="283"/>
      <c r="N27" s="283"/>
      <c r="O27" s="283"/>
      <c r="P27" s="283"/>
    </row>
    <row r="28" spans="1:20" s="262" customFormat="1" ht="15" x14ac:dyDescent="0.2">
      <c r="B28" s="277" t="s">
        <v>6</v>
      </c>
      <c r="C28" s="351">
        <v>0.02</v>
      </c>
      <c r="D28" s="294">
        <f>SUM(D$17:D$21)*C28</f>
        <v>4.4678365384615386</v>
      </c>
      <c r="F28" s="296"/>
      <c r="G28" s="292"/>
      <c r="H28" s="283"/>
      <c r="I28" s="283"/>
      <c r="J28" s="283"/>
      <c r="K28" s="283"/>
      <c r="L28" s="283"/>
      <c r="M28" s="283"/>
      <c r="N28" s="283"/>
      <c r="O28" s="283"/>
      <c r="P28" s="283"/>
    </row>
    <row r="29" spans="1:20" s="262" customFormat="1" ht="14" x14ac:dyDescent="0.15">
      <c r="B29" s="299" t="s">
        <v>3</v>
      </c>
      <c r="C29" s="300">
        <f>SUM(C25:C28)</f>
        <v>0.10150000000000001</v>
      </c>
      <c r="D29" s="301">
        <f>SUM(D25:D28)</f>
        <v>22.67427043269231</v>
      </c>
      <c r="E29" s="262" t="s">
        <v>286</v>
      </c>
      <c r="G29" s="292"/>
    </row>
    <row r="30" spans="1:20" ht="17" customHeight="1" x14ac:dyDescent="0.15">
      <c r="B30" s="18"/>
    </row>
    <row r="31" spans="1:20" s="262" customFormat="1" ht="14" x14ac:dyDescent="0.15">
      <c r="B31" s="290" t="s">
        <v>19</v>
      </c>
      <c r="C31" s="302" t="s">
        <v>216</v>
      </c>
      <c r="F31" s="296"/>
      <c r="G31" s="292"/>
    </row>
    <row r="32" spans="1:20" s="262" customFormat="1" ht="14" x14ac:dyDescent="0.15">
      <c r="B32" s="277" t="s">
        <v>217</v>
      </c>
      <c r="C32" s="302">
        <f>IF(Sick_Days&gt;0,(Sick_Days*(C18/2080)*10),0)</f>
        <v>1489.2788461538462</v>
      </c>
      <c r="D32" s="322">
        <f>A22*C32</f>
        <v>1489.2788461538462</v>
      </c>
      <c r="F32" s="296"/>
      <c r="G32" s="292"/>
    </row>
    <row r="33" spans="2:9" s="262" customFormat="1" ht="14" x14ac:dyDescent="0.15">
      <c r="B33" s="277" t="s">
        <v>218</v>
      </c>
      <c r="C33" s="302">
        <f>IF(Paid_Leave&gt;0,(Paid_Leave*(C18/2080)*10),0)</f>
        <v>1489.2788461538462</v>
      </c>
      <c r="D33" s="322">
        <f>A22*C33</f>
        <v>1489.2788461538462</v>
      </c>
      <c r="F33" s="296"/>
      <c r="G33" s="292"/>
    </row>
    <row r="34" spans="2:9" s="262" customFormat="1" ht="14" x14ac:dyDescent="0.15">
      <c r="B34" s="303" t="s">
        <v>24</v>
      </c>
      <c r="C34" s="292">
        <f>IF(HealthIns="Yes",E34, "0")</f>
        <v>5496</v>
      </c>
      <c r="D34" s="292">
        <f>SUM(A16,A17,A18,A21)*C34</f>
        <v>5496</v>
      </c>
      <c r="E34" s="304">
        <v>5496</v>
      </c>
      <c r="F34" s="2" t="s">
        <v>112</v>
      </c>
      <c r="G34" s="292"/>
    </row>
    <row r="35" spans="2:9" s="262" customFormat="1" x14ac:dyDescent="0.15">
      <c r="B35" s="287" t="s">
        <v>219</v>
      </c>
      <c r="D35" s="306">
        <f>SUM(D32:D34)</f>
        <v>8474.5576923076915</v>
      </c>
      <c r="F35" s="296"/>
      <c r="G35" s="307"/>
    </row>
    <row r="36" spans="2:9" s="262" customFormat="1" x14ac:dyDescent="0.15">
      <c r="B36" s="303"/>
      <c r="C36" s="305"/>
      <c r="D36" s="292"/>
      <c r="F36" s="296"/>
      <c r="G36" s="307"/>
    </row>
    <row r="37" spans="2:9" s="262" customFormat="1" x14ac:dyDescent="0.15">
      <c r="B37" s="287" t="s">
        <v>220</v>
      </c>
      <c r="C37" s="274"/>
      <c r="D37" s="301">
        <f>D22+D29+D35</f>
        <v>42956.623789663456</v>
      </c>
    </row>
    <row r="38" spans="2:9" ht="12.5" customHeight="1" x14ac:dyDescent="0.15">
      <c r="C38" s="39"/>
      <c r="D38" s="6"/>
      <c r="G38" s="11"/>
    </row>
    <row r="39" spans="2:9" x14ac:dyDescent="0.15">
      <c r="B39" s="65" t="s">
        <v>109</v>
      </c>
      <c r="C39" s="8"/>
      <c r="D39" s="7"/>
      <c r="E39" s="41"/>
      <c r="H39" s="63"/>
      <c r="I39" s="63"/>
    </row>
    <row r="40" spans="2:9" x14ac:dyDescent="0.15">
      <c r="B40" s="21" t="str">
        <f>QualVar!A6</f>
        <v>Family Engagement</v>
      </c>
      <c r="C40" s="8"/>
      <c r="D40" s="6">
        <f>IF('VariablesINPUT-FCC'!D32=QualVar!B6,QualVar!B10,IF('VariablesINPUT-FCC'!D32=QualVar!C6,QualVar!C10,IF('VariablesINPUT-FCC'!D32=QualVar!D6,QualVar!D10,0)))</f>
        <v>0</v>
      </c>
      <c r="E40" s="41"/>
    </row>
    <row r="41" spans="2:9" x14ac:dyDescent="0.15">
      <c r="B41" s="21" t="str">
        <f>QualVar!A12</f>
        <v>Professional Development Supports</v>
      </c>
      <c r="C41" s="8"/>
      <c r="D41" s="6">
        <f>IF('VariablesINPUT-FCC'!D33=QualVar!B12,QualVar!B15,IF('VariablesINPUT-FCC'!D33=QualVar!C12,QualVar!C15,IF('VariablesINPUT-FCC'!D33=QualVar!D12,QualVar!D15,0)))</f>
        <v>0</v>
      </c>
      <c r="E41" s="41"/>
    </row>
    <row r="42" spans="2:9" x14ac:dyDescent="0.15">
      <c r="B42" s="21" t="str">
        <f>QualVar!A17</f>
        <v>Planning/Release Time</v>
      </c>
      <c r="C42" s="8"/>
      <c r="D42" s="6">
        <f>IF('VariablesINPUT-FCC'!D34=QualVar!B17,QualVar!B18,IF('VariablesINPUT-FCC'!D34=QualVar!C17,QualVar!C18,IF('VariablesINPUT-FCC'!D34=QualVar!D17,QualVar!D18,0)))</f>
        <v>0</v>
      </c>
      <c r="E42" s="41"/>
    </row>
    <row r="43" spans="2:9" x14ac:dyDescent="0.15">
      <c r="B43" s="65" t="s">
        <v>110</v>
      </c>
      <c r="C43" s="8"/>
      <c r="D43" s="7"/>
      <c r="E43" s="41"/>
    </row>
    <row r="44" spans="2:9" x14ac:dyDescent="0.15">
      <c r="B44" s="21" t="str">
        <f>B40</f>
        <v>Family Engagement</v>
      </c>
      <c r="C44" s="8"/>
      <c r="D44" s="6">
        <f>IF('VariablesINPUT-FCC'!E32=QualVar!B25,QualVar!B29,
IF('VariablesINPUT-FCC'!E32=QualVar!C25,QualVar!C29,
IF('VariablesINPUT-FCC'!E32=QualVar!D25,QualVar!D29,
IF('VariablesINPUT-FCC'!E32=QualVar!D25,QualVar!E29,0))))</f>
        <v>0</v>
      </c>
      <c r="E44" s="41"/>
    </row>
    <row r="45" spans="2:9" x14ac:dyDescent="0.15">
      <c r="B45" s="21" t="str">
        <f>B41</f>
        <v>Professional Development Supports</v>
      </c>
      <c r="C45" s="8"/>
      <c r="D45" s="6">
        <f>IF('VariablesINPUT-FCC'!E33=QualVar!B31,QualVar!B34,
IF('VariablesINPUT-FCC'!E33=QualVar!C31,QualVar!C34,
IF('VariablesINPUT-FCC'!E33=QualVar!D31,QualVar!D34,
IF('VariablesINPUT-FCC'!E33=QualVar!D31,QualVar!E34,0))))</f>
        <v>0</v>
      </c>
      <c r="E45" s="41"/>
    </row>
    <row r="46" spans="2:9" x14ac:dyDescent="0.15">
      <c r="B46" s="21" t="str">
        <f>B42</f>
        <v>Planning/Release Time</v>
      </c>
      <c r="C46" s="8"/>
      <c r="D46" s="6">
        <f>IF('VariablesINPUT-FCC'!E34=QualVar!B36,QualVar!B37,
IF('VariablesINPUT-FCC'!E34=QualVar!C36,QualVar!C37,
IF('VariablesINPUT-FCC'!E34=QualVar!D36,QualVar!D37,
IF('VariablesINPUT-FCC'!E34=QualVar!D36,QualVar!E37,0))))</f>
        <v>0</v>
      </c>
      <c r="E46" s="41"/>
    </row>
    <row r="47" spans="2:9" x14ac:dyDescent="0.15">
      <c r="B47" s="10" t="s">
        <v>111</v>
      </c>
      <c r="C47" s="8"/>
      <c r="D47" s="377">
        <f>SUM(D40:D46)</f>
        <v>0</v>
      </c>
      <c r="H47" s="18"/>
    </row>
    <row r="48" spans="2:9" x14ac:dyDescent="0.15">
      <c r="B48" s="10"/>
      <c r="C48" s="8"/>
      <c r="D48" s="7"/>
      <c r="E48" s="41"/>
      <c r="H48" s="18"/>
    </row>
    <row r="49" spans="1:13" s="262" customFormat="1" ht="35" thickBot="1" x14ac:dyDescent="0.25">
      <c r="B49" s="308" t="s">
        <v>221</v>
      </c>
      <c r="C49" s="309"/>
      <c r="D49" s="272"/>
      <c r="E49" s="310"/>
      <c r="F49" s="272"/>
      <c r="G49" s="272"/>
    </row>
    <row r="50" spans="1:13" s="262" customFormat="1" ht="14" x14ac:dyDescent="0.15">
      <c r="B50" s="277" t="s">
        <v>222</v>
      </c>
      <c r="E50" s="292"/>
    </row>
    <row r="51" spans="1:13" s="262" customFormat="1" ht="14" x14ac:dyDescent="0.15">
      <c r="B51" s="277" t="s">
        <v>223</v>
      </c>
      <c r="D51" s="292">
        <f>'Nonpersonnel PCQC'!B38</f>
        <v>3363.7399999999993</v>
      </c>
      <c r="I51" s="15"/>
      <c r="J51" s="15"/>
    </row>
    <row r="52" spans="1:13" s="262" customFormat="1" ht="14" x14ac:dyDescent="0.15">
      <c r="B52" s="277" t="s">
        <v>224</v>
      </c>
      <c r="D52" s="292">
        <f>'Nonpersonnel PCQC'!C40*TotalChildren</f>
        <v>7277.1333333333341</v>
      </c>
    </row>
    <row r="53" spans="1:13" s="262" customFormat="1" ht="14" x14ac:dyDescent="0.15">
      <c r="B53" s="311" t="s">
        <v>13</v>
      </c>
      <c r="D53" s="292">
        <f>'Nonpersonnel PCQC'!B39</f>
        <v>3368.9352678571427</v>
      </c>
    </row>
    <row r="54" spans="1:13" s="262" customFormat="1" ht="14" x14ac:dyDescent="0.15">
      <c r="B54" s="311" t="s">
        <v>282</v>
      </c>
      <c r="D54" s="292">
        <f>900*Schoolagers</f>
        <v>1800</v>
      </c>
    </row>
    <row r="55" spans="1:13" s="262" customFormat="1" x14ac:dyDescent="0.15">
      <c r="B55" s="287" t="s">
        <v>225</v>
      </c>
      <c r="D55" s="378">
        <f>SUM(D51:D53)</f>
        <v>14009.808601190476</v>
      </c>
    </row>
    <row r="56" spans="1:13" ht="13" customHeight="1" x14ac:dyDescent="0.15">
      <c r="A56" s="38"/>
      <c r="B56" s="21" t="s">
        <v>0</v>
      </c>
      <c r="D56" s="17">
        <f>E56*(D37+QualityVarCost+D55)</f>
        <v>0</v>
      </c>
      <c r="E56" s="236">
        <v>0</v>
      </c>
      <c r="F56" s="2" t="s">
        <v>1</v>
      </c>
      <c r="K56" s="18"/>
      <c r="L56" s="18"/>
      <c r="M56" s="6"/>
    </row>
    <row r="57" spans="1:13" ht="13" customHeight="1" x14ac:dyDescent="0.15">
      <c r="A57" s="38"/>
      <c r="B57" s="21"/>
      <c r="D57" s="17"/>
      <c r="E57" s="41"/>
      <c r="K57" s="18"/>
      <c r="L57" s="18"/>
      <c r="M57" s="6"/>
    </row>
    <row r="58" spans="1:13" x14ac:dyDescent="0.15">
      <c r="A58" s="46"/>
      <c r="C58" s="10" t="s">
        <v>20</v>
      </c>
      <c r="D58" s="28">
        <f>SUM(D37,QualityVarCost,D55,Reserve_Fund)</f>
        <v>56966.43239085393</v>
      </c>
      <c r="E58" s="17">
        <f>D58-D54</f>
        <v>55166.43239085393</v>
      </c>
      <c r="G58" s="46"/>
    </row>
    <row r="59" spans="1:13" x14ac:dyDescent="0.15">
      <c r="D59" s="17"/>
      <c r="G59" s="63"/>
      <c r="K59" s="63"/>
      <c r="L59" s="63"/>
    </row>
    <row r="60" spans="1:13" ht="14" x14ac:dyDescent="0.15">
      <c r="B60" s="172" t="s">
        <v>190</v>
      </c>
      <c r="C60" s="385" t="str">
        <f>'VariablesINPUT-FCC'!I64</f>
        <v>Urban</v>
      </c>
      <c r="D60" s="389" t="s">
        <v>281</v>
      </c>
      <c r="E60" s="252"/>
      <c r="H60" s="252" t="s">
        <v>117</v>
      </c>
      <c r="I60" s="252" t="s">
        <v>116</v>
      </c>
      <c r="J60" s="252" t="s">
        <v>115</v>
      </c>
    </row>
    <row r="61" spans="1:13" ht="14" x14ac:dyDescent="0.15">
      <c r="B61" s="172" t="s">
        <v>191</v>
      </c>
      <c r="C61" s="385" t="str">
        <f>'VariablesINPUT-FCC'!J64</f>
        <v>Statewide</v>
      </c>
      <c r="D61" s="389" t="s">
        <v>281</v>
      </c>
      <c r="I61" s="252" t="s">
        <v>114</v>
      </c>
      <c r="J61" s="252" t="s">
        <v>185</v>
      </c>
      <c r="K61" s="252" t="s">
        <v>186</v>
      </c>
      <c r="L61" s="252" t="s">
        <v>187</v>
      </c>
      <c r="M61" s="252" t="s">
        <v>188</v>
      </c>
    </row>
    <row r="62" spans="1:13" x14ac:dyDescent="0.15">
      <c r="A62" s="15" t="s">
        <v>155</v>
      </c>
      <c r="C62" s="18"/>
      <c r="D62" s="188"/>
      <c r="E62" s="189"/>
      <c r="F62" s="46"/>
      <c r="G62" s="46"/>
      <c r="H62" s="46"/>
      <c r="I62" s="186"/>
    </row>
    <row r="63" spans="1:13" x14ac:dyDescent="0.15">
      <c r="A63" s="249">
        <f>SUM(A65:A72)</f>
        <v>8</v>
      </c>
      <c r="B63" s="1" t="s">
        <v>139</v>
      </c>
      <c r="C63" s="1" t="s">
        <v>230</v>
      </c>
      <c r="D63" s="376" t="s">
        <v>9</v>
      </c>
      <c r="E63" s="46"/>
      <c r="F63" s="46" t="s">
        <v>279</v>
      </c>
      <c r="G63" s="46" t="s">
        <v>280</v>
      </c>
      <c r="H63" s="46"/>
      <c r="I63" s="186"/>
    </row>
    <row r="64" spans="1:13" x14ac:dyDescent="0.15">
      <c r="A64" s="45">
        <f>'VariablesINPUT-FCC'!H56</f>
        <v>2</v>
      </c>
      <c r="B64" s="15" t="s">
        <v>148</v>
      </c>
      <c r="C64" s="19">
        <f>'VariablesINPUT-FCC'!B15*AVERAGE('Fed CACFP'!J8:J9)*52</f>
        <v>8382.4000000000015</v>
      </c>
      <c r="D64" s="251">
        <f>C64</f>
        <v>8382.4000000000015</v>
      </c>
      <c r="E64" s="187"/>
      <c r="F64" s="330" t="s">
        <v>228</v>
      </c>
      <c r="G64" s="331" t="s">
        <v>229</v>
      </c>
      <c r="H64" s="46"/>
      <c r="I64" s="186"/>
    </row>
    <row r="65" spans="1:9" x14ac:dyDescent="0.15">
      <c r="A65" s="45">
        <f>'VariablesINPUT-FCC'!H50</f>
        <v>2</v>
      </c>
      <c r="B65" s="15" t="s">
        <v>149</v>
      </c>
      <c r="C65" s="15">
        <f>IF('VariablesINPUT-FCC'!C$7="Certified FCC",F65,G65)</f>
        <v>9600</v>
      </c>
      <c r="D65" s="243">
        <f>A65*C65</f>
        <v>19200</v>
      </c>
      <c r="E65" s="17"/>
      <c r="F65" s="24">
        <f>IF(C$61="Statewide",'Tuition Rates'!B3,IF(C$61="Cluster 1",'Tuition Rates'!B11,IF(C$61="Cluster 2",'Tuition Rates'!C11,IF(C$61="Cluster 3",'Tuition Rates'!D11,))))*12</f>
        <v>15600</v>
      </c>
      <c r="G65" s="329">
        <f>IF(C$61="Statewide",'Tuition Rates'!C3,IF(C$61="Cluster 1",'Tuition Rates'!B19,IF(C$61="Cluster 2",'Tuition Rates'!C19,IF(C$61="Cluster 3",'Tuition Rates'!D19,IF(C$61="Cluster 4",'Tuition Rates'!E19)))))*12</f>
        <v>9600</v>
      </c>
    </row>
    <row r="66" spans="1:9" x14ac:dyDescent="0.15">
      <c r="A66" s="45">
        <f>'VariablesINPUT-FCC'!H51</f>
        <v>0</v>
      </c>
      <c r="B66" s="15" t="s">
        <v>150</v>
      </c>
      <c r="C66" s="15">
        <f>IF('VariablesINPUT-FCC'!C$7="Certified FCC",F66,G66)</f>
        <v>8400</v>
      </c>
      <c r="D66" s="243">
        <f t="shared" ref="D66:D68" si="2">A66*C66</f>
        <v>0</v>
      </c>
      <c r="E66" s="17"/>
      <c r="F66" s="24">
        <f>IF(C$61="Statewide",'Tuition Rates'!B4,IF(C$61="Cluster 1",'Tuition Rates'!B12,IF(C$61="Cluster 2",'Tuition Rates'!C12,IF(C$61="Cluster 3",'Tuition Rates'!D12,))))*12</f>
        <v>14400</v>
      </c>
      <c r="G66" s="329">
        <f>IF(C$61="Statewide",'Tuition Rates'!C4,IF(C$61="Cluster 1",'Tuition Rates'!B20,IF(C$61="Cluster 2",'Tuition Rates'!C20,IF(C$61="Cluster 3",'Tuition Rates'!D20,IF(C$61="Cluster 4",'Tuition Rates'!E20)))))*12</f>
        <v>8400</v>
      </c>
    </row>
    <row r="67" spans="1:9" x14ac:dyDescent="0.15">
      <c r="A67" s="45">
        <f>'VariablesINPUT-FCC'!H52</f>
        <v>2</v>
      </c>
      <c r="B67" s="15" t="s">
        <v>151</v>
      </c>
      <c r="C67" s="15">
        <f>IF('VariablesINPUT-FCC'!C$7="Certified FCC",F67,G67)</f>
        <v>8400</v>
      </c>
      <c r="D67" s="243">
        <f t="shared" si="2"/>
        <v>16800</v>
      </c>
      <c r="E67" s="17"/>
      <c r="F67" s="24">
        <f>IF(C$61="Statewide",'Tuition Rates'!B5,IF(C$61="Cluster 1",'Tuition Rates'!B13,IF(C$61="Cluster 2",'Tuition Rates'!C13,IF(C$61="Cluster 3",'Tuition Rates'!D13,))))*12</f>
        <v>12528</v>
      </c>
      <c r="G67" s="329">
        <f>IF(C$61="Statewide",'Tuition Rates'!C5,IF(C$61="Cluster 1",'Tuition Rates'!B21,IF(C$61="Cluster 2",'Tuition Rates'!C21,IF(C$61="Cluster 3",'Tuition Rates'!D21,IF(C$61="Cluster 4",'Tuition Rates'!E21)))))*12</f>
        <v>8400</v>
      </c>
    </row>
    <row r="68" spans="1:9" x14ac:dyDescent="0.15">
      <c r="A68" s="45">
        <f>'VariablesINPUT-FCC'!H53</f>
        <v>2</v>
      </c>
      <c r="B68" s="15" t="s">
        <v>152</v>
      </c>
      <c r="C68" s="15">
        <f>IF('VariablesINPUT-FCC'!C$7="Certified FCC",F68,G68)</f>
        <v>7200</v>
      </c>
      <c r="D68" s="243">
        <f t="shared" si="2"/>
        <v>14400</v>
      </c>
      <c r="E68" s="17"/>
      <c r="F68" s="24">
        <f>IF(C$61="Statewide",'Tuition Rates'!B6,IF(C$61="Cluster 1",'Tuition Rates'!B14,IF(C$61="Cluster 2",'Tuition Rates'!C14,IF(C$61="Cluster 3",'Tuition Rates'!D14,))))*12</f>
        <v>9000</v>
      </c>
      <c r="G68" s="329">
        <f>IF(C$61="Statewide",'Tuition Rates'!C6,IF(C$61="Cluster 1",'Tuition Rates'!B22,IF(C$61="Cluster 2",'Tuition Rates'!C22,IF(C$61="Cluster 3",'Tuition Rates'!D22,IF(C$61="Cluster 4",'Tuition Rates'!E22)))))*12</f>
        <v>7200</v>
      </c>
    </row>
    <row r="69" spans="1:9" x14ac:dyDescent="0.15">
      <c r="A69" s="45">
        <f>'VariablesINPUT-FCC'!C50</f>
        <v>0</v>
      </c>
      <c r="B69" s="15" t="s">
        <v>156</v>
      </c>
      <c r="C69" s="15">
        <f>IF('VariablesINPUT-FCC'!C$7="Certified FCC",F69,G69)</f>
        <v>9600</v>
      </c>
      <c r="D69" s="243">
        <f>A69*C69</f>
        <v>0</v>
      </c>
      <c r="E69" s="17"/>
      <c r="F69" s="24">
        <f>IF(C$60="Urban",'Subsidy Rates'!G3,IF(C$60="Suburban",'Subsidy Rates'!G12,'Subsidy Rates'!G21))*12</f>
        <v>15048</v>
      </c>
      <c r="G69" s="329">
        <f>IF(C$60="Urban",'Subsidy Rates'!F3,IF(C$60="Suburban",'Subsidy Rates'!F12,'Subsidy Rates'!F21))*12</f>
        <v>9600</v>
      </c>
    </row>
    <row r="70" spans="1:9" x14ac:dyDescent="0.15">
      <c r="A70" s="45">
        <f>'VariablesINPUT-FCC'!C51</f>
        <v>2</v>
      </c>
      <c r="B70" s="15" t="s">
        <v>157</v>
      </c>
      <c r="C70" s="15">
        <f>IF('VariablesINPUT-FCC'!C$7="Certified FCC",F70,G70)</f>
        <v>9000</v>
      </c>
      <c r="D70" s="243">
        <f>A70*C70</f>
        <v>18000</v>
      </c>
      <c r="E70" s="17"/>
      <c r="F70" s="24">
        <f>IF(C$60="Urban",'Subsidy Rates'!G4,IF(C$60="Suburban",'Subsidy Rates'!G13,'Subsidy Rates'!G22))*12</f>
        <v>13680</v>
      </c>
      <c r="G70" s="329">
        <f>IF(C$60="Urban",'Subsidy Rates'!F4,IF(C$60="Suburban",'Subsidy Rates'!F13,'Subsidy Rates'!F22))*12</f>
        <v>9000</v>
      </c>
    </row>
    <row r="71" spans="1:9" x14ac:dyDescent="0.15">
      <c r="A71" s="45">
        <f>'VariablesINPUT-FCC'!C52</f>
        <v>0</v>
      </c>
      <c r="B71" s="15" t="s">
        <v>158</v>
      </c>
      <c r="C71" s="15">
        <f>IF('VariablesINPUT-FCC'!C$7="Certified FCC",F71,G71)</f>
        <v>8760</v>
      </c>
      <c r="D71" s="243">
        <f t="shared" ref="D71:D77" si="3">A71*C71</f>
        <v>0</v>
      </c>
      <c r="E71" s="17"/>
      <c r="F71" s="24">
        <f>IF(C$60="Urban",'Subsidy Rates'!G5,IF(C$60="Suburban",'Subsidy Rates'!G14,'Subsidy Rates'!G23))*12</f>
        <v>12000</v>
      </c>
      <c r="G71" s="329">
        <f>IF(C$60="Urban",'Subsidy Rates'!F5,IF(C$60="Suburban",'Subsidy Rates'!F14,'Subsidy Rates'!F23))*12</f>
        <v>8760</v>
      </c>
    </row>
    <row r="72" spans="1:9" x14ac:dyDescent="0.15">
      <c r="A72" s="45">
        <f>'VariablesINPUT-FCC'!C53</f>
        <v>0</v>
      </c>
      <c r="B72" s="15" t="s">
        <v>159</v>
      </c>
      <c r="C72" s="15">
        <f>IF('VariablesINPUT-FCC'!C$7="Certified FCC",F72,G72)</f>
        <v>5496</v>
      </c>
      <c r="D72" s="243">
        <f t="shared" si="3"/>
        <v>0</v>
      </c>
      <c r="E72" s="17"/>
      <c r="F72" s="24">
        <f>IF(C$60="Urban",'Subsidy Rates'!J6,IF(C$60="Suburban",'Subsidy Rates'!J15,'Subsidy Rates'!J24))*12</f>
        <v>6756</v>
      </c>
      <c r="G72" s="329">
        <f>IF(C$60="Urban",'Subsidy Rates'!I6,IF(C$60="Suburban",'Subsidy Rates'!I15,'Subsidy Rates'!I24))*12</f>
        <v>5496</v>
      </c>
      <c r="H72" s="15" t="s">
        <v>284</v>
      </c>
    </row>
    <row r="73" spans="1:9" x14ac:dyDescent="0.15">
      <c r="A73" s="45">
        <f>'VariablesINPUT-FCC'!C54</f>
        <v>0</v>
      </c>
      <c r="B73" s="15" t="s">
        <v>258</v>
      </c>
      <c r="C73" s="15">
        <f>IF('VariablesINPUT-FCC'!C$7="Certified FCC",F73,G73)</f>
        <v>9600</v>
      </c>
      <c r="D73" s="243">
        <f t="shared" si="3"/>
        <v>0</v>
      </c>
      <c r="E73" s="17"/>
      <c r="F73" s="24">
        <f>IF(C$60="Urban",'Subsidy Rates'!G7,IF(C$60="Suburban",'Subsidy Rates'!G16,'Subsidy Rates'!G25))*12</f>
        <v>15048</v>
      </c>
      <c r="G73" s="329">
        <f>IF(C$60="Urban",'Subsidy Rates'!F7,IF(C$60="Suburban",'Subsidy Rates'!F16,'Subsidy Rates'!F25))*12</f>
        <v>9600</v>
      </c>
    </row>
    <row r="74" spans="1:9" x14ac:dyDescent="0.15">
      <c r="A74" s="45">
        <f>SUM('VariablesINPUT-FCC'!D50:D51)</f>
        <v>0</v>
      </c>
      <c r="B74" s="15" t="s">
        <v>76</v>
      </c>
      <c r="C74" s="243">
        <f>'Promise Rates'!B2</f>
        <v>15000</v>
      </c>
      <c r="D74" s="243">
        <f t="shared" si="3"/>
        <v>0</v>
      </c>
      <c r="E74" s="17"/>
      <c r="F74" s="43"/>
      <c r="G74" s="194"/>
    </row>
    <row r="75" spans="1:9" x14ac:dyDescent="0.15">
      <c r="A75" s="45">
        <f>SUM('VariablesINPUT-FCC'!E50:E51)</f>
        <v>0</v>
      </c>
      <c r="B75" s="15" t="s">
        <v>143</v>
      </c>
      <c r="C75" s="243">
        <f>'Promise Rates'!B3</f>
        <v>13300</v>
      </c>
      <c r="D75" s="243">
        <f>A75*C75</f>
        <v>0</v>
      </c>
      <c r="E75" s="17"/>
    </row>
    <row r="76" spans="1:9" x14ac:dyDescent="0.15">
      <c r="A76" s="45">
        <f>'VariablesINPUT-FCC'!F52</f>
        <v>0</v>
      </c>
      <c r="B76" s="15" t="s">
        <v>77</v>
      </c>
      <c r="C76" s="243">
        <f>'Promise Rates'!B5</f>
        <v>12000</v>
      </c>
      <c r="D76" s="243">
        <f t="shared" si="3"/>
        <v>0</v>
      </c>
      <c r="E76" s="17"/>
    </row>
    <row r="77" spans="1:9" x14ac:dyDescent="0.15">
      <c r="A77" s="45">
        <f>'VariablesINPUT-FCC'!G52</f>
        <v>0</v>
      </c>
      <c r="B77" s="15" t="s">
        <v>197</v>
      </c>
      <c r="C77" s="243">
        <f>'Promise Rates'!B7</f>
        <v>9208</v>
      </c>
      <c r="D77" s="243">
        <f t="shared" si="3"/>
        <v>0</v>
      </c>
      <c r="E77" s="17"/>
    </row>
    <row r="78" spans="1:9" ht="14" thickBot="1" x14ac:dyDescent="0.2">
      <c r="B78" s="15" t="s">
        <v>153</v>
      </c>
      <c r="D78" s="244"/>
      <c r="E78" s="17"/>
    </row>
    <row r="79" spans="1:9" x14ac:dyDescent="0.15">
      <c r="B79" s="14"/>
      <c r="D79" s="250">
        <f>SUM(D64:D78)</f>
        <v>76782.399999999994</v>
      </c>
      <c r="E79" s="16" t="s">
        <v>154</v>
      </c>
      <c r="H79" s="52" t="s">
        <v>27</v>
      </c>
      <c r="I79" s="238"/>
    </row>
    <row r="80" spans="1:9" x14ac:dyDescent="0.15">
      <c r="H80" s="53" t="s">
        <v>41</v>
      </c>
      <c r="I80" s="239">
        <f>C7*Infants</f>
        <v>15630.489177408614</v>
      </c>
    </row>
    <row r="81" spans="2:9" x14ac:dyDescent="0.15">
      <c r="B81" s="184" t="s">
        <v>179</v>
      </c>
      <c r="C81" s="46"/>
      <c r="D81" s="46"/>
      <c r="E81" s="46"/>
      <c r="F81" s="46"/>
      <c r="H81" s="53" t="s">
        <v>42</v>
      </c>
      <c r="I81" s="239">
        <f>C8*Toddlers</f>
        <v>15630.489177408614</v>
      </c>
    </row>
    <row r="82" spans="2:9" x14ac:dyDescent="0.15">
      <c r="B82" s="46" t="s">
        <v>180</v>
      </c>
      <c r="C82" s="185">
        <f>BadDebt</f>
        <v>0.03</v>
      </c>
      <c r="D82" s="186">
        <f>C82*(D79-D78)</f>
        <v>2303.4719999999998</v>
      </c>
      <c r="E82" s="46"/>
      <c r="F82" s="46"/>
      <c r="H82" s="53" t="s">
        <v>43</v>
      </c>
      <c r="I82" s="239">
        <f>C9*Preschoolers</f>
        <v>15630.489177408614</v>
      </c>
    </row>
    <row r="83" spans="2:9" x14ac:dyDescent="0.15">
      <c r="B83" s="46" t="s">
        <v>181</v>
      </c>
      <c r="C83" s="185">
        <f>EnrollEffic</f>
        <v>0.85</v>
      </c>
      <c r="D83" s="187">
        <f>(1-C83)*(D79-D82-D78)</f>
        <v>11171.839200000002</v>
      </c>
      <c r="E83" s="46"/>
      <c r="F83" s="46"/>
      <c r="H83" s="53" t="s">
        <v>79</v>
      </c>
      <c r="I83" s="245">
        <f>C10*Schoolagers</f>
        <v>10074.964858628089</v>
      </c>
    </row>
    <row r="84" spans="2:9" x14ac:dyDescent="0.15">
      <c r="B84" s="46"/>
      <c r="C84" s="188"/>
      <c r="D84" s="189">
        <f>D79-D82-D83</f>
        <v>63307.088799999998</v>
      </c>
      <c r="E84" s="190" t="s">
        <v>182</v>
      </c>
      <c r="F84" s="46"/>
      <c r="H84" s="54" t="s">
        <v>9</v>
      </c>
      <c r="I84" s="240">
        <f>SUM(I80:I83)</f>
        <v>56966.43239085393</v>
      </c>
    </row>
    <row r="85" spans="2:9" ht="14" thickBot="1" x14ac:dyDescent="0.2">
      <c r="B85" s="191" t="s">
        <v>183</v>
      </c>
      <c r="C85" s="191"/>
      <c r="D85" s="192">
        <f>D84-D58</f>
        <v>6340.6564091460677</v>
      </c>
      <c r="E85" s="193">
        <f>D85/D58</f>
        <v>0.11130513432264844</v>
      </c>
      <c r="F85" s="191" t="s">
        <v>1</v>
      </c>
      <c r="H85" s="241"/>
      <c r="I85" s="242">
        <f>I84-D58</f>
        <v>0</v>
      </c>
    </row>
  </sheetData>
  <mergeCells count="1">
    <mergeCell ref="E12:I12"/>
  </mergeCells>
  <phoneticPr fontId="8" type="noConversion"/>
  <conditionalFormatting sqref="I85">
    <cfRule type="cellIs" dxfId="1" priority="1" operator="lessThan">
      <formula>0</formula>
    </cfRule>
  </conditionalFormatting>
  <pageMargins left="0.25" right="0.25" top="0.25" bottom="0.25" header="0" footer="0"/>
  <pageSetup paperSize="5" scale="92" orientation="landscape" horizontalDpi="4294967293" verticalDpi="0" r:id="rId1"/>
  <headerFooter alignWithMargins="0"/>
  <colBreaks count="1" manualBreakCount="1">
    <brk id="1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C251E-1BF8-4B44-BD6C-784F548B1194}">
  <sheetPr>
    <tabColor theme="6" tint="0.59999389629810485"/>
  </sheetPr>
  <dimension ref="A1:T67"/>
  <sheetViews>
    <sheetView topLeftCell="A26" zoomScale="130" zoomScaleNormal="130" workbookViewId="0">
      <selection activeCell="C18" sqref="C18"/>
    </sheetView>
  </sheetViews>
  <sheetFormatPr baseColWidth="10" defaultColWidth="8.83203125" defaultRowHeight="13" x14ac:dyDescent="0.15"/>
  <cols>
    <col min="1" max="1" width="7.5" style="15" customWidth="1"/>
    <col min="2" max="2" width="44.5" style="15" customWidth="1"/>
    <col min="3" max="3" width="12.33203125" style="15" customWidth="1"/>
    <col min="4" max="4" width="12.6640625" style="15" customWidth="1"/>
    <col min="5" max="5" width="11.1640625" style="15" customWidth="1"/>
    <col min="6" max="6" width="12" style="15" customWidth="1"/>
    <col min="7" max="7" width="11.83203125" style="15" customWidth="1"/>
    <col min="8" max="8" width="13.1640625" style="15" customWidth="1"/>
    <col min="9" max="9" width="14.83203125" style="15" customWidth="1"/>
    <col min="10" max="10" width="14.1640625" style="15" customWidth="1"/>
    <col min="11" max="12" width="10.5" style="15" customWidth="1"/>
    <col min="13" max="13" width="10" style="15" customWidth="1"/>
    <col min="14" max="14" width="9.5" style="15" customWidth="1"/>
    <col min="15" max="15" width="12.83203125" style="15" customWidth="1"/>
    <col min="16" max="16" width="13.1640625" style="15" customWidth="1"/>
    <col min="17" max="17" width="8.1640625" style="15" customWidth="1"/>
    <col min="18" max="18" width="5.5" style="15" customWidth="1"/>
    <col min="19" max="19" width="11.5" style="15" customWidth="1"/>
    <col min="20" max="16384" width="8.83203125" style="15"/>
  </cols>
  <sheetData>
    <row r="1" spans="1:20" ht="16.5" customHeight="1" x14ac:dyDescent="0.15">
      <c r="A1" s="1" t="s">
        <v>39</v>
      </c>
      <c r="B1" s="230"/>
      <c r="C1" s="1"/>
      <c r="D1" s="1"/>
      <c r="E1" s="1"/>
      <c r="F1" s="1"/>
      <c r="G1" s="1"/>
    </row>
    <row r="2" spans="1:20" x14ac:dyDescent="0.15">
      <c r="A2" s="2"/>
      <c r="B2" s="2" t="s">
        <v>2</v>
      </c>
      <c r="E2" s="231"/>
      <c r="F2" s="15" t="s">
        <v>23</v>
      </c>
    </row>
    <row r="3" spans="1:20" x14ac:dyDescent="0.15">
      <c r="A3" s="2"/>
      <c r="B3" s="2" t="s">
        <v>7</v>
      </c>
      <c r="E3" s="232"/>
      <c r="F3" s="15" t="s">
        <v>22</v>
      </c>
    </row>
    <row r="4" spans="1:20" x14ac:dyDescent="0.15">
      <c r="A4" s="12" t="s">
        <v>239</v>
      </c>
      <c r="B4" s="233"/>
      <c r="C4" s="233"/>
      <c r="D4" s="233"/>
      <c r="E4" s="233"/>
      <c r="F4" s="233"/>
      <c r="G4" s="233"/>
      <c r="H4" s="234"/>
      <c r="I4" s="234"/>
    </row>
    <row r="5" spans="1:20" x14ac:dyDescent="0.15">
      <c r="K5" s="89"/>
      <c r="L5" s="89"/>
      <c r="M5" s="89"/>
      <c r="N5" s="89"/>
      <c r="O5" s="89"/>
      <c r="P5" s="2"/>
    </row>
    <row r="6" spans="1:20" ht="25.5" customHeight="1" x14ac:dyDescent="0.15">
      <c r="B6" s="1" t="s">
        <v>4</v>
      </c>
      <c r="C6" s="50" t="s">
        <v>10</v>
      </c>
      <c r="D6" s="1" t="s">
        <v>11</v>
      </c>
      <c r="E6" s="1" t="s">
        <v>208</v>
      </c>
      <c r="G6" s="340" t="s">
        <v>231</v>
      </c>
      <c r="H6" s="341" t="s">
        <v>232</v>
      </c>
      <c r="I6" s="342"/>
      <c r="J6" s="343"/>
      <c r="K6" s="200"/>
      <c r="L6" s="200"/>
      <c r="M6" s="200"/>
      <c r="N6" s="200"/>
      <c r="O6" s="200"/>
      <c r="P6" s="200"/>
    </row>
    <row r="7" spans="1:20" ht="14" customHeight="1" x14ac:dyDescent="0.15">
      <c r="A7" s="15">
        <f>'VariablesINPUT-FCC'!B11</f>
        <v>2</v>
      </c>
      <c r="B7" s="15" t="str">
        <f>'VariablesINPUT-FCC'!C11</f>
        <v>Infants</v>
      </c>
      <c r="C7" s="235">
        <f>H7</f>
        <v>7874.7777777777783</v>
      </c>
      <c r="D7" s="235">
        <f>C7/12</f>
        <v>656.23148148148152</v>
      </c>
      <c r="E7" s="261">
        <f>C7*A7</f>
        <v>15749.555555555557</v>
      </c>
      <c r="F7" s="260"/>
      <c r="G7" s="344">
        <f>$D$45/A$11*Infants/Infants</f>
        <v>6948.3333333333339</v>
      </c>
      <c r="H7" s="345">
        <f>SUM(G7,J10)</f>
        <v>7874.7777777777783</v>
      </c>
      <c r="I7" s="342"/>
      <c r="J7" s="343"/>
      <c r="K7" s="196"/>
      <c r="L7" s="196"/>
      <c r="M7" s="197"/>
      <c r="N7" s="197"/>
      <c r="O7" s="198"/>
      <c r="P7" s="186"/>
      <c r="Q7" s="186"/>
    </row>
    <row r="8" spans="1:20" ht="14" customHeight="1" x14ac:dyDescent="0.2">
      <c r="A8" s="15">
        <f>'VariablesINPUT-FCC'!B12</f>
        <v>2</v>
      </c>
      <c r="B8" s="15" t="str">
        <f>'VariablesINPUT-FCC'!C12</f>
        <v>Toddlers</v>
      </c>
      <c r="C8" s="235">
        <f t="shared" ref="C8:C10" si="0">H8</f>
        <v>7874.7777777777783</v>
      </c>
      <c r="D8" s="235">
        <f>C8/12</f>
        <v>656.23148148148152</v>
      </c>
      <c r="E8" s="261">
        <f t="shared" ref="E8:E10" si="1">C8*A8</f>
        <v>15749.555555555557</v>
      </c>
      <c r="F8" s="260"/>
      <c r="G8" s="390">
        <f>$D$45/A$11*Toddlers/Toddlers</f>
        <v>6948.3333333333339</v>
      </c>
      <c r="H8" s="345">
        <f>SUM(G8,J10)</f>
        <v>7874.7777777777783</v>
      </c>
      <c r="I8" s="342"/>
      <c r="J8" s="346"/>
      <c r="K8" s="196"/>
      <c r="L8" s="196"/>
      <c r="M8" s="197"/>
      <c r="N8" s="197"/>
      <c r="O8" s="198"/>
      <c r="P8" s="186"/>
      <c r="Q8" s="46"/>
    </row>
    <row r="9" spans="1:20" ht="14" customHeight="1" x14ac:dyDescent="0.2">
      <c r="A9" s="15">
        <f>'VariablesINPUT-FCC'!B13</f>
        <v>2</v>
      </c>
      <c r="B9" s="15" t="str">
        <f>'VariablesINPUT-FCC'!C13</f>
        <v>Preschoolers</v>
      </c>
      <c r="C9" s="235">
        <f t="shared" si="0"/>
        <v>7874.7777777777783</v>
      </c>
      <c r="D9" s="235">
        <f>C9/12</f>
        <v>656.23148148148152</v>
      </c>
      <c r="E9" s="261">
        <f t="shared" si="1"/>
        <v>15749.555555555557</v>
      </c>
      <c r="F9" s="260"/>
      <c r="G9" s="391">
        <f>$D$45/A$11*Preschoolers/Preschoolers</f>
        <v>6948.3333333333339</v>
      </c>
      <c r="H9" s="345">
        <f>SUM(G9,J10)</f>
        <v>7874.7777777777783</v>
      </c>
      <c r="I9" s="342"/>
      <c r="J9" s="346"/>
      <c r="K9" s="196"/>
      <c r="L9" s="197"/>
      <c r="M9" s="197"/>
      <c r="N9" s="197"/>
      <c r="O9" s="198"/>
      <c r="P9" s="186"/>
      <c r="Q9" s="46"/>
    </row>
    <row r="10" spans="1:20" ht="14" customHeight="1" x14ac:dyDescent="0.15">
      <c r="A10" s="15">
        <f>'VariablesINPUT-FCC'!B14</f>
        <v>2</v>
      </c>
      <c r="B10" s="15" t="str">
        <f>'VariablesINPUT-FCC'!C14</f>
        <v>School age</v>
      </c>
      <c r="C10" s="235">
        <f t="shared" si="0"/>
        <v>8338</v>
      </c>
      <c r="D10" s="235">
        <f>C10/12</f>
        <v>694.83333333333337</v>
      </c>
      <c r="E10" s="261">
        <f t="shared" si="1"/>
        <v>16676</v>
      </c>
      <c r="F10" s="260"/>
      <c r="G10" s="392">
        <f>$D$45/A$11*Schoolagers</f>
        <v>13896.666666666668</v>
      </c>
      <c r="H10" s="345">
        <f>G10*60%</f>
        <v>8338</v>
      </c>
      <c r="I10" s="349">
        <f>G10-H10</f>
        <v>5558.6666666666679</v>
      </c>
      <c r="J10" s="350">
        <f>I10/SUM(A7:A9)</f>
        <v>926.44444444444468</v>
      </c>
      <c r="K10" s="196"/>
      <c r="L10" s="196"/>
      <c r="M10" s="196"/>
      <c r="N10" s="196"/>
      <c r="O10" s="199"/>
      <c r="P10" s="186"/>
      <c r="Q10" s="46"/>
    </row>
    <row r="11" spans="1:20" ht="14" customHeight="1" x14ac:dyDescent="0.15">
      <c r="A11" s="27">
        <f>SUM(A7:A10)</f>
        <v>8</v>
      </c>
      <c r="B11" s="47"/>
      <c r="C11" s="47"/>
      <c r="D11" s="47"/>
      <c r="E11" s="339">
        <f>SUM(E7:E10)</f>
        <v>63924.666666666672</v>
      </c>
      <c r="H11" s="6"/>
      <c r="J11" s="195"/>
      <c r="K11" s="201"/>
      <c r="L11" s="201"/>
      <c r="M11" s="201"/>
      <c r="N11" s="248"/>
      <c r="O11" s="201"/>
      <c r="P11" s="186"/>
      <c r="Q11" s="46"/>
    </row>
    <row r="12" spans="1:20" ht="26" customHeight="1" x14ac:dyDescent="0.15">
      <c r="D12" s="41"/>
      <c r="E12" s="413"/>
      <c r="F12" s="413"/>
      <c r="G12" s="413"/>
      <c r="H12" s="413"/>
      <c r="I12" s="413"/>
      <c r="J12" s="46"/>
      <c r="K12" s="246"/>
      <c r="L12" s="246"/>
      <c r="M12" s="247"/>
      <c r="N12" s="247"/>
      <c r="O12" s="188"/>
      <c r="P12" s="186"/>
      <c r="Q12" s="46"/>
    </row>
    <row r="13" spans="1:20" s="262" customFormat="1" ht="17" x14ac:dyDescent="0.2">
      <c r="B13" s="263" t="s">
        <v>210</v>
      </c>
      <c r="C13" s="264"/>
      <c r="F13" s="265"/>
      <c r="K13" s="266"/>
      <c r="L13" s="266"/>
      <c r="M13" s="266"/>
      <c r="P13" s="267"/>
      <c r="Q13" s="267"/>
      <c r="R13" s="268"/>
      <c r="S13" s="269"/>
      <c r="T13" s="267"/>
    </row>
    <row r="14" spans="1:20" s="262" customFormat="1" ht="18" thickBot="1" x14ac:dyDescent="0.25">
      <c r="B14" s="270" t="s">
        <v>211</v>
      </c>
      <c r="C14" s="271"/>
      <c r="D14" s="272"/>
      <c r="E14" s="272"/>
      <c r="F14" s="272"/>
      <c r="G14" s="271"/>
      <c r="K14" s="266"/>
      <c r="L14" s="266"/>
      <c r="M14" s="266"/>
      <c r="P14" s="267"/>
      <c r="R14" s="268"/>
      <c r="S14" s="269"/>
      <c r="T14" s="267"/>
    </row>
    <row r="15" spans="1:20" s="262" customFormat="1" ht="16" x14ac:dyDescent="0.2">
      <c r="B15" s="273"/>
      <c r="C15" s="274"/>
      <c r="D15" s="262" t="s">
        <v>133</v>
      </c>
      <c r="E15" s="275" t="s">
        <v>212</v>
      </c>
      <c r="K15" s="266"/>
      <c r="L15" s="266"/>
      <c r="M15" s="266"/>
      <c r="P15" s="267"/>
      <c r="R15" s="268"/>
      <c r="S15" s="269"/>
      <c r="T15" s="267"/>
    </row>
    <row r="16" spans="1:20" s="262" customFormat="1" ht="14" x14ac:dyDescent="0.15">
      <c r="A16" s="276">
        <v>1</v>
      </c>
      <c r="B16" s="277" t="s">
        <v>209</v>
      </c>
      <c r="C16" s="274"/>
      <c r="D16" s="278">
        <f>IF('VariablesINPUT-FCC'!C28="Yes",'VariablesINPUT-FCC'!J30,Wages!E3*2080)</f>
        <v>29120</v>
      </c>
      <c r="E16" s="279">
        <f>D16*A16</f>
        <v>29120</v>
      </c>
      <c r="F16" s="393"/>
      <c r="G16" s="379" t="s">
        <v>266</v>
      </c>
      <c r="K16" s="266"/>
      <c r="L16" s="266"/>
      <c r="M16" s="266"/>
      <c r="R16" s="268"/>
      <c r="S16" s="269"/>
      <c r="T16" s="267"/>
    </row>
    <row r="17" spans="1:9" s="262" customFormat="1" ht="15" x14ac:dyDescent="0.2">
      <c r="A17" s="286">
        <f>SUM(A16:A16)</f>
        <v>1</v>
      </c>
      <c r="B17" s="287" t="s">
        <v>213</v>
      </c>
      <c r="D17" s="288"/>
      <c r="E17" s="289">
        <f>SUM(E16:E16)</f>
        <v>29120</v>
      </c>
      <c r="I17" s="284"/>
    </row>
    <row r="18" spans="1:9" x14ac:dyDescent="0.15">
      <c r="A18" s="37"/>
      <c r="C18" s="41"/>
      <c r="D18" s="6"/>
      <c r="E18" s="237"/>
      <c r="F18" s="77"/>
      <c r="G18" s="45"/>
    </row>
    <row r="19" spans="1:9" s="262" customFormat="1" ht="17" customHeight="1" x14ac:dyDescent="0.15">
      <c r="B19" s="290" t="s">
        <v>19</v>
      </c>
      <c r="C19" s="291"/>
      <c r="D19" s="302" t="s">
        <v>216</v>
      </c>
      <c r="F19" s="296"/>
      <c r="G19" s="292"/>
    </row>
    <row r="20" spans="1:9" s="262" customFormat="1" ht="14" x14ac:dyDescent="0.15">
      <c r="B20" s="277" t="s">
        <v>217</v>
      </c>
      <c r="C20" s="291"/>
      <c r="D20" s="302">
        <f>IF(Sick_Days&gt;0,(Sick_Days*Wages!E3*10),0)</f>
        <v>1400</v>
      </c>
      <c r="E20" s="322">
        <f>A17*D20</f>
        <v>1400</v>
      </c>
      <c r="F20" s="296"/>
      <c r="G20" s="292"/>
    </row>
    <row r="21" spans="1:9" s="262" customFormat="1" ht="14" x14ac:dyDescent="0.15">
      <c r="B21" s="277" t="s">
        <v>218</v>
      </c>
      <c r="C21" s="291"/>
      <c r="D21" s="302">
        <f>IF(Sick_Days&gt;0,(Sick_Days*Wages!E3*10),0)</f>
        <v>1400</v>
      </c>
      <c r="E21" s="322">
        <f>A17*D21</f>
        <v>1400</v>
      </c>
      <c r="F21" s="296"/>
      <c r="G21" s="292"/>
    </row>
    <row r="22" spans="1:9" s="262" customFormat="1" ht="14" x14ac:dyDescent="0.15">
      <c r="B22" s="303" t="s">
        <v>24</v>
      </c>
      <c r="C22" s="304">
        <v>5496</v>
      </c>
      <c r="D22" s="292">
        <f>IF(HealthIns="Yes",C22, "0")</f>
        <v>5496</v>
      </c>
      <c r="E22" s="292">
        <f>SUM(A16:A16)*D22</f>
        <v>5496</v>
      </c>
      <c r="F22" s="2" t="s">
        <v>112</v>
      </c>
      <c r="G22" s="292"/>
    </row>
    <row r="23" spans="1:9" s="262" customFormat="1" x14ac:dyDescent="0.15">
      <c r="B23" s="287" t="s">
        <v>219</v>
      </c>
      <c r="C23" s="305"/>
      <c r="D23" s="292"/>
      <c r="E23" s="306">
        <f>SUM(E20:E22)</f>
        <v>8296</v>
      </c>
      <c r="F23" s="296"/>
      <c r="G23" s="307"/>
    </row>
    <row r="24" spans="1:9" s="262" customFormat="1" x14ac:dyDescent="0.15">
      <c r="B24" s="303"/>
      <c r="C24" s="305"/>
      <c r="D24" s="292"/>
      <c r="E24" s="292"/>
      <c r="F24" s="296"/>
      <c r="G24" s="307"/>
    </row>
    <row r="25" spans="1:9" s="262" customFormat="1" x14ac:dyDescent="0.15">
      <c r="B25" s="287" t="s">
        <v>220</v>
      </c>
      <c r="C25" s="274"/>
      <c r="E25" s="301">
        <f>E17+E23</f>
        <v>37416</v>
      </c>
    </row>
    <row r="26" spans="1:9" ht="12.5" customHeight="1" x14ac:dyDescent="0.15">
      <c r="C26" s="39"/>
      <c r="D26" s="6"/>
      <c r="G26" s="11"/>
    </row>
    <row r="27" spans="1:9" x14ac:dyDescent="0.15">
      <c r="B27" s="65" t="s">
        <v>109</v>
      </c>
      <c r="C27" s="8"/>
      <c r="D27" s="7"/>
      <c r="E27" s="41"/>
      <c r="H27" s="63"/>
      <c r="I27" s="63"/>
    </row>
    <row r="28" spans="1:9" x14ac:dyDescent="0.15">
      <c r="B28" s="21" t="str">
        <f>QualVar!A6</f>
        <v>Family Engagement</v>
      </c>
      <c r="C28" s="8"/>
      <c r="D28" s="6">
        <f>IF('VariablesINPUT-FCC'!D32=QualVar!B6,QualVar!B10,IF('VariablesINPUT-FCC'!D32=QualVar!C6,QualVar!C10,IF('VariablesINPUT-FCC'!D32=QualVar!D6,QualVar!D10,0)))</f>
        <v>0</v>
      </c>
      <c r="E28" s="41"/>
    </row>
    <row r="29" spans="1:9" x14ac:dyDescent="0.15">
      <c r="B29" s="21" t="str">
        <f>QualVar!A12</f>
        <v>Professional Development Supports</v>
      </c>
      <c r="C29" s="8"/>
      <c r="D29" s="6">
        <f>IF('VariablesINPUT-FCC'!D33=QualVar!B12,QualVar!B15,IF('VariablesINPUT-FCC'!D33=QualVar!C12,QualVar!C15,IF('VariablesINPUT-FCC'!D33=QualVar!D12,QualVar!D15,0)))</f>
        <v>0</v>
      </c>
      <c r="E29" s="41"/>
    </row>
    <row r="30" spans="1:9" x14ac:dyDescent="0.15">
      <c r="B30" s="21" t="str">
        <f>QualVar!A17</f>
        <v>Planning/Release Time</v>
      </c>
      <c r="C30" s="8"/>
      <c r="D30" s="6">
        <f>IF('VariablesINPUT-FCC'!D34=QualVar!B17,QualVar!B18,IF('VariablesINPUT-FCC'!D34=QualVar!C17,QualVar!C18,IF('VariablesINPUT-FCC'!D34=QualVar!D17,QualVar!D18,0)))</f>
        <v>0</v>
      </c>
      <c r="E30" s="41"/>
    </row>
    <row r="31" spans="1:9" x14ac:dyDescent="0.15">
      <c r="B31" s="65" t="s">
        <v>110</v>
      </c>
      <c r="C31" s="8"/>
      <c r="D31" s="7"/>
      <c r="E31" s="41"/>
    </row>
    <row r="32" spans="1:9" x14ac:dyDescent="0.15">
      <c r="B32" s="21" t="str">
        <f>B28</f>
        <v>Family Engagement</v>
      </c>
      <c r="C32" s="8"/>
      <c r="D32" s="6">
        <f>IF('VariablesINPUT-FCC'!E32=QualVar!B25,QualVar!B29,
IF('VariablesINPUT-FCC'!E32=QualVar!C25,QualVar!C29,
IF('VariablesINPUT-FCC'!E32=QualVar!D25,QualVar!D29,
IF('VariablesINPUT-FCC'!E32=QualVar!D25,QualVar!E29,0))))</f>
        <v>0</v>
      </c>
      <c r="E32" s="41"/>
    </row>
    <row r="33" spans="1:13" x14ac:dyDescent="0.15">
      <c r="B33" s="21" t="str">
        <f>B29</f>
        <v>Professional Development Supports</v>
      </c>
      <c r="C33" s="8"/>
      <c r="D33" s="6">
        <f>IF('VariablesINPUT-FCC'!E33=QualVar!B31,QualVar!B34,
IF('VariablesINPUT-FCC'!E33=QualVar!C31,QualVar!C34,
IF('VariablesINPUT-FCC'!E33=QualVar!D31,QualVar!D34,
IF('VariablesINPUT-FCC'!E33=QualVar!D31,QualVar!E34,0))))</f>
        <v>0</v>
      </c>
      <c r="E33" s="41"/>
    </row>
    <row r="34" spans="1:13" x14ac:dyDescent="0.15">
      <c r="B34" s="21" t="str">
        <f>B30</f>
        <v>Planning/Release Time</v>
      </c>
      <c r="C34" s="8"/>
      <c r="D34" s="6">
        <f>IF('VariablesINPUT-FCC'!E34=QualVar!B36,QualVar!B37,
IF('VariablesINPUT-FCC'!E34=QualVar!C36,QualVar!C37,
IF('VariablesINPUT-FCC'!E34=QualVar!D36,QualVar!D37,
IF('VariablesINPUT-FCC'!E34=QualVar!D36,QualVar!E37,0))))</f>
        <v>0</v>
      </c>
      <c r="E34" s="41"/>
    </row>
    <row r="35" spans="1:13" x14ac:dyDescent="0.15">
      <c r="B35" s="10" t="s">
        <v>111</v>
      </c>
      <c r="C35" s="8"/>
      <c r="D35" s="7">
        <f>SUM(D28:D34)</f>
        <v>0</v>
      </c>
      <c r="E35" s="41"/>
      <c r="H35" s="18"/>
    </row>
    <row r="36" spans="1:13" x14ac:dyDescent="0.15">
      <c r="B36" s="10"/>
      <c r="C36" s="8"/>
      <c r="D36" s="7"/>
      <c r="E36" s="41"/>
      <c r="H36" s="18"/>
    </row>
    <row r="37" spans="1:13" s="262" customFormat="1" ht="18" thickBot="1" x14ac:dyDescent="0.25">
      <c r="B37" s="308" t="s">
        <v>267</v>
      </c>
      <c r="C37" s="309"/>
      <c r="D37" s="272"/>
      <c r="E37" s="310"/>
      <c r="F37" s="272"/>
      <c r="G37" s="272"/>
    </row>
    <row r="38" spans="1:13" s="262" customFormat="1" ht="14" x14ac:dyDescent="0.15">
      <c r="B38" s="380" t="s">
        <v>268</v>
      </c>
      <c r="E38" s="292"/>
    </row>
    <row r="39" spans="1:13" s="262" customFormat="1" ht="14" x14ac:dyDescent="0.15">
      <c r="B39" s="277" t="s">
        <v>223</v>
      </c>
      <c r="D39" s="292">
        <f>'Nonpersonnel PCQC'!E2*'License-Exempt profile'!TotalChildren</f>
        <v>2621.3333333333335</v>
      </c>
      <c r="I39" s="15"/>
      <c r="J39" s="15"/>
    </row>
    <row r="40" spans="1:13" s="262" customFormat="1" ht="14" x14ac:dyDescent="0.15">
      <c r="B40" s="277" t="s">
        <v>244</v>
      </c>
      <c r="D40" s="292">
        <f>'Nonpersonnel PCQC'!E3*'License-Exempt profile'!TotalChildren</f>
        <v>9160</v>
      </c>
    </row>
    <row r="41" spans="1:13" s="262" customFormat="1" ht="14" x14ac:dyDescent="0.15">
      <c r="B41" s="311" t="s">
        <v>13</v>
      </c>
      <c r="D41" s="292">
        <f>'Nonpersonnel PCQC'!E4*'License-Exempt profile'!TotalChildren</f>
        <v>6389.333333333333</v>
      </c>
    </row>
    <row r="42" spans="1:13" s="262" customFormat="1" x14ac:dyDescent="0.15">
      <c r="B42" s="277"/>
      <c r="C42" s="287" t="s">
        <v>225</v>
      </c>
      <c r="D42" s="312">
        <f>SUM(D39:D41)</f>
        <v>18170.666666666668</v>
      </c>
    </row>
    <row r="43" spans="1:13" ht="13" customHeight="1" x14ac:dyDescent="0.15">
      <c r="A43" s="38"/>
      <c r="B43" s="21" t="s">
        <v>0</v>
      </c>
      <c r="D43" s="17">
        <f>E43*(E25+QualityVarCost+D42)</f>
        <v>0</v>
      </c>
      <c r="E43" s="236">
        <v>0</v>
      </c>
      <c r="F43" s="15" t="s">
        <v>1</v>
      </c>
      <c r="K43" s="18"/>
      <c r="L43" s="18"/>
      <c r="M43" s="6"/>
    </row>
    <row r="44" spans="1:13" ht="13" customHeight="1" x14ac:dyDescent="0.15">
      <c r="A44" s="38"/>
      <c r="B44" s="21"/>
      <c r="D44" s="17"/>
      <c r="E44" s="41"/>
      <c r="K44" s="18"/>
      <c r="L44" s="18"/>
      <c r="M44" s="6"/>
    </row>
    <row r="45" spans="1:13" x14ac:dyDescent="0.15">
      <c r="A45" s="46"/>
      <c r="B45" s="10" t="s">
        <v>20</v>
      </c>
      <c r="D45" s="28">
        <f>SUM(E25,QualityVarCost,D42,Reserve_Fund)</f>
        <v>55586.666666666672</v>
      </c>
      <c r="G45" s="46"/>
    </row>
    <row r="46" spans="1:13" x14ac:dyDescent="0.15">
      <c r="D46" s="17"/>
      <c r="G46" s="63"/>
      <c r="K46" s="63"/>
      <c r="L46" s="63"/>
    </row>
    <row r="47" spans="1:13" ht="14" x14ac:dyDescent="0.15">
      <c r="B47" s="172" t="s">
        <v>190</v>
      </c>
      <c r="C47" s="385" t="str">
        <f>'VariablesINPUT-FCC'!I64</f>
        <v>Urban</v>
      </c>
      <c r="D47" s="389" t="s">
        <v>281</v>
      </c>
      <c r="E47" s="252"/>
      <c r="F47" s="252" t="s">
        <v>117</v>
      </c>
      <c r="G47" s="252" t="s">
        <v>116</v>
      </c>
      <c r="H47" s="252" t="s">
        <v>115</v>
      </c>
      <c r="I47" s="252"/>
    </row>
    <row r="48" spans="1:13" ht="14" x14ac:dyDescent="0.15">
      <c r="B48" s="172" t="s">
        <v>191</v>
      </c>
      <c r="C48" s="385" t="str">
        <f>'VariablesINPUT-FCC'!J64</f>
        <v>Statewide</v>
      </c>
      <c r="D48" s="389" t="s">
        <v>281</v>
      </c>
      <c r="E48" s="252" t="s">
        <v>114</v>
      </c>
      <c r="F48" s="252" t="s">
        <v>185</v>
      </c>
      <c r="G48" s="252" t="s">
        <v>186</v>
      </c>
      <c r="H48" s="252" t="s">
        <v>187</v>
      </c>
      <c r="I48" s="252" t="s">
        <v>188</v>
      </c>
    </row>
    <row r="49" spans="1:9" x14ac:dyDescent="0.15">
      <c r="A49" s="15" t="s">
        <v>155</v>
      </c>
      <c r="C49" s="18"/>
      <c r="D49" s="188"/>
      <c r="E49" s="189"/>
      <c r="F49" s="46"/>
      <c r="G49" s="46"/>
      <c r="H49" s="46"/>
      <c r="I49" s="186"/>
    </row>
    <row r="50" spans="1:9" x14ac:dyDescent="0.15">
      <c r="A50" s="249">
        <f>SUM(A52:A59)</f>
        <v>8</v>
      </c>
      <c r="B50" s="1" t="s">
        <v>139</v>
      </c>
      <c r="C50" s="15" t="s">
        <v>230</v>
      </c>
      <c r="D50" s="46" t="s">
        <v>9</v>
      </c>
      <c r="E50" s="46"/>
      <c r="F50" s="46"/>
      <c r="G50" s="46"/>
      <c r="H50" s="46"/>
      <c r="I50" s="186"/>
    </row>
    <row r="51" spans="1:9" x14ac:dyDescent="0.15">
      <c r="A51" s="45">
        <f>'VariablesINPUT-FCC'!H56</f>
        <v>2</v>
      </c>
      <c r="B51" s="15" t="s">
        <v>148</v>
      </c>
      <c r="D51" s="251">
        <f>C51</f>
        <v>0</v>
      </c>
      <c r="E51" s="187"/>
      <c r="F51" s="330" t="s">
        <v>228</v>
      </c>
      <c r="G51" s="331" t="s">
        <v>229</v>
      </c>
      <c r="H51" s="46" t="s">
        <v>238</v>
      </c>
      <c r="I51" s="186"/>
    </row>
    <row r="52" spans="1:9" x14ac:dyDescent="0.15">
      <c r="A52" s="45">
        <f>'VariablesINPUT-FCC'!H50</f>
        <v>2</v>
      </c>
      <c r="B52" s="15" t="s">
        <v>149</v>
      </c>
      <c r="C52" s="15">
        <f>IF('VariablesINPUT-FCC'!$B$16="Registered FCC",G52,F52)</f>
        <v>9600</v>
      </c>
      <c r="D52" s="243">
        <f>A52*C52</f>
        <v>19200</v>
      </c>
      <c r="E52" s="17"/>
      <c r="F52" s="24">
        <f>IF(C$48="Statewide",'Tuition Rates'!C3,IF(C$48="Cluster 1",'Tuition Rates'!B11,IF(C$48="Cluster 2",'Tuition Rates'!C11,IF(C$48="Cluster 3",'Tuition Rates'!D11,))))*12</f>
        <v>9600</v>
      </c>
      <c r="G52" s="329">
        <f>IF(C$48="Statewide",'Tuition Rates'!B3,IF(C$48="Cluster 1",'Tuition Rates'!B19,IF(C$48="Cluster 2",'Tuition Rates'!C19,IF(C$48="Cluster 3",'Tuition Rates'!D19,IF(C$48="Cluster 4",'Tuition Rates'!E19)))))*12</f>
        <v>15600</v>
      </c>
    </row>
    <row r="53" spans="1:9" x14ac:dyDescent="0.15">
      <c r="A53" s="45">
        <f>'VariablesINPUT-FCC'!H51</f>
        <v>0</v>
      </c>
      <c r="B53" s="15" t="s">
        <v>150</v>
      </c>
      <c r="C53" s="15">
        <f>IF('VariablesINPUT-FCC'!$B$16="Registered FCC",G53,F53)</f>
        <v>8400</v>
      </c>
      <c r="D53" s="243">
        <f t="shared" ref="D53:D55" si="2">A53*C53</f>
        <v>0</v>
      </c>
      <c r="E53" s="17"/>
      <c r="F53" s="24">
        <f>IF(C$48="Statewide",'Tuition Rates'!C4,IF(C$48="Cluster 1",'Tuition Rates'!B12,IF(C$48="Cluster 2",'Tuition Rates'!C12,IF(C$48="Cluster 3",'Tuition Rates'!D12,))))*12</f>
        <v>8400</v>
      </c>
      <c r="G53" s="329">
        <f>IF(C$48="Statewide",'Tuition Rates'!B4,IF(C$48="Cluster 1",'Tuition Rates'!B20,IF(C$48="Cluster 2",'Tuition Rates'!C20,IF(C$48="Cluster 3",'Tuition Rates'!D20,IF(C$48="Cluster 4",'Tuition Rates'!E20)))))*12</f>
        <v>14400</v>
      </c>
    </row>
    <row r="54" spans="1:9" x14ac:dyDescent="0.15">
      <c r="A54" s="45">
        <f>'VariablesINPUT-FCC'!H52</f>
        <v>2</v>
      </c>
      <c r="B54" s="15" t="s">
        <v>151</v>
      </c>
      <c r="C54" s="15">
        <f>IF('VariablesINPUT-FCC'!$B$16="Registered FCC",G54,F54)</f>
        <v>8400</v>
      </c>
      <c r="D54" s="243">
        <f t="shared" si="2"/>
        <v>16800</v>
      </c>
      <c r="E54" s="17"/>
      <c r="F54" s="24">
        <f>IF(C$48="Statewide",'Tuition Rates'!C5,IF(C$48="Cluster 1",'Tuition Rates'!B13,IF(C$48="Cluster 2",'Tuition Rates'!C13,IF(C$48="Cluster 3",'Tuition Rates'!D13,))))*12</f>
        <v>8400</v>
      </c>
      <c r="G54" s="329">
        <f>IF(C$48="Statewide",'Tuition Rates'!B5,IF(C$48="Cluster 1",'Tuition Rates'!B21,IF(C$48="Cluster 2",'Tuition Rates'!C21,IF(C$48="Cluster 3",'Tuition Rates'!D21,IF(C$48="Cluster 4",'Tuition Rates'!E21)))))*12</f>
        <v>12528</v>
      </c>
    </row>
    <row r="55" spans="1:9" x14ac:dyDescent="0.15">
      <c r="A55" s="45">
        <f>'VariablesINPUT-FCC'!H53</f>
        <v>2</v>
      </c>
      <c r="B55" s="15" t="s">
        <v>152</v>
      </c>
      <c r="C55" s="15">
        <f>IF('VariablesINPUT-FCC'!$B$16="Registered FCC",G55,F55)</f>
        <v>7200</v>
      </c>
      <c r="D55" s="243">
        <f t="shared" si="2"/>
        <v>14400</v>
      </c>
      <c r="E55" s="17"/>
      <c r="F55" s="24">
        <f>IF(C$48="Statewide",'Tuition Rates'!C6,IF(C$48="Cluster 1",'Tuition Rates'!B14,IF(C$48="Cluster 2",'Tuition Rates'!C14,IF(C$48="Cluster 3",'Tuition Rates'!D14,))))*12</f>
        <v>7200</v>
      </c>
      <c r="G55" s="329">
        <f>IF(C$48="Statewide",'Tuition Rates'!B6,IF(C$48="Cluster 1",'Tuition Rates'!B22,IF(C$48="Cluster 2",'Tuition Rates'!C22,IF(C$48="Cluster 3",'Tuition Rates'!D22,IF(C$48="Cluster 4",'Tuition Rates'!E22)))))*12</f>
        <v>9000</v>
      </c>
    </row>
    <row r="56" spans="1:9" x14ac:dyDescent="0.15">
      <c r="A56" s="45">
        <f>'VariablesINPUT-FCC'!C50</f>
        <v>0</v>
      </c>
      <c r="B56" s="15" t="s">
        <v>156</v>
      </c>
      <c r="C56" s="15">
        <f>H56</f>
        <v>8196</v>
      </c>
      <c r="D56" s="243">
        <f>A56*C56</f>
        <v>0</v>
      </c>
      <c r="E56" s="17"/>
      <c r="F56" s="24"/>
      <c r="G56" s="329"/>
      <c r="H56" s="329">
        <f>IF(C$47="Urban",'Subsidy Rates'!D3,IF(C$47="Suburban",'Subsidy Rates'!D12,'Subsidy Rates'!D21))*12</f>
        <v>8196</v>
      </c>
    </row>
    <row r="57" spans="1:9" x14ac:dyDescent="0.15">
      <c r="A57" s="45">
        <f>'VariablesINPUT-FCC'!C51</f>
        <v>2</v>
      </c>
      <c r="B57" s="15" t="s">
        <v>157</v>
      </c>
      <c r="C57" s="15">
        <f t="shared" ref="C57:C59" si="3">H57</f>
        <v>7872</v>
      </c>
      <c r="D57" s="243">
        <f>A57*C57</f>
        <v>15744</v>
      </c>
      <c r="E57" s="17"/>
      <c r="F57" s="24"/>
      <c r="G57" s="329"/>
      <c r="H57" s="329">
        <f>IF(C$47="Urban",'Subsidy Rates'!D4,IF(C$47="Suburban",'Subsidy Rates'!D13,'Subsidy Rates'!D22))*12</f>
        <v>7872</v>
      </c>
    </row>
    <row r="58" spans="1:9" x14ac:dyDescent="0.15">
      <c r="A58" s="45">
        <f>'VariablesINPUT-FCC'!C52</f>
        <v>0</v>
      </c>
      <c r="B58" s="15" t="s">
        <v>158</v>
      </c>
      <c r="C58" s="15">
        <f t="shared" si="3"/>
        <v>7440</v>
      </c>
      <c r="D58" s="243">
        <f t="shared" ref="D58:D59" si="4">A58*C58</f>
        <v>0</v>
      </c>
      <c r="E58" s="17"/>
      <c r="F58" s="24"/>
      <c r="G58" s="329"/>
      <c r="H58" s="329">
        <f>IF(C$47="Urban",'Subsidy Rates'!D5,IF(C$47="Suburban",'Subsidy Rates'!D14,'Subsidy Rates'!D23))*12</f>
        <v>7440</v>
      </c>
    </row>
    <row r="59" spans="1:9" x14ac:dyDescent="0.15">
      <c r="A59" s="45">
        <f>'VariablesINPUT-FCC'!C53</f>
        <v>0</v>
      </c>
      <c r="B59" s="15" t="s">
        <v>159</v>
      </c>
      <c r="C59" s="15">
        <f t="shared" si="3"/>
        <v>5400</v>
      </c>
      <c r="D59" s="243">
        <f t="shared" si="4"/>
        <v>0</v>
      </c>
      <c r="E59" s="17"/>
      <c r="F59" s="24"/>
      <c r="G59" s="329"/>
      <c r="H59" s="329">
        <f>IF(C$47="Urban",'Subsidy Rates'!L6,IF(C$47="Suburban",'Subsidy Rates'!L15,'Subsidy Rates'!L24))*12</f>
        <v>5400</v>
      </c>
    </row>
    <row r="60" spans="1:9" ht="14" thickBot="1" x14ac:dyDescent="0.2">
      <c r="B60" s="15" t="s">
        <v>153</v>
      </c>
      <c r="D60" s="244"/>
      <c r="E60" s="17"/>
    </row>
    <row r="61" spans="1:9" x14ac:dyDescent="0.15">
      <c r="B61" s="14"/>
      <c r="D61" s="250">
        <f>SUM(D51:D60)</f>
        <v>66144</v>
      </c>
      <c r="E61" s="16" t="s">
        <v>154</v>
      </c>
      <c r="H61" s="52" t="s">
        <v>27</v>
      </c>
      <c r="I61" s="238"/>
    </row>
    <row r="62" spans="1:9" x14ac:dyDescent="0.15">
      <c r="H62" s="53" t="s">
        <v>41</v>
      </c>
      <c r="I62" s="239">
        <f>C7*Infants</f>
        <v>15749.555555555557</v>
      </c>
    </row>
    <row r="63" spans="1:9" x14ac:dyDescent="0.15">
      <c r="B63" s="184" t="s">
        <v>179</v>
      </c>
      <c r="C63" s="46"/>
      <c r="D63" s="46"/>
      <c r="E63" s="46"/>
      <c r="F63" s="46"/>
      <c r="H63" s="53" t="s">
        <v>42</v>
      </c>
      <c r="I63" s="239">
        <f>C8*Toddlers</f>
        <v>15749.555555555557</v>
      </c>
    </row>
    <row r="64" spans="1:9" x14ac:dyDescent="0.15">
      <c r="B64" s="46" t="s">
        <v>180</v>
      </c>
      <c r="C64" s="185">
        <v>0.15</v>
      </c>
      <c r="D64" s="186">
        <f>C64*(D61-D60)</f>
        <v>9921.6</v>
      </c>
      <c r="E64" s="46"/>
      <c r="F64" s="46"/>
      <c r="H64" s="53" t="s">
        <v>43</v>
      </c>
      <c r="I64" s="239">
        <f>C9*Preschoolers</f>
        <v>15749.555555555557</v>
      </c>
    </row>
    <row r="65" spans="2:9" x14ac:dyDescent="0.15">
      <c r="B65" s="46" t="s">
        <v>181</v>
      </c>
      <c r="C65" s="185">
        <v>1</v>
      </c>
      <c r="D65" s="187">
        <f>(1-C65)*(D61-D64-D60)</f>
        <v>0</v>
      </c>
      <c r="E65" s="46"/>
      <c r="F65" s="46"/>
      <c r="H65" s="53" t="s">
        <v>79</v>
      </c>
      <c r="I65" s="245">
        <f>C10*Schoolagers</f>
        <v>16676</v>
      </c>
    </row>
    <row r="66" spans="2:9" x14ac:dyDescent="0.15">
      <c r="B66" s="46"/>
      <c r="C66" s="188"/>
      <c r="D66" s="189">
        <f>D61-D64-D65</f>
        <v>56222.400000000001</v>
      </c>
      <c r="E66" s="190" t="s">
        <v>182</v>
      </c>
      <c r="F66" s="46"/>
      <c r="H66" s="54" t="s">
        <v>9</v>
      </c>
      <c r="I66" s="240">
        <f>SUM(I62:I65)</f>
        <v>63924.666666666672</v>
      </c>
    </row>
    <row r="67" spans="2:9" ht="14" thickBot="1" x14ac:dyDescent="0.2">
      <c r="B67" s="191" t="s">
        <v>183</v>
      </c>
      <c r="C67" s="191"/>
      <c r="D67" s="192">
        <f>D66-D45</f>
        <v>635.73333333332994</v>
      </c>
      <c r="E67" s="193">
        <f>D67/D45</f>
        <v>1.1436795394578973E-2</v>
      </c>
      <c r="F67" s="191" t="s">
        <v>1</v>
      </c>
      <c r="H67" s="241"/>
      <c r="I67" s="242">
        <f>I66-D45</f>
        <v>8338</v>
      </c>
    </row>
  </sheetData>
  <mergeCells count="1">
    <mergeCell ref="E12:I12"/>
  </mergeCells>
  <conditionalFormatting sqref="I67">
    <cfRule type="cellIs" dxfId="0" priority="1" operator="lessThan">
      <formula>0</formula>
    </cfRule>
  </conditionalFormatting>
  <pageMargins left="0.25" right="0.25" top="0.25" bottom="0.25" header="0" footer="0"/>
  <pageSetup paperSize="5" scale="92" orientation="landscape" horizontalDpi="4294967293" verticalDpi="0" r:id="rId1"/>
  <headerFooter alignWithMargins="0"/>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CF50A-16A9-AD4C-8EEA-3C56E15DD8AF}">
  <sheetPr>
    <tabColor theme="9" tint="0.79998168889431442"/>
  </sheetPr>
  <dimension ref="A1:G39"/>
  <sheetViews>
    <sheetView workbookViewId="0">
      <selection activeCell="C27" sqref="C27"/>
    </sheetView>
  </sheetViews>
  <sheetFormatPr baseColWidth="10" defaultRowHeight="13" x14ac:dyDescent="0.15"/>
  <cols>
    <col min="1" max="1" width="37.1640625" customWidth="1"/>
    <col min="2" max="3" width="14" customWidth="1"/>
    <col min="4" max="4" width="11.1640625" bestFit="1" customWidth="1"/>
  </cols>
  <sheetData>
    <row r="1" spans="1:7" x14ac:dyDescent="0.15">
      <c r="A1" s="208" t="s">
        <v>106</v>
      </c>
      <c r="B1" s="323">
        <f>'Quality Home Profile'!C18/2080</f>
        <v>14.892788461538462</v>
      </c>
    </row>
    <row r="2" spans="1:7" x14ac:dyDescent="0.15">
      <c r="A2" s="36" t="s">
        <v>227</v>
      </c>
      <c r="B2" s="324">
        <f>'Quality Home Profile'!A22</f>
        <v>1</v>
      </c>
    </row>
    <row r="3" spans="1:7" s="153" customFormat="1" x14ac:dyDescent="0.15">
      <c r="A3" s="151" t="s">
        <v>136</v>
      </c>
      <c r="B3" s="152"/>
    </row>
    <row r="4" spans="1:7" x14ac:dyDescent="0.15">
      <c r="A4" s="55" t="s">
        <v>108</v>
      </c>
      <c r="B4" s="40">
        <f>SUM('Quality Home Profile'!A7:A8)</f>
        <v>4</v>
      </c>
    </row>
    <row r="5" spans="1:7" x14ac:dyDescent="0.15">
      <c r="A5" s="15"/>
    </row>
    <row r="6" spans="1:7" x14ac:dyDescent="0.15">
      <c r="A6" s="149" t="s">
        <v>78</v>
      </c>
      <c r="B6" s="1" t="s">
        <v>80</v>
      </c>
      <c r="C6" s="1" t="s">
        <v>76</v>
      </c>
      <c r="D6" s="1" t="s">
        <v>81</v>
      </c>
      <c r="E6" s="1" t="s">
        <v>82</v>
      </c>
    </row>
    <row r="7" spans="1:7" x14ac:dyDescent="0.15">
      <c r="A7" s="15" t="s">
        <v>96</v>
      </c>
      <c r="C7" s="5">
        <f>1*B4*B1*2</f>
        <v>119.1423076923077</v>
      </c>
      <c r="D7" s="5">
        <f>1*B4*B1*2</f>
        <v>119.1423076923077</v>
      </c>
      <c r="E7" s="5">
        <f>1*B4*B1*2</f>
        <v>119.1423076923077</v>
      </c>
      <c r="F7" s="15" t="s">
        <v>100</v>
      </c>
    </row>
    <row r="8" spans="1:7" x14ac:dyDescent="0.15">
      <c r="A8" s="15" t="s">
        <v>97</v>
      </c>
      <c r="C8" s="5">
        <f>1*B4*B1</f>
        <v>59.571153846153848</v>
      </c>
      <c r="F8" s="15" t="s">
        <v>99</v>
      </c>
    </row>
    <row r="9" spans="1:7" x14ac:dyDescent="0.15">
      <c r="A9" s="15" t="s">
        <v>98</v>
      </c>
      <c r="D9" s="71">
        <f>B4/35*F9</f>
        <v>4228.5714285714284</v>
      </c>
      <c r="E9" s="5">
        <f>B4/35*F9</f>
        <v>4228.5714285714284</v>
      </c>
      <c r="F9" s="6">
        <v>37000</v>
      </c>
      <c r="G9" s="15" t="s">
        <v>101</v>
      </c>
    </row>
    <row r="10" spans="1:7" x14ac:dyDescent="0.15">
      <c r="A10" s="68" t="s">
        <v>9</v>
      </c>
      <c r="B10" s="25">
        <f>SUM(B7:B9)</f>
        <v>0</v>
      </c>
      <c r="C10" s="70">
        <f>SUM(C7:C9)</f>
        <v>178.71346153846156</v>
      </c>
      <c r="D10" s="70">
        <f>SUM(D7:D9)</f>
        <v>4347.7137362637359</v>
      </c>
      <c r="E10" s="70">
        <f>SUM(E7:E9)</f>
        <v>4347.7137362637359</v>
      </c>
    </row>
    <row r="12" spans="1:7" x14ac:dyDescent="0.15">
      <c r="A12" s="149" t="s">
        <v>89</v>
      </c>
      <c r="B12" s="1" t="s">
        <v>80</v>
      </c>
      <c r="C12" s="1" t="s">
        <v>76</v>
      </c>
      <c r="D12" s="1" t="s">
        <v>81</v>
      </c>
      <c r="E12" s="1" t="s">
        <v>82</v>
      </c>
    </row>
    <row r="13" spans="1:7" x14ac:dyDescent="0.15">
      <c r="A13" s="15" t="s">
        <v>102</v>
      </c>
      <c r="C13" s="9">
        <f>SUM(B2*20)*B1</f>
        <v>297.85576923076923</v>
      </c>
      <c r="E13" s="9">
        <f>SUM(B2*20)*B1</f>
        <v>297.85576923076923</v>
      </c>
      <c r="F13" s="15" t="s">
        <v>103</v>
      </c>
    </row>
    <row r="14" spans="1:7" x14ac:dyDescent="0.15">
      <c r="A14" s="15" t="s">
        <v>104</v>
      </c>
      <c r="C14" s="9">
        <f>5*12*B1</f>
        <v>893.56730769230774</v>
      </c>
      <c r="E14" s="9">
        <f>5*12*B1</f>
        <v>893.56730769230774</v>
      </c>
      <c r="F14" s="15" t="s">
        <v>105</v>
      </c>
    </row>
    <row r="15" spans="1:7" x14ac:dyDescent="0.15">
      <c r="A15" s="68" t="s">
        <v>9</v>
      </c>
      <c r="B15" s="25">
        <f>SUM(B13:B14)</f>
        <v>0</v>
      </c>
      <c r="C15" s="70">
        <f>SUM(C13:C14)</f>
        <v>1191.4230769230769</v>
      </c>
      <c r="D15" s="70">
        <f>SUM(D13:D14)</f>
        <v>0</v>
      </c>
      <c r="E15" s="70">
        <f>SUM(E13:E14)</f>
        <v>1191.4230769230769</v>
      </c>
    </row>
    <row r="17" spans="1:6" x14ac:dyDescent="0.15">
      <c r="A17" s="149" t="s">
        <v>90</v>
      </c>
      <c r="B17" s="1" t="s">
        <v>80</v>
      </c>
      <c r="C17" s="1" t="s">
        <v>76</v>
      </c>
      <c r="D17" s="1" t="s">
        <v>81</v>
      </c>
    </row>
    <row r="18" spans="1:6" x14ac:dyDescent="0.15">
      <c r="A18" s="68" t="s">
        <v>9</v>
      </c>
      <c r="B18" s="72">
        <f>5*52*B1</f>
        <v>3872.125</v>
      </c>
      <c r="C18" s="72">
        <f>8*52*B1</f>
        <v>6195.4000000000005</v>
      </c>
      <c r="D18" s="70">
        <f>15*52*B1</f>
        <v>11616.375</v>
      </c>
      <c r="E18" s="25"/>
      <c r="F18" s="15" t="s">
        <v>269</v>
      </c>
    </row>
    <row r="20" spans="1:6" x14ac:dyDescent="0.15">
      <c r="A20" s="149"/>
    </row>
    <row r="22" spans="1:6" s="150" customFormat="1" x14ac:dyDescent="0.15">
      <c r="A22" s="154" t="s">
        <v>135</v>
      </c>
    </row>
    <row r="23" spans="1:6" x14ac:dyDescent="0.15">
      <c r="A23" s="55" t="s">
        <v>37</v>
      </c>
      <c r="B23" s="40">
        <f>'VariablesINPUT-FCC'!B13</f>
        <v>2</v>
      </c>
    </row>
    <row r="24" spans="1:6" x14ac:dyDescent="0.15">
      <c r="A24" s="15"/>
    </row>
    <row r="25" spans="1:6" x14ac:dyDescent="0.15">
      <c r="A25" s="149" t="s">
        <v>78</v>
      </c>
      <c r="B25" s="1" t="s">
        <v>80</v>
      </c>
      <c r="C25" s="1" t="s">
        <v>77</v>
      </c>
      <c r="D25" s="1" t="s">
        <v>82</v>
      </c>
    </row>
    <row r="26" spans="1:6" x14ac:dyDescent="0.15">
      <c r="A26" s="15" t="s">
        <v>96</v>
      </c>
      <c r="C26" s="5">
        <f>1*B23*B1*2</f>
        <v>59.571153846153848</v>
      </c>
      <c r="D26" s="5">
        <f>1*B23*B1*2</f>
        <v>59.571153846153848</v>
      </c>
      <c r="E26" s="15" t="s">
        <v>100</v>
      </c>
    </row>
    <row r="27" spans="1:6" x14ac:dyDescent="0.15">
      <c r="A27" s="15" t="s">
        <v>97</v>
      </c>
      <c r="C27" s="5">
        <f>1*B23*B1</f>
        <v>29.785576923076924</v>
      </c>
      <c r="E27" s="15" t="s">
        <v>99</v>
      </c>
    </row>
    <row r="28" spans="1:6" x14ac:dyDescent="0.15">
      <c r="A28" s="15" t="s">
        <v>98</v>
      </c>
      <c r="D28" s="5">
        <f>B23/35*E28</f>
        <v>2114.2857142857142</v>
      </c>
      <c r="E28" s="6">
        <v>37000</v>
      </c>
      <c r="F28" s="15" t="s">
        <v>101</v>
      </c>
    </row>
    <row r="29" spans="1:6" x14ac:dyDescent="0.15">
      <c r="A29" s="68" t="s">
        <v>9</v>
      </c>
      <c r="B29" s="25">
        <f>SUM(B26:B28)</f>
        <v>0</v>
      </c>
      <c r="C29" s="70">
        <f>SUM(C26:C28)</f>
        <v>89.356730769230779</v>
      </c>
      <c r="D29" s="70">
        <f>SUM(D26:D28)</f>
        <v>2173.8568681318679</v>
      </c>
    </row>
    <row r="31" spans="1:6" x14ac:dyDescent="0.15">
      <c r="A31" s="149" t="s">
        <v>89</v>
      </c>
      <c r="B31" s="1" t="s">
        <v>80</v>
      </c>
      <c r="C31" s="1" t="s">
        <v>77</v>
      </c>
      <c r="D31" s="1" t="s">
        <v>82</v>
      </c>
    </row>
    <row r="32" spans="1:6" x14ac:dyDescent="0.15">
      <c r="A32" s="15" t="s">
        <v>102</v>
      </c>
      <c r="C32" s="19">
        <f>SUM(B2*20)*B1</f>
        <v>297.85576923076923</v>
      </c>
      <c r="D32" s="9">
        <f>SUM(B2*20)*B1</f>
        <v>297.85576923076923</v>
      </c>
      <c r="E32" s="15" t="s">
        <v>103</v>
      </c>
    </row>
    <row r="33" spans="1:6" x14ac:dyDescent="0.15">
      <c r="A33" s="15" t="s">
        <v>104</v>
      </c>
      <c r="C33" s="19">
        <f>5*12*B1</f>
        <v>893.56730769230774</v>
      </c>
      <c r="D33" s="9">
        <f>5*12*B1</f>
        <v>893.56730769230774</v>
      </c>
      <c r="E33" s="15" t="s">
        <v>105</v>
      </c>
    </row>
    <row r="34" spans="1:6" x14ac:dyDescent="0.15">
      <c r="A34" s="68" t="s">
        <v>9</v>
      </c>
      <c r="B34" s="25">
        <f>SUM(B32:B33)</f>
        <v>0</v>
      </c>
      <c r="C34" s="70">
        <f>SUM(C32:C33)</f>
        <v>1191.4230769230769</v>
      </c>
      <c r="D34" s="70">
        <f>SUM(D32:D33)</f>
        <v>1191.4230769230769</v>
      </c>
    </row>
    <row r="36" spans="1:6" x14ac:dyDescent="0.15">
      <c r="A36" s="149" t="s">
        <v>90</v>
      </c>
      <c r="B36" s="1" t="s">
        <v>80</v>
      </c>
      <c r="C36" s="1" t="s">
        <v>77</v>
      </c>
      <c r="D36" s="1" t="s">
        <v>82</v>
      </c>
    </row>
    <row r="37" spans="1:6" x14ac:dyDescent="0.15">
      <c r="A37" s="25"/>
      <c r="B37" s="72">
        <f>5*52*B1</f>
        <v>3872.125</v>
      </c>
      <c r="C37" s="72">
        <f>8*52*B1</f>
        <v>6195.4000000000005</v>
      </c>
      <c r="D37" s="70">
        <f>15*52*B1</f>
        <v>11616.375</v>
      </c>
      <c r="E37" s="25"/>
      <c r="F37" s="15" t="s">
        <v>269</v>
      </c>
    </row>
    <row r="39" spans="1:6" x14ac:dyDescent="0.15">
      <c r="A39" s="14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241F6-8027-B04A-AE54-122367FE2998}">
  <sheetPr>
    <tabColor theme="0" tint="-0.14999847407452621"/>
  </sheetPr>
  <dimension ref="A1:F40"/>
  <sheetViews>
    <sheetView zoomScale="140" zoomScaleNormal="140" workbookViewId="0">
      <selection activeCell="C18" sqref="C18"/>
    </sheetView>
  </sheetViews>
  <sheetFormatPr baseColWidth="10" defaultRowHeight="13" x14ac:dyDescent="0.15"/>
  <cols>
    <col min="1" max="1" width="22.6640625" customWidth="1"/>
    <col min="2" max="2" width="12" bestFit="1" customWidth="1"/>
    <col min="3" max="3" width="13.1640625" customWidth="1"/>
    <col min="4" max="4" width="14" customWidth="1"/>
    <col min="5" max="5" width="15.5" customWidth="1"/>
    <col min="6" max="6" width="10.1640625" customWidth="1"/>
    <col min="7" max="7" width="14" customWidth="1"/>
    <col min="8" max="8" width="11.1640625" bestFit="1" customWidth="1"/>
  </cols>
  <sheetData>
    <row r="1" spans="1:6" x14ac:dyDescent="0.15">
      <c r="A1" s="1" t="s">
        <v>75</v>
      </c>
    </row>
    <row r="2" spans="1:6" x14ac:dyDescent="0.15">
      <c r="A2" s="358" t="s">
        <v>246</v>
      </c>
      <c r="B2" s="42" t="s">
        <v>245</v>
      </c>
      <c r="C2" s="42" t="s">
        <v>25</v>
      </c>
      <c r="D2" s="42" t="s">
        <v>226</v>
      </c>
      <c r="E2" s="355" t="s">
        <v>243</v>
      </c>
    </row>
    <row r="3" spans="1:6" x14ac:dyDescent="0.15">
      <c r="A3" s="66" t="s">
        <v>84</v>
      </c>
      <c r="B3" s="227">
        <v>32601</v>
      </c>
      <c r="C3" s="227">
        <f>B3</f>
        <v>32601</v>
      </c>
      <c r="D3" s="228">
        <f>28913</f>
        <v>28913</v>
      </c>
      <c r="E3" s="5">
        <v>14</v>
      </c>
      <c r="F3" s="15" t="s">
        <v>251</v>
      </c>
    </row>
    <row r="4" spans="1:6" x14ac:dyDescent="0.15">
      <c r="A4" s="66" t="s">
        <v>85</v>
      </c>
      <c r="B4" s="229">
        <v>34236</v>
      </c>
      <c r="C4" s="227">
        <f t="shared" ref="C4:C6" si="0">B4</f>
        <v>34236</v>
      </c>
      <c r="D4" s="228">
        <f>30977</f>
        <v>30977</v>
      </c>
      <c r="F4" s="15"/>
    </row>
    <row r="5" spans="1:6" x14ac:dyDescent="0.15">
      <c r="A5" s="66" t="s">
        <v>88</v>
      </c>
      <c r="B5" s="227">
        <v>34236</v>
      </c>
      <c r="C5" s="227">
        <f t="shared" si="0"/>
        <v>34236</v>
      </c>
      <c r="D5" s="228">
        <f>30977</f>
        <v>30977</v>
      </c>
    </row>
    <row r="6" spans="1:6" x14ac:dyDescent="0.15">
      <c r="A6" s="66" t="s">
        <v>86</v>
      </c>
      <c r="B6" s="227">
        <v>34236</v>
      </c>
      <c r="C6" s="227">
        <f t="shared" si="0"/>
        <v>34236</v>
      </c>
      <c r="D6" s="228">
        <f>30977</f>
        <v>30977</v>
      </c>
    </row>
    <row r="7" spans="1:6" x14ac:dyDescent="0.15">
      <c r="A7" s="66" t="s">
        <v>87</v>
      </c>
      <c r="B7" s="226"/>
      <c r="C7" s="226"/>
      <c r="D7" s="160"/>
    </row>
    <row r="8" spans="1:6" x14ac:dyDescent="0.15">
      <c r="A8" s="21"/>
      <c r="B8" s="75"/>
      <c r="C8" s="76"/>
    </row>
    <row r="9" spans="1:6" x14ac:dyDescent="0.15">
      <c r="A9" s="21" t="s">
        <v>113</v>
      </c>
      <c r="B9" s="75">
        <f>('VariablesINPUT-FCC'!C$21*B3)+('VariablesINPUT-FCC'!C$22*B4)+('VariablesINPUT-FCC'!C$23*B5)+('VariablesINPUT-FCC'!C$24*B6)+('VariablesINPUT-FCC'!C$25*B7)</f>
        <v>34236</v>
      </c>
      <c r="C9" s="22">
        <f>(('VariablesINPUT-FCC'!C$21*C3)+('VariablesINPUT-FCC'!C$22*C4)+('VariablesINPUT-FCC'!C$23*C5)+('VariablesINPUT-FCC'!C$24*C6)+('VariablesINPUT-FCC'!C$25*C7))</f>
        <v>34236</v>
      </c>
      <c r="D9" s="22">
        <f>(('VariablesINPUT-FCC'!D$21*D3)+('VariablesINPUT-FCC'!D$22*D4)+('VariablesINPUT-FCC'!D$23*D5)+('VariablesINPUT-FCC'!D$24*D6)+('VariablesINPUT-FCC'!D$25*D7))</f>
        <v>30977</v>
      </c>
    </row>
    <row r="10" spans="1:6" x14ac:dyDescent="0.15">
      <c r="A10" s="4"/>
    </row>
    <row r="11" spans="1:6" x14ac:dyDescent="0.15">
      <c r="A11" s="21"/>
      <c r="B11" s="22"/>
      <c r="C11" s="22"/>
      <c r="D11" s="22"/>
    </row>
    <row r="12" spans="1:6" x14ac:dyDescent="0.15">
      <c r="A12" s="1" t="s">
        <v>80</v>
      </c>
      <c r="B12" s="1"/>
      <c r="C12" s="1"/>
      <c r="D12" s="1"/>
    </row>
    <row r="13" spans="1:6" x14ac:dyDescent="0.15">
      <c r="B13" s="42" t="s">
        <v>245</v>
      </c>
      <c r="C13" s="42" t="s">
        <v>25</v>
      </c>
      <c r="D13" s="42" t="s">
        <v>226</v>
      </c>
    </row>
    <row r="14" spans="1:6" x14ac:dyDescent="0.15">
      <c r="A14" s="66" t="s">
        <v>84</v>
      </c>
      <c r="B14" s="361"/>
      <c r="C14" s="226"/>
      <c r="D14" s="160"/>
    </row>
    <row r="15" spans="1:6" x14ac:dyDescent="0.15">
      <c r="A15" s="66" t="s">
        <v>85</v>
      </c>
      <c r="B15" s="359"/>
      <c r="C15" s="226">
        <f t="shared" ref="C15:C18" si="1">B15*0.8</f>
        <v>0</v>
      </c>
      <c r="D15" s="160"/>
    </row>
    <row r="16" spans="1:6" x14ac:dyDescent="0.15">
      <c r="A16" s="66" t="s">
        <v>88</v>
      </c>
      <c r="B16" s="359"/>
      <c r="C16" s="226">
        <f t="shared" si="1"/>
        <v>0</v>
      </c>
      <c r="D16" s="160"/>
    </row>
    <row r="17" spans="1:6" x14ac:dyDescent="0.15">
      <c r="A17" s="66" t="s">
        <v>86</v>
      </c>
      <c r="B17" s="359"/>
      <c r="C17" s="226">
        <f t="shared" si="1"/>
        <v>0</v>
      </c>
      <c r="D17" s="160"/>
    </row>
    <row r="18" spans="1:6" x14ac:dyDescent="0.15">
      <c r="A18" s="66" t="s">
        <v>87</v>
      </c>
      <c r="B18" s="359"/>
      <c r="C18" s="226">
        <f t="shared" si="1"/>
        <v>0</v>
      </c>
      <c r="D18" s="160"/>
    </row>
    <row r="19" spans="1:6" x14ac:dyDescent="0.15">
      <c r="A19" s="360"/>
      <c r="B19" s="75"/>
      <c r="C19" s="76"/>
    </row>
    <row r="20" spans="1:6" x14ac:dyDescent="0.15">
      <c r="A20" s="21" t="s">
        <v>113</v>
      </c>
      <c r="B20" s="75">
        <f>('VariablesINPUT-FCC'!C$21*B14)+('VariablesINPUT-FCC'!C$22*B15)+('VariablesINPUT-FCC'!C$23*B16)+('VariablesINPUT-FCC'!C$24*B17)+('VariablesINPUT-FCC'!C$25*B18)</f>
        <v>0</v>
      </c>
      <c r="C20" s="22">
        <f>(('VariablesINPUT-FCC'!C$21*C14)+('VariablesINPUT-FCC'!C$22*C15)+('VariablesINPUT-FCC'!C$23*C16)+('VariablesINPUT-FCC'!C$24*C17)+('VariablesINPUT-FCC'!C$25*C18))</f>
        <v>0</v>
      </c>
      <c r="D20" s="22">
        <f>(('VariablesINPUT-FCC'!D$21*D14)+('VariablesINPUT-FCC'!D$22*D15)+('VariablesINPUT-FCC'!D$23*D16)+('VariablesINPUT-FCC'!D$24*D17)+('VariablesINPUT-FCC'!D$25*D18))</f>
        <v>0</v>
      </c>
    </row>
    <row r="22" spans="1:6" x14ac:dyDescent="0.15">
      <c r="A22" s="1" t="s">
        <v>247</v>
      </c>
      <c r="B22" s="1"/>
      <c r="C22" s="1"/>
      <c r="D22" s="1"/>
    </row>
    <row r="23" spans="1:6" x14ac:dyDescent="0.15">
      <c r="A23" s="358" t="s">
        <v>248</v>
      </c>
      <c r="B23" s="42" t="s">
        <v>245</v>
      </c>
      <c r="C23" s="42" t="s">
        <v>25</v>
      </c>
      <c r="D23" s="42" t="s">
        <v>226</v>
      </c>
    </row>
    <row r="24" spans="1:6" x14ac:dyDescent="0.15">
      <c r="A24" s="66" t="s">
        <v>84</v>
      </c>
      <c r="B24" s="227"/>
      <c r="C24" s="227"/>
      <c r="D24" s="228">
        <v>29120</v>
      </c>
    </row>
    <row r="25" spans="1:6" x14ac:dyDescent="0.15">
      <c r="A25" s="66" t="s">
        <v>85</v>
      </c>
      <c r="B25" s="229">
        <v>37856</v>
      </c>
      <c r="C25" s="229">
        <f>B25</f>
        <v>37856</v>
      </c>
      <c r="D25" s="228">
        <v>33280</v>
      </c>
      <c r="F25" s="394"/>
    </row>
    <row r="26" spans="1:6" x14ac:dyDescent="0.15">
      <c r="A26" s="66" t="s">
        <v>88</v>
      </c>
      <c r="B26" s="227">
        <v>45201.599999999999</v>
      </c>
      <c r="C26" s="229">
        <f>B26</f>
        <v>45201.599999999999</v>
      </c>
      <c r="D26" s="228">
        <v>39514.36</v>
      </c>
    </row>
    <row r="27" spans="1:6" x14ac:dyDescent="0.15">
      <c r="A27" s="66" t="s">
        <v>86</v>
      </c>
      <c r="B27" s="227">
        <v>51136.800000000003</v>
      </c>
      <c r="C27" s="229">
        <f>B27</f>
        <v>51136.800000000003</v>
      </c>
      <c r="D27" s="228">
        <v>44815.51</v>
      </c>
    </row>
    <row r="28" spans="1:6" x14ac:dyDescent="0.15">
      <c r="A28" s="66" t="s">
        <v>87</v>
      </c>
      <c r="B28" s="226"/>
      <c r="C28" s="226"/>
      <c r="D28" s="160"/>
    </row>
    <row r="29" spans="1:6" x14ac:dyDescent="0.15">
      <c r="A29" s="360"/>
      <c r="B29" s="75"/>
      <c r="C29" s="76"/>
    </row>
    <row r="30" spans="1:6" x14ac:dyDescent="0.15">
      <c r="A30" s="21" t="s">
        <v>113</v>
      </c>
      <c r="B30" s="75">
        <f>('VariablesINPUT-FCC'!C$21*B24)+('VariablesINPUT-FCC'!C$22*B25)+('VariablesINPUT-FCC'!C$23*B26)+('VariablesINPUT-FCC'!C$24*B27)+('VariablesINPUT-FCC'!C$25*B28)</f>
        <v>45201.599999999999</v>
      </c>
      <c r="C30" s="22">
        <f>(('VariablesINPUT-FCC'!C$21*C24)+('VariablesINPUT-FCC'!C$22*C25)+('VariablesINPUT-FCC'!C$23*C26)+('VariablesINPUT-FCC'!C$24*C27)+('VariablesINPUT-FCC'!C$25*C28))</f>
        <v>45201.599999999999</v>
      </c>
      <c r="D30" s="22">
        <f>(('VariablesINPUT-FCC'!D$21*D24)+('VariablesINPUT-FCC'!D$22*D25)+('VariablesINPUT-FCC'!D$23*D26)+('VariablesINPUT-FCC'!D$24*D27)+('VariablesINPUT-FCC'!D$25*D28))</f>
        <v>36397.18</v>
      </c>
    </row>
    <row r="31" spans="1:6" x14ac:dyDescent="0.15">
      <c r="A31" s="21"/>
      <c r="B31" s="21"/>
      <c r="C31" s="21"/>
      <c r="D31" s="21"/>
    </row>
    <row r="32" spans="1:6" x14ac:dyDescent="0.15">
      <c r="A32" s="1" t="s">
        <v>250</v>
      </c>
      <c r="B32" s="1"/>
      <c r="C32" s="1"/>
      <c r="D32" s="1"/>
    </row>
    <row r="33" spans="1:4" x14ac:dyDescent="0.15">
      <c r="A33" s="362" t="s">
        <v>249</v>
      </c>
      <c r="B33" s="42" t="s">
        <v>245</v>
      </c>
      <c r="C33" s="42" t="s">
        <v>25</v>
      </c>
      <c r="D33" s="42" t="s">
        <v>226</v>
      </c>
    </row>
    <row r="34" spans="1:4" x14ac:dyDescent="0.15">
      <c r="A34" s="66" t="s">
        <v>84</v>
      </c>
      <c r="B34" s="227"/>
      <c r="C34" s="227"/>
      <c r="D34" s="228">
        <v>41600</v>
      </c>
    </row>
    <row r="35" spans="1:4" x14ac:dyDescent="0.15">
      <c r="A35" s="66" t="s">
        <v>85</v>
      </c>
      <c r="B35" s="229">
        <v>45599.199999999997</v>
      </c>
      <c r="C35" s="229">
        <f>B35</f>
        <v>45599.199999999997</v>
      </c>
      <c r="D35" s="228">
        <v>45021.599999999999</v>
      </c>
    </row>
    <row r="36" spans="1:4" x14ac:dyDescent="0.15">
      <c r="A36" s="66" t="s">
        <v>88</v>
      </c>
      <c r="B36" s="227">
        <v>62379.199999999997</v>
      </c>
      <c r="C36" s="229">
        <f>B36</f>
        <v>62379.199999999997</v>
      </c>
      <c r="D36" s="228">
        <v>53126.71</v>
      </c>
    </row>
    <row r="37" spans="1:4" x14ac:dyDescent="0.15">
      <c r="A37" s="66" t="s">
        <v>86</v>
      </c>
      <c r="B37" s="227">
        <v>72072</v>
      </c>
      <c r="C37" s="229">
        <f>B37</f>
        <v>72072</v>
      </c>
      <c r="D37" s="228">
        <v>57291.27</v>
      </c>
    </row>
    <row r="38" spans="1:4" x14ac:dyDescent="0.15">
      <c r="A38" s="66" t="s">
        <v>87</v>
      </c>
      <c r="B38" s="363"/>
      <c r="C38" s="229">
        <f>B38</f>
        <v>0</v>
      </c>
      <c r="D38" s="228"/>
    </row>
    <row r="39" spans="1:4" x14ac:dyDescent="0.15">
      <c r="A39" s="360"/>
      <c r="B39" s="75"/>
      <c r="C39" s="76"/>
    </row>
    <row r="40" spans="1:4" x14ac:dyDescent="0.15">
      <c r="A40" s="21" t="s">
        <v>113</v>
      </c>
      <c r="B40" s="75">
        <f>('VariablesINPUT-FCC'!C$21*B34)+('VariablesINPUT-FCC'!C$22*B35)+('VariablesINPUT-FCC'!C$23*B36)+('VariablesINPUT-FCC'!C$24*B37)+('VariablesINPUT-FCC'!C$25*B38)</f>
        <v>62379.199999999997</v>
      </c>
      <c r="C40" s="22">
        <f>(('VariablesINPUT-FCC'!C$21*C34)+('VariablesINPUT-FCC'!C$22*C35)+('VariablesINPUT-FCC'!C$23*C36)+('VariablesINPUT-FCC'!C$24*C37)+('VariablesINPUT-FCC'!C$25*C38))</f>
        <v>62379.199999999997</v>
      </c>
      <c r="D40" s="22">
        <f>(('VariablesINPUT-FCC'!D$21*D34)+('VariablesINPUT-FCC'!D$22*D35)+('VariablesINPUT-FCC'!D$23*D36)+('VariablesINPUT-FCC'!D$24*D37)+('VariablesINPUT-FCC'!D$25*D38))</f>
        <v>49074.154999999999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G42"/>
  <sheetViews>
    <sheetView zoomScale="130" zoomScaleNormal="130" workbookViewId="0">
      <selection activeCell="C18" sqref="C18"/>
    </sheetView>
  </sheetViews>
  <sheetFormatPr baseColWidth="10" defaultColWidth="8.83203125" defaultRowHeight="13" x14ac:dyDescent="0.15"/>
  <cols>
    <col min="1" max="1" width="22.83203125" customWidth="1"/>
    <col min="2" max="2" width="19.83203125" customWidth="1"/>
    <col min="3" max="3" width="16.6640625" customWidth="1"/>
    <col min="4" max="4" width="16.1640625" customWidth="1"/>
    <col min="5" max="5" width="10.5" bestFit="1" customWidth="1"/>
    <col min="6" max="6" width="11.5" bestFit="1" customWidth="1"/>
    <col min="7" max="7" width="10.5" bestFit="1" customWidth="1"/>
  </cols>
  <sheetData>
    <row r="1" spans="1:7" ht="29.25" customHeight="1" x14ac:dyDescent="0.15">
      <c r="A1" s="1" t="s">
        <v>64</v>
      </c>
      <c r="B1" s="26" t="s">
        <v>46</v>
      </c>
      <c r="C1" s="15"/>
      <c r="D1" s="1" t="s">
        <v>238</v>
      </c>
    </row>
    <row r="2" spans="1:7" x14ac:dyDescent="0.15">
      <c r="D2" t="s">
        <v>13</v>
      </c>
      <c r="E2" s="383">
        <f>983/3</f>
        <v>327.66666666666669</v>
      </c>
    </row>
    <row r="3" spans="1:7" x14ac:dyDescent="0.15">
      <c r="D3" t="s">
        <v>271</v>
      </c>
      <c r="E3" s="383">
        <f>3435/3</f>
        <v>1145</v>
      </c>
    </row>
    <row r="4" spans="1:7" ht="24" customHeight="1" x14ac:dyDescent="0.15">
      <c r="A4" s="16" t="s">
        <v>40</v>
      </c>
      <c r="B4" s="15">
        <v>148.80000000000001</v>
      </c>
      <c r="D4" t="s">
        <v>272</v>
      </c>
      <c r="E4" s="383">
        <f>2396/3</f>
        <v>798.66666666666663</v>
      </c>
    </row>
    <row r="5" spans="1:7" x14ac:dyDescent="0.15">
      <c r="A5" s="15" t="s">
        <v>47</v>
      </c>
      <c r="B5" s="15">
        <v>247.99</v>
      </c>
    </row>
    <row r="6" spans="1:7" x14ac:dyDescent="0.15">
      <c r="A6" s="15" t="s">
        <v>48</v>
      </c>
      <c r="B6" s="15">
        <v>297.58999999999997</v>
      </c>
    </row>
    <row r="7" spans="1:7" x14ac:dyDescent="0.15">
      <c r="A7" s="15" t="s">
        <v>49</v>
      </c>
      <c r="B7" s="15">
        <v>446.39</v>
      </c>
    </row>
    <row r="8" spans="1:7" x14ac:dyDescent="0.15">
      <c r="A8" s="17" t="s">
        <v>66</v>
      </c>
      <c r="B8" s="17">
        <v>120</v>
      </c>
    </row>
    <row r="9" spans="1:7" x14ac:dyDescent="0.15">
      <c r="A9" s="17" t="s">
        <v>50</v>
      </c>
      <c r="B9" s="17">
        <v>595.17999999999995</v>
      </c>
    </row>
    <row r="10" spans="1:7" x14ac:dyDescent="0.15">
      <c r="A10" s="17" t="s">
        <v>51</v>
      </c>
      <c r="B10" s="17">
        <v>178.55</v>
      </c>
    </row>
    <row r="11" spans="1:7" x14ac:dyDescent="0.15">
      <c r="A11" s="17" t="s">
        <v>52</v>
      </c>
      <c r="B11" s="17">
        <v>238.07</v>
      </c>
    </row>
    <row r="12" spans="1:7" x14ac:dyDescent="0.15">
      <c r="A12" s="17" t="s">
        <v>38</v>
      </c>
      <c r="B12" s="17">
        <v>446.39</v>
      </c>
    </row>
    <row r="13" spans="1:7" x14ac:dyDescent="0.15">
      <c r="A13" s="17" t="s">
        <v>53</v>
      </c>
      <c r="B13" s="17">
        <v>4761.46</v>
      </c>
    </row>
    <row r="14" spans="1:7" x14ac:dyDescent="0.15">
      <c r="A14" s="17" t="s">
        <v>54</v>
      </c>
      <c r="B14" s="17">
        <v>892.77</v>
      </c>
      <c r="C14" s="48"/>
    </row>
    <row r="15" spans="1:7" x14ac:dyDescent="0.15">
      <c r="A15" s="17" t="s">
        <v>12</v>
      </c>
      <c r="B15" s="17">
        <v>250</v>
      </c>
      <c r="C15" s="48"/>
      <c r="D15" s="56"/>
      <c r="E15" s="56"/>
      <c r="F15" s="56"/>
      <c r="G15" s="56"/>
    </row>
    <row r="16" spans="1:7" x14ac:dyDescent="0.15">
      <c r="A16" s="15" t="s">
        <v>55</v>
      </c>
      <c r="B16">
        <v>99.2</v>
      </c>
      <c r="C16" s="48"/>
      <c r="D16" s="19"/>
      <c r="E16" s="19"/>
      <c r="F16" s="19"/>
      <c r="G16" s="19"/>
    </row>
    <row r="17" spans="1:7" x14ac:dyDescent="0.15">
      <c r="A17" s="17" t="s">
        <v>56</v>
      </c>
      <c r="B17" s="56">
        <v>99.2</v>
      </c>
      <c r="C17" s="48"/>
    </row>
    <row r="18" spans="1:7" x14ac:dyDescent="0.15">
      <c r="B18" s="56"/>
    </row>
    <row r="19" spans="1:7" x14ac:dyDescent="0.15">
      <c r="A19" s="17" t="s">
        <v>57</v>
      </c>
      <c r="B19" s="17">
        <v>11903.64</v>
      </c>
      <c r="C19" s="56"/>
      <c r="D19" s="56"/>
      <c r="E19" s="56"/>
      <c r="F19" s="56"/>
      <c r="G19" s="56"/>
    </row>
    <row r="20" spans="1:7" x14ac:dyDescent="0.15">
      <c r="A20" s="17" t="s">
        <v>14</v>
      </c>
      <c r="B20" s="17">
        <v>669.58</v>
      </c>
      <c r="C20" s="19"/>
      <c r="D20" s="19"/>
      <c r="E20" s="19"/>
      <c r="F20" s="19"/>
      <c r="G20" s="19"/>
    </row>
    <row r="21" spans="1:7" x14ac:dyDescent="0.15">
      <c r="A21" s="17" t="s">
        <v>58</v>
      </c>
      <c r="B21" s="17">
        <v>495.99</v>
      </c>
      <c r="C21" s="48"/>
    </row>
    <row r="22" spans="1:7" x14ac:dyDescent="0.15">
      <c r="A22" s="56" t="s">
        <v>59</v>
      </c>
      <c r="B22" s="56">
        <v>1785.55</v>
      </c>
      <c r="C22" s="48"/>
    </row>
    <row r="23" spans="1:7" x14ac:dyDescent="0.15">
      <c r="A23" s="56" t="s">
        <v>60</v>
      </c>
      <c r="B23" s="56">
        <v>238.07</v>
      </c>
    </row>
    <row r="24" spans="1:7" x14ac:dyDescent="0.15">
      <c r="A24" s="328" t="s">
        <v>9</v>
      </c>
      <c r="B24" s="49">
        <f>SUM(B19:B23)</f>
        <v>15092.829999999998</v>
      </c>
    </row>
    <row r="26" spans="1:7" x14ac:dyDescent="0.15">
      <c r="A26" s="57" t="s">
        <v>61</v>
      </c>
      <c r="B26" s="58">
        <v>75</v>
      </c>
    </row>
    <row r="27" spans="1:7" x14ac:dyDescent="0.15">
      <c r="A27" s="59" t="s">
        <v>62</v>
      </c>
      <c r="B27" s="60">
        <v>1200</v>
      </c>
    </row>
    <row r="28" spans="1:7" ht="12" customHeight="1" x14ac:dyDescent="0.15">
      <c r="A28" s="59" t="s">
        <v>63</v>
      </c>
      <c r="B28" s="327">
        <v>2400</v>
      </c>
    </row>
    <row r="29" spans="1:7" x14ac:dyDescent="0.15">
      <c r="A29" s="61" t="s">
        <v>65</v>
      </c>
      <c r="B29" s="325">
        <f>SUM(B26/(24*7)*(B27/B28))</f>
        <v>0.22321428571428573</v>
      </c>
    </row>
    <row r="30" spans="1:7" x14ac:dyDescent="0.15">
      <c r="A30" s="326"/>
      <c r="B30" s="326"/>
    </row>
    <row r="31" spans="1:7" x14ac:dyDescent="0.15">
      <c r="A31" s="17"/>
      <c r="B31" s="17"/>
    </row>
    <row r="32" spans="1:7" x14ac:dyDescent="0.15">
      <c r="A32" s="17" t="s">
        <v>67</v>
      </c>
      <c r="B32" s="17">
        <f>SUM(B4:B17)</f>
        <v>8821.590000000002</v>
      </c>
    </row>
    <row r="33" spans="1:3" x14ac:dyDescent="0.15">
      <c r="A33" s="17" t="s">
        <v>68</v>
      </c>
      <c r="B33" s="17">
        <f>B24*B29</f>
        <v>3368.9352678571427</v>
      </c>
    </row>
    <row r="34" spans="1:3" x14ac:dyDescent="0.15">
      <c r="A34" s="7"/>
      <c r="B34" s="7"/>
    </row>
    <row r="35" spans="1:3" x14ac:dyDescent="0.15">
      <c r="A35" s="6" t="s">
        <v>69</v>
      </c>
      <c r="B35" s="5">
        <f>SUM(B32:B33)</f>
        <v>12190.525267857145</v>
      </c>
      <c r="C35" s="9"/>
    </row>
    <row r="36" spans="1:3" x14ac:dyDescent="0.15">
      <c r="A36" s="5"/>
      <c r="B36" s="5"/>
    </row>
    <row r="37" spans="1:3" ht="14" thickBot="1" x14ac:dyDescent="0.2">
      <c r="A37" s="3"/>
      <c r="B37" s="3"/>
    </row>
    <row r="38" spans="1:3" ht="14" thickTop="1" x14ac:dyDescent="0.15">
      <c r="A38" s="29" t="s">
        <v>70</v>
      </c>
      <c r="B38" s="30">
        <f>SUM(B4,B5,B6,B7,B8,B9,B10,B11,B14,B16,B17)</f>
        <v>3363.7399999999993</v>
      </c>
      <c r="C38" s="356"/>
    </row>
    <row r="39" spans="1:3" x14ac:dyDescent="0.15">
      <c r="A39" s="31" t="s">
        <v>13</v>
      </c>
      <c r="B39" s="32">
        <f>B33</f>
        <v>3368.9352678571427</v>
      </c>
      <c r="C39" s="356"/>
    </row>
    <row r="40" spans="1:3" x14ac:dyDescent="0.15">
      <c r="A40" s="31" t="s">
        <v>71</v>
      </c>
      <c r="B40" s="33">
        <f>SUM(B13,B12,B15)</f>
        <v>5457.85</v>
      </c>
      <c r="C40" s="356">
        <f>B40/6</f>
        <v>909.64166666666677</v>
      </c>
    </row>
    <row r="41" spans="1:3" ht="14" thickBot="1" x14ac:dyDescent="0.2">
      <c r="A41" s="34"/>
      <c r="B41" s="35" t="s">
        <v>72</v>
      </c>
    </row>
    <row r="42" spans="1:3" ht="14" thickTop="1" x14ac:dyDescent="0.15"/>
  </sheetData>
  <pageMargins left="0.75" right="0.75" top="1" bottom="1" header="0.5" footer="0.5"/>
  <pageSetup orientation="portrait"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91D05-AC5F-4748-9C6A-505C6B8C3600}">
  <sheetPr>
    <tabColor theme="5"/>
  </sheetPr>
  <dimension ref="A1:M29"/>
  <sheetViews>
    <sheetView workbookViewId="0">
      <selection activeCell="C18" sqref="C18"/>
    </sheetView>
  </sheetViews>
  <sheetFormatPr baseColWidth="10" defaultRowHeight="13" x14ac:dyDescent="0.15"/>
  <cols>
    <col min="1" max="1" width="12.5" customWidth="1"/>
    <col min="9" max="9" width="13.1640625" customWidth="1"/>
    <col min="10" max="10" width="12.1640625" customWidth="1"/>
  </cols>
  <sheetData>
    <row r="1" spans="1:13" x14ac:dyDescent="0.15">
      <c r="A1" s="15" t="s">
        <v>121</v>
      </c>
      <c r="B1" s="416" t="s">
        <v>125</v>
      </c>
      <c r="C1" s="417"/>
      <c r="D1" s="416" t="s">
        <v>126</v>
      </c>
      <c r="E1" s="417"/>
      <c r="F1" s="418" t="s">
        <v>127</v>
      </c>
      <c r="G1" s="419"/>
      <c r="H1" s="420"/>
      <c r="I1" s="414" t="s">
        <v>283</v>
      </c>
      <c r="J1" s="415"/>
      <c r="K1" s="415"/>
    </row>
    <row r="2" spans="1:13" x14ac:dyDescent="0.15">
      <c r="B2" s="332" t="s">
        <v>123</v>
      </c>
      <c r="C2" s="333" t="s">
        <v>124</v>
      </c>
      <c r="D2" s="332" t="s">
        <v>123</v>
      </c>
      <c r="E2" s="333" t="s">
        <v>124</v>
      </c>
      <c r="F2" s="80" t="s">
        <v>73</v>
      </c>
      <c r="G2" s="82" t="s">
        <v>74</v>
      </c>
      <c r="H2" s="81" t="s">
        <v>124</v>
      </c>
      <c r="I2" s="385" t="s">
        <v>73</v>
      </c>
      <c r="J2" s="385" t="s">
        <v>74</v>
      </c>
      <c r="K2" s="385" t="s">
        <v>124</v>
      </c>
      <c r="L2" s="230" t="s">
        <v>285</v>
      </c>
    </row>
    <row r="3" spans="1:13" x14ac:dyDescent="0.15">
      <c r="A3" s="83" t="s">
        <v>33</v>
      </c>
      <c r="B3" s="334">
        <v>651</v>
      </c>
      <c r="C3" s="335">
        <v>1061</v>
      </c>
      <c r="D3" s="334">
        <v>683</v>
      </c>
      <c r="E3" s="335">
        <v>1203</v>
      </c>
      <c r="F3" s="23">
        <v>800</v>
      </c>
      <c r="G3">
        <v>1254</v>
      </c>
      <c r="H3" s="73">
        <v>1415</v>
      </c>
      <c r="I3">
        <v>600</v>
      </c>
      <c r="J3">
        <v>941</v>
      </c>
      <c r="K3">
        <v>1061</v>
      </c>
      <c r="L3">
        <v>512</v>
      </c>
      <c r="M3">
        <f>B3*12</f>
        <v>7812</v>
      </c>
    </row>
    <row r="4" spans="1:13" x14ac:dyDescent="0.15">
      <c r="A4" s="84" t="s">
        <v>34</v>
      </c>
      <c r="B4" s="334">
        <v>625</v>
      </c>
      <c r="C4" s="335">
        <v>1053</v>
      </c>
      <c r="D4" s="334">
        <v>656</v>
      </c>
      <c r="E4" s="335">
        <v>1193</v>
      </c>
      <c r="F4" s="23">
        <v>750</v>
      </c>
      <c r="G4">
        <v>1140</v>
      </c>
      <c r="H4" s="73">
        <v>1404</v>
      </c>
      <c r="I4">
        <v>563</v>
      </c>
      <c r="J4">
        <v>855</v>
      </c>
      <c r="K4">
        <v>1053</v>
      </c>
      <c r="L4">
        <v>492</v>
      </c>
      <c r="M4">
        <f>B4*12</f>
        <v>7500</v>
      </c>
    </row>
    <row r="5" spans="1:13" x14ac:dyDescent="0.15">
      <c r="A5" s="84" t="s">
        <v>31</v>
      </c>
      <c r="B5" s="334">
        <v>586</v>
      </c>
      <c r="C5" s="335">
        <v>795</v>
      </c>
      <c r="D5" s="334">
        <v>620</v>
      </c>
      <c r="E5" s="335">
        <v>901</v>
      </c>
      <c r="F5" s="23">
        <v>730</v>
      </c>
      <c r="G5">
        <v>1000</v>
      </c>
      <c r="H5" s="73">
        <v>1060</v>
      </c>
      <c r="I5">
        <v>548</v>
      </c>
      <c r="J5">
        <v>750</v>
      </c>
      <c r="K5">
        <v>795</v>
      </c>
      <c r="L5">
        <v>465</v>
      </c>
      <c r="M5">
        <f>B5*12</f>
        <v>7032</v>
      </c>
    </row>
    <row r="6" spans="1:13" x14ac:dyDescent="0.15">
      <c r="A6" s="84" t="s">
        <v>79</v>
      </c>
      <c r="B6" s="334">
        <v>586</v>
      </c>
      <c r="C6" s="335">
        <v>641</v>
      </c>
      <c r="D6" s="334">
        <v>600</v>
      </c>
      <c r="E6" s="335">
        <v>727</v>
      </c>
      <c r="F6" s="23">
        <v>610</v>
      </c>
      <c r="G6">
        <v>750</v>
      </c>
      <c r="H6" s="73">
        <v>855</v>
      </c>
      <c r="I6">
        <v>458</v>
      </c>
      <c r="J6">
        <v>563</v>
      </c>
      <c r="K6">
        <v>641</v>
      </c>
      <c r="L6">
        <v>450</v>
      </c>
      <c r="M6">
        <f>B6*12</f>
        <v>7032</v>
      </c>
    </row>
    <row r="7" spans="1:13" x14ac:dyDescent="0.15">
      <c r="A7" s="85" t="s">
        <v>122</v>
      </c>
      <c r="B7" s="336">
        <v>651</v>
      </c>
      <c r="C7" s="337">
        <v>1061</v>
      </c>
      <c r="D7" s="336">
        <v>683</v>
      </c>
      <c r="E7" s="337">
        <v>1203</v>
      </c>
      <c r="F7" s="79">
        <v>800</v>
      </c>
      <c r="G7" s="62">
        <v>1254</v>
      </c>
      <c r="H7" s="74">
        <v>1415</v>
      </c>
      <c r="I7">
        <v>600</v>
      </c>
      <c r="J7">
        <v>941</v>
      </c>
      <c r="K7">
        <v>1061</v>
      </c>
      <c r="L7">
        <v>512</v>
      </c>
      <c r="M7">
        <f>B7*12</f>
        <v>7812</v>
      </c>
    </row>
    <row r="8" spans="1:13" x14ac:dyDescent="0.15">
      <c r="B8" s="338"/>
      <c r="C8" s="338"/>
      <c r="D8" s="338"/>
      <c r="E8" s="338"/>
    </row>
    <row r="9" spans="1:13" x14ac:dyDescent="0.15">
      <c r="B9" s="338"/>
      <c r="C9" s="338"/>
      <c r="D9" s="338"/>
      <c r="E9" s="338"/>
    </row>
    <row r="10" spans="1:13" x14ac:dyDescent="0.15">
      <c r="A10" s="15" t="s">
        <v>128</v>
      </c>
      <c r="B10" s="416" t="s">
        <v>125</v>
      </c>
      <c r="C10" s="417"/>
      <c r="D10" s="416" t="s">
        <v>126</v>
      </c>
      <c r="E10" s="417"/>
      <c r="F10" s="418" t="s">
        <v>127</v>
      </c>
      <c r="G10" s="419"/>
      <c r="H10" s="420"/>
      <c r="I10" s="414" t="s">
        <v>283</v>
      </c>
      <c r="J10" s="415"/>
      <c r="K10" s="415"/>
    </row>
    <row r="11" spans="1:13" ht="12" customHeight="1" x14ac:dyDescent="0.15">
      <c r="B11" s="332" t="s">
        <v>123</v>
      </c>
      <c r="C11" s="333" t="s">
        <v>124</v>
      </c>
      <c r="D11" s="332" t="s">
        <v>123</v>
      </c>
      <c r="E11" s="333" t="s">
        <v>124</v>
      </c>
      <c r="F11" s="80" t="s">
        <v>73</v>
      </c>
      <c r="G11" s="82" t="s">
        <v>74</v>
      </c>
      <c r="H11" s="81" t="s">
        <v>124</v>
      </c>
      <c r="I11" s="385" t="s">
        <v>73</v>
      </c>
      <c r="J11" s="385" t="s">
        <v>74</v>
      </c>
      <c r="K11" s="385" t="s">
        <v>124</v>
      </c>
    </row>
    <row r="12" spans="1:13" x14ac:dyDescent="0.15">
      <c r="A12" s="83" t="s">
        <v>33</v>
      </c>
      <c r="B12" s="334">
        <v>520</v>
      </c>
      <c r="C12" s="335">
        <v>641</v>
      </c>
      <c r="D12" s="334">
        <v>560</v>
      </c>
      <c r="E12" s="335">
        <v>727</v>
      </c>
      <c r="F12" s="23">
        <v>600</v>
      </c>
      <c r="G12">
        <v>750</v>
      </c>
      <c r="H12" s="73">
        <v>855</v>
      </c>
      <c r="I12">
        <v>450</v>
      </c>
      <c r="J12">
        <v>563</v>
      </c>
      <c r="K12">
        <v>641</v>
      </c>
      <c r="L12">
        <v>420</v>
      </c>
      <c r="M12">
        <f>B12*12</f>
        <v>6240</v>
      </c>
    </row>
    <row r="13" spans="1:13" x14ac:dyDescent="0.15">
      <c r="A13" s="84" t="s">
        <v>34</v>
      </c>
      <c r="B13" s="334">
        <v>499</v>
      </c>
      <c r="C13" s="335">
        <v>589</v>
      </c>
      <c r="D13" s="334">
        <v>533</v>
      </c>
      <c r="E13" s="335">
        <v>667</v>
      </c>
      <c r="F13" s="23">
        <v>555</v>
      </c>
      <c r="G13">
        <v>700</v>
      </c>
      <c r="H13" s="73">
        <v>785</v>
      </c>
      <c r="I13">
        <v>416</v>
      </c>
      <c r="J13">
        <v>525</v>
      </c>
      <c r="K13">
        <v>589</v>
      </c>
      <c r="L13">
        <v>400</v>
      </c>
      <c r="M13">
        <f>B13*12</f>
        <v>5988</v>
      </c>
    </row>
    <row r="14" spans="1:13" x14ac:dyDescent="0.15">
      <c r="A14" s="84" t="s">
        <v>31</v>
      </c>
      <c r="B14" s="334">
        <v>494</v>
      </c>
      <c r="C14" s="335">
        <v>510</v>
      </c>
      <c r="D14" s="334">
        <v>533</v>
      </c>
      <c r="E14" s="335">
        <v>578</v>
      </c>
      <c r="F14" s="23">
        <v>550</v>
      </c>
      <c r="G14">
        <v>650</v>
      </c>
      <c r="H14" s="73">
        <v>680</v>
      </c>
      <c r="I14">
        <v>413</v>
      </c>
      <c r="J14">
        <v>488</v>
      </c>
      <c r="K14">
        <v>510</v>
      </c>
      <c r="L14">
        <v>400</v>
      </c>
      <c r="M14">
        <f>B14*12</f>
        <v>5928</v>
      </c>
    </row>
    <row r="15" spans="1:13" x14ac:dyDescent="0.15">
      <c r="A15" s="84" t="s">
        <v>79</v>
      </c>
      <c r="B15" s="334">
        <v>480</v>
      </c>
      <c r="C15" s="335">
        <v>431</v>
      </c>
      <c r="D15" s="334">
        <v>500</v>
      </c>
      <c r="E15" s="335">
        <v>489</v>
      </c>
      <c r="F15" s="23">
        <v>510</v>
      </c>
      <c r="G15">
        <v>600</v>
      </c>
      <c r="H15" s="73">
        <v>575</v>
      </c>
      <c r="I15">
        <v>383</v>
      </c>
      <c r="J15">
        <v>450</v>
      </c>
      <c r="K15">
        <v>431</v>
      </c>
      <c r="L15">
        <v>375</v>
      </c>
      <c r="M15">
        <f>B15*12</f>
        <v>5760</v>
      </c>
    </row>
    <row r="16" spans="1:13" x14ac:dyDescent="0.15">
      <c r="A16" s="85" t="s">
        <v>122</v>
      </c>
      <c r="B16" s="336">
        <v>520</v>
      </c>
      <c r="C16" s="337">
        <v>641</v>
      </c>
      <c r="D16" s="336">
        <v>560</v>
      </c>
      <c r="E16" s="337">
        <v>727</v>
      </c>
      <c r="F16" s="79">
        <v>600</v>
      </c>
      <c r="G16" s="62">
        <v>750</v>
      </c>
      <c r="H16" s="74">
        <v>855</v>
      </c>
      <c r="I16">
        <v>450</v>
      </c>
      <c r="J16">
        <v>563</v>
      </c>
      <c r="K16">
        <v>641</v>
      </c>
      <c r="L16">
        <v>420</v>
      </c>
      <c r="M16">
        <f>B16*12</f>
        <v>6240</v>
      </c>
    </row>
    <row r="17" spans="1:13" x14ac:dyDescent="0.15">
      <c r="B17" s="338"/>
      <c r="C17" s="338"/>
      <c r="D17" s="338"/>
      <c r="E17" s="338"/>
    </row>
    <row r="18" spans="1:13" x14ac:dyDescent="0.15">
      <c r="B18" s="338"/>
      <c r="C18" s="338"/>
      <c r="D18" s="338"/>
      <c r="E18" s="338"/>
    </row>
    <row r="19" spans="1:13" x14ac:dyDescent="0.15">
      <c r="A19" s="15" t="s">
        <v>129</v>
      </c>
      <c r="B19" s="416" t="s">
        <v>125</v>
      </c>
      <c r="C19" s="417"/>
      <c r="D19" s="416" t="s">
        <v>126</v>
      </c>
      <c r="E19" s="417"/>
      <c r="F19" s="418" t="s">
        <v>127</v>
      </c>
      <c r="G19" s="419"/>
      <c r="H19" s="420"/>
      <c r="I19" s="414" t="s">
        <v>283</v>
      </c>
      <c r="J19" s="415"/>
      <c r="K19" s="415"/>
    </row>
    <row r="20" spans="1:13" x14ac:dyDescent="0.15">
      <c r="B20" s="332" t="s">
        <v>123</v>
      </c>
      <c r="C20" s="333" t="s">
        <v>124</v>
      </c>
      <c r="D20" s="332" t="s">
        <v>123</v>
      </c>
      <c r="E20" s="333" t="s">
        <v>124</v>
      </c>
      <c r="F20" s="80" t="s">
        <v>73</v>
      </c>
      <c r="G20" s="82" t="s">
        <v>74</v>
      </c>
      <c r="H20" s="81" t="s">
        <v>124</v>
      </c>
      <c r="I20" s="385" t="s">
        <v>73</v>
      </c>
      <c r="J20" s="385" t="s">
        <v>74</v>
      </c>
      <c r="K20" s="385" t="s">
        <v>124</v>
      </c>
    </row>
    <row r="21" spans="1:13" x14ac:dyDescent="0.15">
      <c r="A21" s="83" t="s">
        <v>33</v>
      </c>
      <c r="B21" s="334">
        <v>520</v>
      </c>
      <c r="C21" s="335">
        <v>641</v>
      </c>
      <c r="D21" s="334">
        <v>560</v>
      </c>
      <c r="E21" s="335">
        <v>727</v>
      </c>
      <c r="F21" s="23">
        <v>600</v>
      </c>
      <c r="G21">
        <v>750</v>
      </c>
      <c r="H21" s="73">
        <v>855</v>
      </c>
      <c r="I21">
        <v>450</v>
      </c>
      <c r="J21">
        <v>563</v>
      </c>
      <c r="K21">
        <v>641</v>
      </c>
      <c r="M21">
        <f>B21*12</f>
        <v>6240</v>
      </c>
    </row>
    <row r="22" spans="1:13" x14ac:dyDescent="0.15">
      <c r="A22" s="84" t="s">
        <v>34</v>
      </c>
      <c r="B22" s="334">
        <v>499</v>
      </c>
      <c r="C22" s="335">
        <v>589</v>
      </c>
      <c r="D22" s="334">
        <v>533</v>
      </c>
      <c r="E22" s="335">
        <v>667</v>
      </c>
      <c r="F22" s="23">
        <v>555</v>
      </c>
      <c r="G22">
        <v>700</v>
      </c>
      <c r="H22" s="73">
        <v>785</v>
      </c>
      <c r="I22">
        <v>416</v>
      </c>
      <c r="J22">
        <v>525</v>
      </c>
      <c r="K22">
        <v>589</v>
      </c>
      <c r="M22">
        <f>B22*12</f>
        <v>5988</v>
      </c>
    </row>
    <row r="23" spans="1:13" x14ac:dyDescent="0.15">
      <c r="A23" s="84" t="s">
        <v>31</v>
      </c>
      <c r="B23" s="334">
        <v>494</v>
      </c>
      <c r="C23" s="335">
        <v>510</v>
      </c>
      <c r="D23" s="334">
        <v>533</v>
      </c>
      <c r="E23" s="335">
        <v>578</v>
      </c>
      <c r="F23" s="23">
        <v>550</v>
      </c>
      <c r="G23">
        <v>650</v>
      </c>
      <c r="H23" s="73">
        <v>680</v>
      </c>
      <c r="I23">
        <v>413</v>
      </c>
      <c r="J23">
        <v>488</v>
      </c>
      <c r="K23">
        <v>510</v>
      </c>
      <c r="M23">
        <f>B23*12</f>
        <v>5928</v>
      </c>
    </row>
    <row r="24" spans="1:13" x14ac:dyDescent="0.15">
      <c r="A24" s="84" t="s">
        <v>79</v>
      </c>
      <c r="B24" s="334">
        <v>480</v>
      </c>
      <c r="C24" s="335">
        <v>431</v>
      </c>
      <c r="D24" s="334">
        <v>500</v>
      </c>
      <c r="E24" s="335">
        <v>489</v>
      </c>
      <c r="F24" s="23">
        <v>510</v>
      </c>
      <c r="G24">
        <v>600</v>
      </c>
      <c r="H24" s="73">
        <v>575</v>
      </c>
      <c r="I24">
        <v>383</v>
      </c>
      <c r="J24">
        <v>450</v>
      </c>
      <c r="K24">
        <v>431</v>
      </c>
      <c r="M24">
        <f>B24*12</f>
        <v>5760</v>
      </c>
    </row>
    <row r="25" spans="1:13" x14ac:dyDescent="0.15">
      <c r="A25" s="85" t="s">
        <v>122</v>
      </c>
      <c r="B25" s="336">
        <v>520</v>
      </c>
      <c r="C25" s="337">
        <v>641</v>
      </c>
      <c r="D25" s="336">
        <v>560</v>
      </c>
      <c r="E25" s="337">
        <v>727</v>
      </c>
      <c r="F25" s="79">
        <v>600</v>
      </c>
      <c r="G25" s="62">
        <v>750</v>
      </c>
      <c r="H25" s="74">
        <v>855</v>
      </c>
      <c r="I25">
        <v>450</v>
      </c>
      <c r="J25">
        <v>563</v>
      </c>
      <c r="K25">
        <v>641</v>
      </c>
      <c r="M25">
        <f>B25*12</f>
        <v>6240</v>
      </c>
    </row>
    <row r="28" spans="1:13" x14ac:dyDescent="0.15">
      <c r="A28" s="11" t="s">
        <v>130</v>
      </c>
    </row>
    <row r="29" spans="1:13" x14ac:dyDescent="0.15">
      <c r="A29" s="15" t="s">
        <v>131</v>
      </c>
    </row>
  </sheetData>
  <mergeCells count="12">
    <mergeCell ref="I1:K1"/>
    <mergeCell ref="I10:K10"/>
    <mergeCell ref="I19:K19"/>
    <mergeCell ref="B1:C1"/>
    <mergeCell ref="D1:E1"/>
    <mergeCell ref="F1:H1"/>
    <mergeCell ref="B19:C19"/>
    <mergeCell ref="D19:E19"/>
    <mergeCell ref="F19:H19"/>
    <mergeCell ref="B10:C10"/>
    <mergeCell ref="D10:E10"/>
    <mergeCell ref="F10:H10"/>
  </mergeCells>
  <hyperlinks>
    <hyperlink ref="A28" r:id="rId1" xr:uid="{5114977C-7A65-F74A-AB85-8367654866F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21821-06F8-8244-9E5B-A1101AAC2320}">
  <sheetPr>
    <tabColor theme="5"/>
  </sheetPr>
  <dimension ref="A1:F31"/>
  <sheetViews>
    <sheetView workbookViewId="0">
      <selection activeCell="J24" sqref="J24"/>
    </sheetView>
  </sheetViews>
  <sheetFormatPr baseColWidth="10" defaultRowHeight="13" x14ac:dyDescent="0.15"/>
  <sheetData>
    <row r="1" spans="1:6" x14ac:dyDescent="0.15">
      <c r="A1" s="15" t="s">
        <v>114</v>
      </c>
      <c r="B1" s="418" t="s">
        <v>127</v>
      </c>
      <c r="C1" s="419"/>
      <c r="D1" s="420"/>
      <c r="F1" s="15" t="s">
        <v>273</v>
      </c>
    </row>
    <row r="2" spans="1:6" x14ac:dyDescent="0.15">
      <c r="B2" s="80" t="s">
        <v>74</v>
      </c>
      <c r="C2" s="82" t="s">
        <v>73</v>
      </c>
      <c r="D2" s="81" t="s">
        <v>124</v>
      </c>
      <c r="F2" s="11" t="s">
        <v>274</v>
      </c>
    </row>
    <row r="3" spans="1:6" x14ac:dyDescent="0.15">
      <c r="A3" s="83" t="s">
        <v>33</v>
      </c>
      <c r="B3" s="23">
        <v>1300</v>
      </c>
      <c r="C3" s="384">
        <v>800</v>
      </c>
      <c r="D3">
        <v>1570</v>
      </c>
    </row>
    <row r="4" spans="1:6" x14ac:dyDescent="0.15">
      <c r="A4" s="84" t="s">
        <v>34</v>
      </c>
      <c r="B4" s="23">
        <v>1200</v>
      </c>
      <c r="C4" s="384">
        <v>700</v>
      </c>
      <c r="D4">
        <v>1595</v>
      </c>
    </row>
    <row r="5" spans="1:6" x14ac:dyDescent="0.15">
      <c r="A5" s="84" t="s">
        <v>31</v>
      </c>
      <c r="B5" s="23">
        <v>1044</v>
      </c>
      <c r="C5" s="384">
        <v>700</v>
      </c>
      <c r="D5">
        <v>1200</v>
      </c>
      <c r="F5" s="15" t="s">
        <v>277</v>
      </c>
    </row>
    <row r="6" spans="1:6" x14ac:dyDescent="0.15">
      <c r="A6" s="85" t="s">
        <v>275</v>
      </c>
      <c r="B6" s="79">
        <v>750</v>
      </c>
      <c r="C6" s="384">
        <v>600</v>
      </c>
      <c r="D6">
        <v>520</v>
      </c>
      <c r="F6" s="15" t="s">
        <v>278</v>
      </c>
    </row>
    <row r="7" spans="1:6" x14ac:dyDescent="0.15">
      <c r="A7" s="329" t="s">
        <v>276</v>
      </c>
      <c r="B7" s="23">
        <v>750</v>
      </c>
      <c r="C7" s="384">
        <v>600</v>
      </c>
      <c r="D7">
        <v>780</v>
      </c>
    </row>
    <row r="9" spans="1:6" x14ac:dyDescent="0.15">
      <c r="A9" s="15"/>
      <c r="B9" s="418" t="s">
        <v>189</v>
      </c>
      <c r="C9" s="419"/>
      <c r="D9" s="420"/>
    </row>
    <row r="10" spans="1:6" x14ac:dyDescent="0.15">
      <c r="B10" s="80" t="s">
        <v>185</v>
      </c>
      <c r="C10" s="82" t="s">
        <v>186</v>
      </c>
      <c r="D10" s="81" t="s">
        <v>187</v>
      </c>
      <c r="E10" s="385"/>
    </row>
    <row r="11" spans="1:6" x14ac:dyDescent="0.15">
      <c r="A11" s="83" t="s">
        <v>33</v>
      </c>
      <c r="B11" s="23">
        <v>600</v>
      </c>
      <c r="C11">
        <v>750</v>
      </c>
      <c r="D11" s="73">
        <v>950</v>
      </c>
    </row>
    <row r="12" spans="1:6" x14ac:dyDescent="0.15">
      <c r="A12" s="84" t="s">
        <v>34</v>
      </c>
      <c r="B12" s="23">
        <v>570</v>
      </c>
      <c r="C12">
        <v>700</v>
      </c>
      <c r="D12" s="73">
        <v>880</v>
      </c>
    </row>
    <row r="13" spans="1:6" x14ac:dyDescent="0.15">
      <c r="A13" s="84" t="s">
        <v>31</v>
      </c>
      <c r="B13" s="23">
        <v>570</v>
      </c>
      <c r="C13">
        <v>650</v>
      </c>
      <c r="D13" s="73">
        <v>800</v>
      </c>
    </row>
    <row r="14" spans="1:6" x14ac:dyDescent="0.15">
      <c r="A14" s="85" t="s">
        <v>275</v>
      </c>
      <c r="B14" s="79">
        <v>510</v>
      </c>
      <c r="C14" s="62">
        <v>600</v>
      </c>
      <c r="D14" s="74">
        <v>730</v>
      </c>
    </row>
    <row r="15" spans="1:6" x14ac:dyDescent="0.15">
      <c r="A15" s="329" t="s">
        <v>276</v>
      </c>
      <c r="B15" s="23">
        <v>550</v>
      </c>
      <c r="C15">
        <v>600</v>
      </c>
      <c r="D15" s="73">
        <v>660</v>
      </c>
    </row>
    <row r="17" spans="1:5" x14ac:dyDescent="0.15">
      <c r="A17" s="15"/>
      <c r="B17" s="418" t="s">
        <v>184</v>
      </c>
      <c r="C17" s="419"/>
      <c r="D17" s="419"/>
      <c r="E17" s="420"/>
    </row>
    <row r="18" spans="1:5" x14ac:dyDescent="0.15">
      <c r="B18" s="80" t="s">
        <v>185</v>
      </c>
      <c r="C18" s="82" t="s">
        <v>186</v>
      </c>
      <c r="D18" s="82" t="s">
        <v>187</v>
      </c>
      <c r="E18" s="194" t="s">
        <v>188</v>
      </c>
    </row>
    <row r="19" spans="1:5" x14ac:dyDescent="0.15">
      <c r="A19" s="83" t="s">
        <v>33</v>
      </c>
      <c r="B19" s="23">
        <v>840</v>
      </c>
      <c r="C19">
        <v>900</v>
      </c>
      <c r="D19">
        <v>1254</v>
      </c>
      <c r="E19" s="386">
        <v>1650</v>
      </c>
    </row>
    <row r="20" spans="1:5" x14ac:dyDescent="0.15">
      <c r="A20" s="84" t="s">
        <v>34</v>
      </c>
      <c r="B20" s="23">
        <v>750</v>
      </c>
      <c r="C20">
        <v>775</v>
      </c>
      <c r="D20">
        <v>1200</v>
      </c>
      <c r="E20" s="73">
        <v>1550</v>
      </c>
    </row>
    <row r="21" spans="1:5" x14ac:dyDescent="0.15">
      <c r="A21" s="84" t="s">
        <v>31</v>
      </c>
      <c r="B21" s="23">
        <v>685</v>
      </c>
      <c r="C21">
        <v>750</v>
      </c>
      <c r="D21">
        <v>1000</v>
      </c>
      <c r="E21" s="73">
        <v>1250</v>
      </c>
    </row>
    <row r="22" spans="1:5" x14ac:dyDescent="0.15">
      <c r="A22" s="85" t="s">
        <v>275</v>
      </c>
      <c r="B22" s="79">
        <v>600</v>
      </c>
      <c r="C22" s="62">
        <v>600</v>
      </c>
      <c r="D22" s="62">
        <v>850</v>
      </c>
      <c r="E22" s="74">
        <v>950</v>
      </c>
    </row>
    <row r="23" spans="1:5" x14ac:dyDescent="0.15">
      <c r="A23" s="329" t="s">
        <v>276</v>
      </c>
      <c r="B23" s="23">
        <v>695</v>
      </c>
      <c r="C23">
        <v>675</v>
      </c>
      <c r="D23">
        <v>800</v>
      </c>
      <c r="E23" s="73">
        <v>1000</v>
      </c>
    </row>
    <row r="24" spans="1:5" x14ac:dyDescent="0.15">
      <c r="A24" s="15"/>
    </row>
    <row r="25" spans="1:5" x14ac:dyDescent="0.15">
      <c r="A25" s="15"/>
      <c r="B25" s="418" t="s">
        <v>162</v>
      </c>
      <c r="C25" s="419"/>
      <c r="D25" s="419"/>
      <c r="E25" s="420"/>
    </row>
    <row r="26" spans="1:5" x14ac:dyDescent="0.15">
      <c r="B26" s="80" t="s">
        <v>185</v>
      </c>
      <c r="C26" s="82" t="s">
        <v>186</v>
      </c>
      <c r="D26" s="82" t="s">
        <v>187</v>
      </c>
      <c r="E26" s="81" t="s">
        <v>188</v>
      </c>
    </row>
    <row r="27" spans="1:5" x14ac:dyDescent="0.15">
      <c r="A27" s="83" t="s">
        <v>33</v>
      </c>
      <c r="B27" s="23">
        <v>875</v>
      </c>
      <c r="C27">
        <v>1068</v>
      </c>
      <c r="D27">
        <v>1470</v>
      </c>
      <c r="E27" s="73">
        <v>1680</v>
      </c>
    </row>
    <row r="28" spans="1:5" x14ac:dyDescent="0.15">
      <c r="A28" s="84" t="s">
        <v>34</v>
      </c>
      <c r="B28" s="23">
        <v>820</v>
      </c>
      <c r="C28">
        <v>1024</v>
      </c>
      <c r="D28">
        <v>1457</v>
      </c>
      <c r="E28" s="73">
        <v>1680</v>
      </c>
    </row>
    <row r="29" spans="1:5" x14ac:dyDescent="0.15">
      <c r="A29" s="84" t="s">
        <v>31</v>
      </c>
      <c r="B29" s="23">
        <v>680</v>
      </c>
      <c r="C29">
        <v>800</v>
      </c>
      <c r="D29">
        <v>1135</v>
      </c>
      <c r="E29" s="73">
        <v>1346</v>
      </c>
    </row>
    <row r="30" spans="1:5" x14ac:dyDescent="0.15">
      <c r="A30" s="85" t="s">
        <v>275</v>
      </c>
      <c r="B30" s="79">
        <v>400</v>
      </c>
      <c r="C30" s="62">
        <v>434</v>
      </c>
      <c r="D30" s="74">
        <v>650</v>
      </c>
      <c r="E30" s="74">
        <v>548</v>
      </c>
    </row>
    <row r="31" spans="1:5" x14ac:dyDescent="0.15">
      <c r="A31" s="329" t="s">
        <v>276</v>
      </c>
      <c r="B31" s="23">
        <v>590</v>
      </c>
      <c r="C31">
        <v>590</v>
      </c>
      <c r="D31">
        <v>900</v>
      </c>
      <c r="E31" s="73">
        <v>1275</v>
      </c>
    </row>
  </sheetData>
  <mergeCells count="4">
    <mergeCell ref="B17:E17"/>
    <mergeCell ref="B1:D1"/>
    <mergeCell ref="B9:D9"/>
    <mergeCell ref="B25:E25"/>
  </mergeCells>
  <hyperlinks>
    <hyperlink ref="F2" r:id="rId1" xr:uid="{6DFD9F7B-38E4-0E4F-ACF7-C31821802BE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A14B1-3C32-4648-AB63-784D0460E564}">
  <sheetPr>
    <tabColor theme="5"/>
  </sheetPr>
  <dimension ref="A1:C8"/>
  <sheetViews>
    <sheetView workbookViewId="0">
      <selection activeCell="L1" sqref="L1"/>
    </sheetView>
  </sheetViews>
  <sheetFormatPr baseColWidth="10" defaultRowHeight="13" x14ac:dyDescent="0.15"/>
  <cols>
    <col min="1" max="1" width="17.6640625" customWidth="1"/>
    <col min="2" max="2" width="11.1640625" bestFit="1" customWidth="1"/>
  </cols>
  <sheetData>
    <row r="1" spans="1:3" x14ac:dyDescent="0.15">
      <c r="B1" s="1" t="s">
        <v>194</v>
      </c>
    </row>
    <row r="2" spans="1:3" x14ac:dyDescent="0.15">
      <c r="A2" s="1" t="s">
        <v>76</v>
      </c>
      <c r="B2" s="254">
        <v>15000</v>
      </c>
      <c r="C2" s="15" t="s">
        <v>287</v>
      </c>
    </row>
    <row r="3" spans="1:3" x14ac:dyDescent="0.15">
      <c r="A3" s="15" t="s">
        <v>143</v>
      </c>
      <c r="B3" s="254">
        <v>13300</v>
      </c>
      <c r="C3" s="15" t="s">
        <v>195</v>
      </c>
    </row>
    <row r="4" spans="1:3" x14ac:dyDescent="0.15">
      <c r="B4" s="44"/>
    </row>
    <row r="5" spans="1:3" x14ac:dyDescent="0.15">
      <c r="A5" s="1" t="s">
        <v>77</v>
      </c>
      <c r="B5" s="254">
        <v>12000</v>
      </c>
    </row>
    <row r="6" spans="1:3" x14ac:dyDescent="0.15">
      <c r="A6" s="15" t="s">
        <v>142</v>
      </c>
      <c r="B6" s="254">
        <v>9208</v>
      </c>
    </row>
    <row r="7" spans="1:3" x14ac:dyDescent="0.15">
      <c r="A7" s="15" t="s">
        <v>141</v>
      </c>
      <c r="B7" s="254">
        <v>9208</v>
      </c>
      <c r="C7" s="15" t="s">
        <v>195</v>
      </c>
    </row>
    <row r="8" spans="1:3" x14ac:dyDescent="0.15">
      <c r="A8"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377F8633B7744F9A6B595A6F8C5159" ma:contentTypeVersion="6" ma:contentTypeDescription="Create a new document." ma:contentTypeScope="" ma:versionID="113844522edad12d8d21687a2c779e99">
  <xsd:schema xmlns:xsd="http://www.w3.org/2001/XMLSchema" xmlns:xs="http://www.w3.org/2001/XMLSchema" xmlns:p="http://schemas.microsoft.com/office/2006/metadata/properties" xmlns:ns1="http://schemas.microsoft.com/sharepoint/v3" xmlns:ns2="72b02b42-27c2-4ae3-a39f-3945b410e3bb" xmlns:ns3="82da573d-96d7-443e-be48-dda8c9da9147" targetNamespace="http://schemas.microsoft.com/office/2006/metadata/properties" ma:root="true" ma:fieldsID="a289bb13431d0cef0fd2d94697a1dd47" ns1:_="" ns2:_="" ns3:_="">
    <xsd:import namespace="http://schemas.microsoft.com/sharepoint/v3"/>
    <xsd:import namespace="72b02b42-27c2-4ae3-a39f-3945b410e3bb"/>
    <xsd:import namespace="82da573d-96d7-443e-be48-dda8c9da9147"/>
    <xsd:element name="properties">
      <xsd:complexType>
        <xsd:sequence>
          <xsd:element name="documentManagement">
            <xsd:complexType>
              <xsd:all>
                <xsd:element ref="ns1:PublishingStartDate" minOccurs="0"/>
                <xsd:element ref="ns1:PublishingExpirationDate" minOccurs="0"/>
                <xsd:element ref="ns2:SharedWithUsers" minOccurs="0"/>
                <xsd:element ref="ns3:Reports" minOccurs="0"/>
                <xsd:element ref="ns3:DELC_x0020_Program_x0020_Type" minOccurs="0"/>
                <xsd:element ref="ns3:Year" minOccurs="0"/>
                <xsd:element ref="ns3:Meeting_x0020_Materia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b02b42-27c2-4ae3-a39f-3945b410e3b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2da573d-96d7-443e-be48-dda8c9da9147" elementFormDefault="qualified">
    <xsd:import namespace="http://schemas.microsoft.com/office/2006/documentManagement/types"/>
    <xsd:import namespace="http://schemas.microsoft.com/office/infopath/2007/PartnerControls"/>
    <xsd:element name="Reports" ma:index="11" nillable="true" ma:displayName="Reports" ma:internalName="Reports">
      <xsd:complexType>
        <xsd:complexContent>
          <xsd:extension base="dms:MultiChoice">
            <xsd:sequence>
              <xsd:element name="Value" maxOccurs="unbounded" minOccurs="0" nillable="true">
                <xsd:simpleType>
                  <xsd:restriction base="dms:Choice">
                    <xsd:enumeration value="Academic Report"/>
                    <xsd:enumeration value="Legislative Report"/>
                    <xsd:enumeration value="State Report"/>
                  </xsd:restriction>
                </xsd:simpleType>
              </xsd:element>
            </xsd:sequence>
          </xsd:extension>
        </xsd:complexContent>
      </xsd:complexType>
    </xsd:element>
    <xsd:element name="DELC_x0020_Program_x0020_Type" ma:index="12" nillable="true" ma:displayName="DELC Program Type" ma:internalName="DELC_x0020_Program_x0020_Type">
      <xsd:complexType>
        <xsd:complexContent>
          <xsd:extension base="dms:MultiChoice">
            <xsd:sequence>
              <xsd:element name="Value" maxOccurs="unbounded" minOccurs="0" nillable="true">
                <xsd:simpleType>
                  <xsd:restriction base="dms:Choice">
                    <xsd:enumeration value="Birth Through Five Literacy Plan"/>
                    <xsd:enumeration value="Early Childhood Equity Fund"/>
                    <xsd:enumeration value="Early Learning Council"/>
                    <xsd:enumeration value="Employment Related Daycare (ERDC)"/>
                    <xsd:enumeration value="Preschool Promise"/>
                    <xsd:enumeration value="Healthy Families Oregon"/>
                    <xsd:enumeration value="HUB"/>
                    <xsd:enumeration value="Provider Information Session"/>
                    <xsd:enumeration value="CCDF State Plan"/>
                    <xsd:enumeration value="Rule Making"/>
                    <xsd:enumeration value="Early Childhood Suspension &amp; Expulsion Prevention Program (SEPP)"/>
                  </xsd:restriction>
                </xsd:simpleType>
              </xsd:element>
            </xsd:sequence>
          </xsd:extension>
        </xsd:complexContent>
      </xsd:complexType>
    </xsd:element>
    <xsd:element name="Year" ma:index="13" nillable="true" ma:displayName="Year" ma:internalName="Year">
      <xsd:simpleType>
        <xsd:restriction base="dms:Text">
          <xsd:maxLength value="255"/>
        </xsd:restriction>
      </xsd:simpleType>
    </xsd:element>
    <xsd:element name="Meeting_x0020_Materials" ma:index="14" nillable="true" ma:displayName="Meeting Materials" ma:description="Meeting Materials" ma:format="Dropdown" ma:internalName="Meeting_x0020_Materials">
      <xsd:simpleType>
        <xsd:restriction base="dms:Choice">
          <xsd:enumeration value="Early Learning Council"/>
          <xsd:enumeration value="Home Visiting System Committe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LC_x0020_Program_x0020_Type xmlns="82da573d-96d7-443e-be48-dda8c9da9147"/>
    <Reports xmlns="82da573d-96d7-443e-be48-dda8c9da9147"/>
    <Meeting_x0020_Materials xmlns="82da573d-96d7-443e-be48-dda8c9da9147" xsi:nil="true"/>
    <PublishingExpirationDate xmlns="http://schemas.microsoft.com/sharepoint/v3" xsi:nil="true"/>
    <PublishingStartDate xmlns="http://schemas.microsoft.com/sharepoint/v3" xsi:nil="true"/>
    <Year xmlns="82da573d-96d7-443e-be48-dda8c9da9147" xsi:nil="true"/>
  </documentManagement>
</p:properties>
</file>

<file path=customXml/itemProps1.xml><?xml version="1.0" encoding="utf-8"?>
<ds:datastoreItem xmlns:ds="http://schemas.openxmlformats.org/officeDocument/2006/customXml" ds:itemID="{B8F762D3-A456-4D6D-AB54-37CB470F8153}"/>
</file>

<file path=customXml/itemProps2.xml><?xml version="1.0" encoding="utf-8"?>
<ds:datastoreItem xmlns:ds="http://schemas.openxmlformats.org/officeDocument/2006/customXml" ds:itemID="{B37C24A2-F5E6-44DD-9A7B-A90C621BCB4A}"/>
</file>

<file path=customXml/itemProps3.xml><?xml version="1.0" encoding="utf-8"?>
<ds:datastoreItem xmlns:ds="http://schemas.openxmlformats.org/officeDocument/2006/customXml" ds:itemID="{9159AF3C-C3F4-4731-BE1D-C8E107E4F963}"/>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55</vt:i4>
      </vt:variant>
    </vt:vector>
  </HeadingPairs>
  <TitlesOfParts>
    <vt:vector size="65" baseType="lpstr">
      <vt:lpstr>VariablesINPUT-FCC</vt:lpstr>
      <vt:lpstr>Quality Home Profile</vt:lpstr>
      <vt:lpstr>License-Exempt profile</vt:lpstr>
      <vt:lpstr>QualVar</vt:lpstr>
      <vt:lpstr>Wages</vt:lpstr>
      <vt:lpstr>Nonpersonnel PCQC</vt:lpstr>
      <vt:lpstr>Subsidy Rates</vt:lpstr>
      <vt:lpstr>Tuition Rates</vt:lpstr>
      <vt:lpstr>Promise Rates</vt:lpstr>
      <vt:lpstr>Fed CACFP</vt:lpstr>
      <vt:lpstr>_NumberTeachingStaff</vt:lpstr>
      <vt:lpstr>Admin_Staff</vt:lpstr>
      <vt:lpstr>'License-Exempt profile'!Asst_Teacher</vt:lpstr>
      <vt:lpstr>Asst_Teacher</vt:lpstr>
      <vt:lpstr>'License-Exempt profile'!Asst_TeacherIT</vt:lpstr>
      <vt:lpstr>Asst_TeacherIT</vt:lpstr>
      <vt:lpstr>AsstTeacherFCC</vt:lpstr>
      <vt:lpstr>BadDebt</vt:lpstr>
      <vt:lpstr>EnrollEffic</vt:lpstr>
      <vt:lpstr>Floater_Assts</vt:lpstr>
      <vt:lpstr>HealthIns</vt:lpstr>
      <vt:lpstr>'License-Exempt profile'!InfantClassrooms</vt:lpstr>
      <vt:lpstr>InfantClassrooms</vt:lpstr>
      <vt:lpstr>'License-Exempt profile'!Infants</vt:lpstr>
      <vt:lpstr>Infants</vt:lpstr>
      <vt:lpstr>'License-Exempt profile'!Nonpersonnel</vt:lpstr>
      <vt:lpstr>Nonpersonnel</vt:lpstr>
      <vt:lpstr>'License-Exempt profile'!NP_EdProgram</vt:lpstr>
      <vt:lpstr>NP_EdProgram</vt:lpstr>
      <vt:lpstr>'License-Exempt profile'!NP_MgtAdmin</vt:lpstr>
      <vt:lpstr>NP_MgtAdmin</vt:lpstr>
      <vt:lpstr>'License-Exempt profile'!NP_Occupancy</vt:lpstr>
      <vt:lpstr>NP_Occupancy</vt:lpstr>
      <vt:lpstr>'License-Exempt profile'!Occupancy</vt:lpstr>
      <vt:lpstr>Occupancy</vt:lpstr>
      <vt:lpstr>Paid_Leave</vt:lpstr>
      <vt:lpstr>'License-Exempt profile'!Preschoolers</vt:lpstr>
      <vt:lpstr>Preschoolers</vt:lpstr>
      <vt:lpstr>'License-Exempt profile'!PreschoolersClassroom</vt:lpstr>
      <vt:lpstr>PreschoolersClassroom</vt:lpstr>
      <vt:lpstr>'VariablesINPUT-FCC'!Print_Area</vt:lpstr>
      <vt:lpstr>'License-Exempt profile'!QualityVarCost</vt:lpstr>
      <vt:lpstr>QualityVarCost</vt:lpstr>
      <vt:lpstr>'License-Exempt profile'!Reserve_Fund</vt:lpstr>
      <vt:lpstr>Reserve_Fund</vt:lpstr>
      <vt:lpstr>'License-Exempt profile'!SchoolageClassroom</vt:lpstr>
      <vt:lpstr>SchoolageClassroom</vt:lpstr>
      <vt:lpstr>'License-Exempt profile'!Schoolagers</vt:lpstr>
      <vt:lpstr>Schoolagers</vt:lpstr>
      <vt:lpstr>Sick_Days</vt:lpstr>
      <vt:lpstr>Sick_DaysFCC</vt:lpstr>
      <vt:lpstr>'License-Exempt profile'!Subs</vt:lpstr>
      <vt:lpstr>Subs</vt:lpstr>
      <vt:lpstr>'License-Exempt profile'!ToddlerClassrooms</vt:lpstr>
      <vt:lpstr>ToddlerClassrooms</vt:lpstr>
      <vt:lpstr>'License-Exempt profile'!Toddlers</vt:lpstr>
      <vt:lpstr>Toddlers</vt:lpstr>
      <vt:lpstr>'License-Exempt profile'!TotalChildren</vt:lpstr>
      <vt:lpstr>TotalChildren</vt:lpstr>
      <vt:lpstr>'License-Exempt profile'!Twos</vt:lpstr>
      <vt:lpstr>Twos</vt:lpstr>
      <vt:lpstr>'License-Exempt profile'!TwosClassroom</vt:lpstr>
      <vt:lpstr>TwosClassroom</vt:lpstr>
      <vt:lpstr>'License-Exempt profile'!TwosClassrooms</vt:lpstr>
      <vt:lpstr>TwosClassrooms</vt:lpstr>
    </vt:vector>
  </TitlesOfParts>
  <Company>Early Childhood Policy Research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Mitchell</dc:creator>
  <cp:lastModifiedBy>Simon Workman</cp:lastModifiedBy>
  <cp:lastPrinted>2016-02-14T14:23:36Z</cp:lastPrinted>
  <dcterms:created xsi:type="dcterms:W3CDTF">2008-09-19T15:38:02Z</dcterms:created>
  <dcterms:modified xsi:type="dcterms:W3CDTF">2024-01-24T21:29:26Z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0x0101003C377F8633B7744F9A6B595A6F8C5159</vt:lpwstr>
  </property>
</Properties>
</file>