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ougan\Desktop\"/>
    </mc:Choice>
  </mc:AlternateContent>
  <bookViews>
    <workbookView xWindow="0" yWindow="0" windowWidth="28800" windowHeight="12450" tabRatio="906"/>
  </bookViews>
  <sheets>
    <sheet name="Combustion GHG emissions" sheetId="1" r:id="rId1"/>
    <sheet name="Fuel Lookup" sheetId="2" r:id="rId2"/>
    <sheet name="Units Lookup" sheetId="3" r:id="rId3"/>
    <sheet name="Sheet1" sheetId="4" r:id="rId4"/>
  </sheets>
  <externalReferences>
    <externalReference r:id="rId5"/>
  </externalReferences>
  <definedNames>
    <definedName name="all_fuels">'Fuel Lookup'!$B$5:$B$36</definedName>
    <definedName name="bio_fuels">#REF!</definedName>
    <definedName name="ghg_by_zipcode">'[1]Totals Zipcode'!#REF!</definedName>
    <definedName name="industrial_processes">#REF!</definedName>
    <definedName name="NAICS2">#REF!</definedName>
    <definedName name="nonbio_fuels">#REF!</definedName>
    <definedName name="_xlnm.Print_Area" localSheetId="0">'Combustion GHG emissions'!$B$2:$S$24</definedName>
    <definedName name="_xlnm.Print_Area">#REF!</definedName>
    <definedName name="PRINT_AREA_MI" localSheetId="0">#REF!</definedName>
    <definedName name="PRINT_AREA_MI">#REF!</definedName>
    <definedName name="_xlnm.Print_Titles" localSheetId="0">'Combustion GHG emissions'!#REF!</definedName>
    <definedName name="Processes">#REF!</definedName>
    <definedName name="Steam_fuels">'Fuel Lookup'!#REF!</definedName>
    <definedName name="units">'Units Lookup'!$B$5:$B$13</definedName>
    <definedName name="Z_1E9EC735_CF79_4DF8_9E65_FA4DEA6C2F30_.wvu.PrintArea" localSheetId="0" hidden="1">'Combustion GHG emissions'!$B$2:$S$24</definedName>
    <definedName name="Z_668A29EE_0894_45A9_AC3B_FF19D7E65F50_.wvu.PrintArea" localSheetId="0" hidden="1">'Combustion GHG emissions'!$B$2:$S$24</definedName>
    <definedName name="Z_7E43B44C_B11C_49CF_BE47_52F37C92E402_.wvu.PrintArea" localSheetId="0" hidden="1">'Combustion GHG emissions'!$B$2:$S$24</definedName>
    <definedName name="Z_8F8D7C52_E4C0_489D_8816_8831E7E73778_.wvu.PrintArea" localSheetId="0" hidden="1">'Combustion GHG emissions'!$B$2:$S$24</definedName>
    <definedName name="Z_BBC88712_5D58_4F48_AF5E_B02A4F8290DF_.wvu.PrintArea" localSheetId="0" hidden="1">'Combustion GHG emissions'!$B$2:$S$24</definedName>
    <definedName name="zipcodes_allentries">'[1]Totals Zipcode'!#REF!</definedName>
  </definedNames>
  <calcPr calcId="162913"/>
  <customWorkbookViews>
    <customWorkbookView name="DOUGAN Jackson - Personal View" guid="{668A29EE-0894-45A9-AC3B-FF19D7E65F50}" mergeInterval="0" personalView="1" maximized="1" xWindow="-8" yWindow="-8" windowWidth="1936" windowHeight="1056" tabRatio="906" activeSheetId="1"/>
    <customWorkbookView name="THOMPSON Michele - Personal View" guid="{1E9EC735-CF79-4DF8-9E65-FA4DEA6C2F30}" mergeInterval="0" personalView="1" maximized="1" xWindow="-8" yWindow="-8" windowWidth="1936" windowHeight="1066" tabRatio="906" activeSheetId="1"/>
    <customWorkbookView name="eelbel - Personal View" guid="{7E43B44C-B11C-49CF-BE47-52F37C92E402}" mergeInterval="0" personalView="1" maximized="1" xWindow="1" yWindow="1" windowWidth="1280" windowHeight="734" tabRatio="906" activeSheetId="1" showComments="commIndAndComment"/>
    <customWorkbookView name="SUMMERS Stephanie - Personal View" guid="{8F8D7C52-E4C0-489D-8816-8831E7E73778}" mergeInterval="0" personalView="1" maximized="1" xWindow="-8" yWindow="-8" windowWidth="1380" windowHeight="784" tabRatio="906" activeSheetId="1" showComments="commIndAndComment"/>
    <customWorkbookView name="jinahar - Personal View" guid="{BBC88712-5D58-4F48-AF5E-B02A4F8290DF}" mergeInterval="0" personalView="1" xWindow="459" yWindow="285" windowWidth="1440" windowHeight="736" tabRatio="906" activeSheetId="1" showComments="commIndAndComment"/>
  </customWorkbookViews>
</workbook>
</file>

<file path=xl/calcChain.xml><?xml version="1.0" encoding="utf-8"?>
<calcChain xmlns="http://schemas.openxmlformats.org/spreadsheetml/2006/main">
  <c r="F17" i="3" l="1"/>
  <c r="J12" i="1" l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H12" i="1"/>
  <c r="H13" i="1"/>
  <c r="H14" i="1"/>
  <c r="H15" i="1"/>
  <c r="H16" i="1"/>
  <c r="H17" i="1"/>
  <c r="H18" i="1"/>
  <c r="H19" i="1"/>
  <c r="H20" i="1"/>
  <c r="G12" i="1"/>
  <c r="G13" i="1"/>
  <c r="F13" i="1" s="1"/>
  <c r="G14" i="1"/>
  <c r="G15" i="1"/>
  <c r="G16" i="1"/>
  <c r="G17" i="1"/>
  <c r="G18" i="1"/>
  <c r="G19" i="1"/>
  <c r="G20" i="1"/>
  <c r="F12" i="1"/>
  <c r="F14" i="1"/>
  <c r="F15" i="1"/>
  <c r="I15" i="1" s="1"/>
  <c r="S15" i="1" s="1"/>
  <c r="F16" i="1"/>
  <c r="F17" i="1"/>
  <c r="F18" i="1"/>
  <c r="F19" i="1"/>
  <c r="F20" i="1"/>
  <c r="L11" i="1"/>
  <c r="K11" i="1"/>
  <c r="J11" i="1"/>
  <c r="H11" i="1"/>
  <c r="G11" i="1"/>
  <c r="F11" i="1" s="1"/>
  <c r="I19" i="1" l="1"/>
  <c r="S19" i="1" s="1"/>
  <c r="I17" i="1"/>
  <c r="R17" i="1" s="1"/>
  <c r="I18" i="1"/>
  <c r="S18" i="1" s="1"/>
  <c r="I14" i="1"/>
  <c r="S14" i="1" s="1"/>
  <c r="I13" i="1"/>
  <c r="Q13" i="1" s="1"/>
  <c r="I20" i="1"/>
  <c r="S20" i="1" s="1"/>
  <c r="I16" i="1"/>
  <c r="S16" i="1" s="1"/>
  <c r="I12" i="1"/>
  <c r="S12" i="1" s="1"/>
  <c r="P15" i="1"/>
  <c r="Q15" i="1"/>
  <c r="R15" i="1"/>
  <c r="E4" i="3"/>
  <c r="F7" i="3"/>
  <c r="R18" i="1" l="1"/>
  <c r="P17" i="1"/>
  <c r="Q18" i="1"/>
  <c r="P14" i="1"/>
  <c r="P18" i="1"/>
  <c r="S17" i="1"/>
  <c r="Q17" i="1"/>
  <c r="Q19" i="1"/>
  <c r="P19" i="1"/>
  <c r="R14" i="1"/>
  <c r="R19" i="1"/>
  <c r="S13" i="1"/>
  <c r="R13" i="1"/>
  <c r="P13" i="1"/>
  <c r="R12" i="1"/>
  <c r="R20" i="1"/>
  <c r="Q20" i="1"/>
  <c r="P20" i="1"/>
  <c r="P12" i="1"/>
  <c r="Q14" i="1"/>
  <c r="Q12" i="1"/>
  <c r="R16" i="1"/>
  <c r="Q16" i="1"/>
  <c r="P16" i="1"/>
  <c r="G29" i="2"/>
  <c r="G28" i="2"/>
  <c r="G27" i="2"/>
  <c r="G26" i="2"/>
  <c r="G25" i="2"/>
  <c r="G24" i="2"/>
  <c r="E13" i="3" l="1"/>
  <c r="F16" i="3" s="1"/>
  <c r="F5" i="3"/>
  <c r="D8" i="3"/>
  <c r="F18" i="3"/>
  <c r="D10" i="3" l="1"/>
  <c r="D9" i="3"/>
  <c r="I29" i="2"/>
  <c r="I28" i="2"/>
  <c r="I27" i="2"/>
  <c r="I26" i="2"/>
  <c r="I25" i="2"/>
  <c r="I24" i="2"/>
  <c r="H29" i="2"/>
  <c r="H28" i="2"/>
  <c r="H27" i="2"/>
  <c r="H26" i="2"/>
  <c r="H25" i="2"/>
  <c r="F29" i="2"/>
  <c r="F28" i="2"/>
  <c r="F27" i="2"/>
  <c r="F26" i="2"/>
  <c r="F25" i="2"/>
  <c r="H24" i="2"/>
  <c r="F24" i="2"/>
  <c r="D29" i="2"/>
  <c r="D28" i="2"/>
  <c r="D27" i="2"/>
  <c r="D26" i="2"/>
  <c r="D25" i="2"/>
  <c r="D24" i="2"/>
  <c r="I11" i="1" l="1"/>
  <c r="Q11" i="1" s="1"/>
  <c r="S11" i="1" l="1"/>
  <c r="D23" i="1" s="1"/>
  <c r="D28" i="1" s="1"/>
  <c r="P11" i="1"/>
  <c r="R11" i="1"/>
  <c r="D22" i="1" l="1"/>
  <c r="D27" i="1" s="1"/>
  <c r="D24" i="1" l="1"/>
  <c r="D29" i="1" s="1"/>
</calcChain>
</file>

<file path=xl/sharedStrings.xml><?xml version="1.0" encoding="utf-8"?>
<sst xmlns="http://schemas.openxmlformats.org/spreadsheetml/2006/main" count="154" uniqueCount="104">
  <si>
    <t>Fuel Type</t>
  </si>
  <si>
    <t>HHV</t>
  </si>
  <si>
    <t>Propane</t>
  </si>
  <si>
    <t>Tires</t>
  </si>
  <si>
    <t>Enter emissions information</t>
  </si>
  <si>
    <t>HHV Unit</t>
  </si>
  <si>
    <t>Convert to mmBtu</t>
  </si>
  <si>
    <t>Emission Factors (kg/mmBtu)</t>
  </si>
  <si>
    <t>mmBtu</t>
  </si>
  <si>
    <t>Kerosene</t>
  </si>
  <si>
    <t>Solid by-products</t>
  </si>
  <si>
    <t>Biodiesel (100%)</t>
  </si>
  <si>
    <t>Ethanol (100%)</t>
  </si>
  <si>
    <t>Rendered animal fat</t>
  </si>
  <si>
    <t>Vegetable oil</t>
  </si>
  <si>
    <t>Aviation gasoline</t>
  </si>
  <si>
    <t>Kerosene-type jet fuel</t>
  </si>
  <si>
    <t>Liquefied petroleum gas</t>
  </si>
  <si>
    <t>Biodiesel (B2)</t>
  </si>
  <si>
    <t>Biodiesel (B5)</t>
  </si>
  <si>
    <t>Biodiesel (B10)</t>
  </si>
  <si>
    <t>Biodiesel (B20)</t>
  </si>
  <si>
    <t>Biodiesel (B50)</t>
  </si>
  <si>
    <t>Biodiesel (B99)</t>
  </si>
  <si>
    <t>% biodiesel</t>
  </si>
  <si>
    <t>gallon</t>
  </si>
  <si>
    <t>short ton</t>
  </si>
  <si>
    <t>HHV Units</t>
  </si>
  <si>
    <t>Barrel</t>
  </si>
  <si>
    <t>Gallon</t>
  </si>
  <si>
    <t>Million gallon</t>
  </si>
  <si>
    <t>Ton (2,000 lb)</t>
  </si>
  <si>
    <t>1,000 lbs. steam</t>
  </si>
  <si>
    <t>Short ton</t>
  </si>
  <si>
    <t>Pound</t>
  </si>
  <si>
    <t>Amount</t>
  </si>
  <si>
    <t>Units entered</t>
  </si>
  <si>
    <t>Units to convert to</t>
  </si>
  <si>
    <t>combined formula</t>
  </si>
  <si>
    <t>Emissions (kg/mmBtu)</t>
  </si>
  <si>
    <t>Hundred cubic ft</t>
  </si>
  <si>
    <t>Million cubic ft</t>
  </si>
  <si>
    <t>Cubic ft</t>
  </si>
  <si>
    <t>cubic ft</t>
  </si>
  <si>
    <t>Combustion fuel lookup</t>
  </si>
  <si>
    <t>Motor gasoline</t>
  </si>
  <si>
    <t>Units in EZ-Filer:</t>
  </si>
  <si>
    <t>Distillate Oil #1</t>
  </si>
  <si>
    <t>Distillate Oil #2</t>
  </si>
  <si>
    <t>Distillate Oil #4</t>
  </si>
  <si>
    <t>Residual Oil #5</t>
  </si>
  <si>
    <t>Residual Oil #6</t>
  </si>
  <si>
    <t>Jet Fuel</t>
  </si>
  <si>
    <t xml:space="preserve">Liquefied Petroleum Gas </t>
  </si>
  <si>
    <t>Coal (coke)</t>
  </si>
  <si>
    <t>Coal (subbituminous)</t>
  </si>
  <si>
    <t>Coal (bituminous)</t>
  </si>
  <si>
    <t>Natural gas</t>
  </si>
  <si>
    <t>Municipal waste</t>
  </si>
  <si>
    <t>Residual fuel oil 5</t>
  </si>
  <si>
    <t>Residual fuel oil 6</t>
  </si>
  <si>
    <t xml:space="preserve">Distillate oil 1 </t>
  </si>
  <si>
    <t>Distillate oil 2</t>
  </si>
  <si>
    <t>Distillate oil 4</t>
  </si>
  <si>
    <t>Conversion to short tons</t>
  </si>
  <si>
    <t>Anthropogenic combustion emissions:</t>
  </si>
  <si>
    <t>Biogenic combustion emissions:</t>
  </si>
  <si>
    <t>Total combustion emissions:</t>
  </si>
  <si>
    <t xml:space="preserve">This sheet calculates greenhouse gas emissions from fuel combustion. </t>
  </si>
  <si>
    <t>&lt;-- Ignore this unit, as it doesn't work in the calculator.</t>
  </si>
  <si>
    <t>mmBTU/HHV Unit</t>
  </si>
  <si>
    <t>Municipal Solid Waste</t>
  </si>
  <si>
    <t>Landfill Gas</t>
  </si>
  <si>
    <t>Wood/Wood Waste (dry basis)</t>
  </si>
  <si>
    <t>Other Biomass Gases</t>
  </si>
  <si>
    <t>Propane Gas</t>
  </si>
  <si>
    <r>
      <t>1) Enter the combustion emission sources at the facility (e.g. "boiler 1") in the 1</t>
    </r>
    <r>
      <rPr>
        <vertAlign val="superscript"/>
        <sz val="10"/>
        <color theme="0"/>
        <rFont val="Arial"/>
        <family val="2"/>
      </rPr>
      <t>st</t>
    </r>
    <r>
      <rPr>
        <sz val="10"/>
        <color theme="0"/>
        <rFont val="Arial"/>
        <family val="2"/>
      </rPr>
      <t xml:space="preserve"> column.</t>
    </r>
  </si>
  <si>
    <r>
      <t>2) In the 2</t>
    </r>
    <r>
      <rPr>
        <vertAlign val="superscript"/>
        <sz val="10"/>
        <color theme="0"/>
        <rFont val="Arial"/>
        <family val="2"/>
      </rPr>
      <t>nd</t>
    </r>
    <r>
      <rPr>
        <sz val="10"/>
        <color theme="0"/>
        <rFont val="Arial"/>
        <family val="2"/>
      </rPr>
      <t xml:space="preserve"> column, select the fuel type used in each emissions unit. If more than one fuel type was used in a single emissions unit, you must enter that same emissions unit on multiple rows and then enter the different fuel types in each row.</t>
    </r>
  </si>
  <si>
    <r>
      <t>3) Enter the fuel quantities in the 3</t>
    </r>
    <r>
      <rPr>
        <vertAlign val="superscript"/>
        <sz val="10"/>
        <color theme="0"/>
        <rFont val="Arial"/>
        <family val="2"/>
      </rPr>
      <t>rd</t>
    </r>
    <r>
      <rPr>
        <sz val="10"/>
        <color theme="0"/>
        <rFont val="Arial"/>
        <family val="2"/>
      </rPr>
      <t xml:space="preserve"> column and specify the unit of measure in the 4</t>
    </r>
    <r>
      <rPr>
        <vertAlign val="superscript"/>
        <sz val="10"/>
        <color theme="0"/>
        <rFont val="Arial"/>
        <family val="2"/>
      </rPr>
      <t>th</t>
    </r>
    <r>
      <rPr>
        <sz val="10"/>
        <color theme="0"/>
        <rFont val="Arial"/>
        <family val="2"/>
      </rPr>
      <t xml:space="preserve"> column. Emissions are then calculated in metric tons of carbon dioxide equivalent (mtCO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e).</t>
    </r>
  </si>
  <si>
    <r>
      <t>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Equivalent</t>
    </r>
  </si>
  <si>
    <r>
      <t>Anthropogenic (mtCO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e)</t>
    </r>
  </si>
  <si>
    <r>
      <t>Emissions unit</t>
    </r>
    <r>
      <rPr>
        <b/>
        <vertAlign val="superscript"/>
        <sz val="10"/>
        <color theme="0"/>
        <rFont val="Arial"/>
        <family val="2"/>
      </rPr>
      <t>1</t>
    </r>
  </si>
  <si>
    <r>
      <t>Fuel Type</t>
    </r>
    <r>
      <rPr>
        <b/>
        <vertAlign val="superscript"/>
        <sz val="10"/>
        <color theme="0"/>
        <rFont val="Arial"/>
        <family val="2"/>
      </rPr>
      <t>2</t>
    </r>
  </si>
  <si>
    <r>
      <t>Quantity</t>
    </r>
    <r>
      <rPr>
        <b/>
        <vertAlign val="superscript"/>
        <sz val="10"/>
        <color theme="0"/>
        <rFont val="Arial"/>
        <family val="2"/>
      </rPr>
      <t>3</t>
    </r>
  </si>
  <si>
    <r>
      <t>Fuel units</t>
    </r>
    <r>
      <rPr>
        <b/>
        <vertAlign val="superscript"/>
        <sz val="10"/>
        <color theme="0"/>
        <rFont val="Arial"/>
        <family val="2"/>
      </rPr>
      <t>3</t>
    </r>
  </si>
  <si>
    <r>
      <t>CH</t>
    </r>
    <r>
      <rPr>
        <b/>
        <vertAlign val="subscript"/>
        <sz val="10"/>
        <color theme="0"/>
        <rFont val="Arial"/>
        <family val="2"/>
      </rPr>
      <t xml:space="preserve">4 </t>
    </r>
  </si>
  <si>
    <r>
      <t>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</si>
  <si>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O </t>
    </r>
  </si>
  <si>
    <r>
      <t>CH</t>
    </r>
    <r>
      <rPr>
        <b/>
        <vertAlign val="subscript"/>
        <sz val="10"/>
        <color rgb="FFFF0000"/>
        <rFont val="Arial"/>
        <family val="2"/>
      </rPr>
      <t>4</t>
    </r>
    <r>
      <rPr>
        <b/>
        <sz val="10"/>
        <color rgb="FFFF0000"/>
        <rFont val="Arial"/>
        <family val="2"/>
      </rPr>
      <t xml:space="preserve"> </t>
    </r>
  </si>
  <si>
    <r>
      <t>N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O </t>
    </r>
  </si>
  <si>
    <r>
      <t>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 xml:space="preserve"> </t>
    </r>
  </si>
  <si>
    <r>
      <t>Anthropogenic combustion emissions (mtCO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e):</t>
    </r>
  </si>
  <si>
    <r>
      <t>Use the following formula to calculate a HHV for woodwaste on a wet basis:                                                     HHV</t>
    </r>
    <r>
      <rPr>
        <vertAlign val="subscript"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 xml:space="preserve"> = (100 − M)/100)*17.48                                                                                                       where HHV</t>
    </r>
    <r>
      <rPr>
        <vertAlign val="subscript"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 xml:space="preserve"> = wet basis HHV, M = moisture content (percent). 17.48  is the HHV on a dry basis.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
Use this new HHV to replace the default HHV in the calculator above once the "wood/woodwaste" fuel type is selected.</t>
    </r>
  </si>
  <si>
    <r>
      <t>Biogenic combustion emissions (mtCO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e):</t>
    </r>
  </si>
  <si>
    <r>
      <t>Total combustion emissions (mtCO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e):</t>
    </r>
  </si>
  <si>
    <r>
      <t>Biogenic CO</t>
    </r>
    <r>
      <rPr>
        <b/>
        <vertAlign val="subscript"/>
        <sz val="10"/>
        <rFont val="Arial"/>
        <family val="2"/>
      </rPr>
      <t>2</t>
    </r>
  </si>
  <si>
    <r>
      <t>CH</t>
    </r>
    <r>
      <rPr>
        <b/>
        <vertAlign val="subscript"/>
        <sz val="10"/>
        <color indexed="8"/>
        <rFont val="Arial"/>
        <family val="2"/>
      </rPr>
      <t xml:space="preserve">4 </t>
    </r>
  </si>
  <si>
    <r>
      <t>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</t>
    </r>
  </si>
  <si>
    <r>
      <t>N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O </t>
    </r>
  </si>
  <si>
    <t>Fuel Combustion Greenhouse Gas Calculator</t>
  </si>
  <si>
    <r>
      <t>Biogenic 
(mtCO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</si>
  <si>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Therms</t>
  </si>
  <si>
    <t>Added</t>
  </si>
  <si>
    <t xml:space="preserve">Updated (added therms) 6.15.2020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</si>
</sst>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#,##0.0000"/>
  </numFmts>
  <fonts count="26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name val="Arial"/>
      <family val="2"/>
    </font>
    <font>
      <b/>
      <vertAlign val="subscript"/>
      <sz val="10"/>
      <color indexed="8"/>
      <name val="Arial"/>
      <family val="2"/>
    </font>
    <font>
      <sz val="10"/>
      <color rgb="FFFF0000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499984740745262"/>
      </bottom>
      <diagonal/>
    </border>
  </borders>
  <cellStyleXfs count="11">
    <xf numFmtId="164" fontId="0" fillId="0" borderId="0"/>
    <xf numFmtId="164" fontId="2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</cellStyleXfs>
  <cellXfs count="238">
    <xf numFmtId="164" fontId="0" fillId="0" borderId="0" xfId="0"/>
    <xf numFmtId="164" fontId="5" fillId="2" borderId="0" xfId="0" applyFont="1" applyFill="1" applyBorder="1" applyAlignment="1">
      <alignment vertical="center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/>
    <xf numFmtId="0" fontId="6" fillId="6" borderId="0" xfId="0" applyNumberFormat="1" applyFont="1" applyFill="1" applyBorder="1" applyAlignment="1" applyProtection="1">
      <alignment vertical="center"/>
    </xf>
    <xf numFmtId="0" fontId="5" fillId="6" borderId="0" xfId="0" applyNumberFormat="1" applyFont="1" applyFill="1" applyBorder="1" applyAlignment="1" applyProtection="1">
      <alignment horizontal="left" vertical="center" wrapText="1"/>
    </xf>
    <xf numFmtId="0" fontId="7" fillId="6" borderId="0" xfId="0" applyNumberFormat="1" applyFont="1" applyFill="1" applyBorder="1" applyAlignment="1" applyProtection="1">
      <alignment vertical="center"/>
    </xf>
    <xf numFmtId="164" fontId="5" fillId="6" borderId="0" xfId="0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left" wrapText="1"/>
    </xf>
    <xf numFmtId="0" fontId="9" fillId="2" borderId="0" xfId="0" applyNumberFormat="1" applyFont="1" applyFill="1" applyBorder="1" applyAlignment="1" applyProtection="1"/>
    <xf numFmtId="164" fontId="4" fillId="2" borderId="0" xfId="0" applyFont="1" applyFill="1" applyBorder="1" applyAlignment="1" applyProtection="1">
      <alignment wrapText="1"/>
    </xf>
    <xf numFmtId="164" fontId="4" fillId="2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/>
    <xf numFmtId="164" fontId="4" fillId="2" borderId="0" xfId="0" applyFont="1" applyFill="1" applyBorder="1" applyAlignment="1">
      <alignment vertical="top"/>
    </xf>
    <xf numFmtId="164" fontId="4" fillId="2" borderId="0" xfId="0" applyFont="1" applyFill="1" applyBorder="1" applyAlignment="1">
      <alignment vertical="top" wrapText="1"/>
    </xf>
    <xf numFmtId="0" fontId="8" fillId="2" borderId="0" xfId="0" applyNumberFormat="1" applyFont="1" applyFill="1" applyAlignment="1" applyProtection="1">
      <alignment horizontal="center"/>
    </xf>
    <xf numFmtId="164" fontId="12" fillId="4" borderId="2" xfId="0" applyFont="1" applyFill="1" applyBorder="1" applyAlignment="1" applyProtection="1">
      <alignment horizontal="left" vertical="center" wrapText="1"/>
    </xf>
    <xf numFmtId="0" fontId="12" fillId="4" borderId="3" xfId="2" applyFont="1" applyFill="1" applyBorder="1" applyAlignment="1" applyProtection="1">
      <alignment horizontal="left" vertical="center"/>
    </xf>
    <xf numFmtId="0" fontId="12" fillId="4" borderId="9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</xf>
    <xf numFmtId="0" fontId="12" fillId="4" borderId="0" xfId="2" applyFont="1" applyFill="1" applyBorder="1" applyAlignment="1" applyProtection="1">
      <alignment horizontal="center" vertical="center"/>
    </xf>
    <xf numFmtId="0" fontId="12" fillId="4" borderId="4" xfId="2" applyFont="1" applyFill="1" applyBorder="1" applyAlignment="1" applyProtection="1">
      <alignment horizontal="center" vertical="center"/>
    </xf>
    <xf numFmtId="0" fontId="12" fillId="4" borderId="1" xfId="3" applyFont="1" applyFill="1" applyBorder="1" applyAlignment="1" applyProtection="1">
      <alignment horizontal="center" vertical="center" wrapText="1"/>
    </xf>
    <xf numFmtId="0" fontId="12" fillId="4" borderId="0" xfId="3" applyFont="1" applyFill="1" applyBorder="1" applyAlignment="1" applyProtection="1">
      <alignment horizontal="center" vertical="center" wrapText="1"/>
    </xf>
    <xf numFmtId="0" fontId="12" fillId="4" borderId="4" xfId="3" applyFont="1" applyFill="1" applyBorder="1" applyAlignment="1" applyProtection="1">
      <alignment horizontal="center" vertical="center" wrapText="1"/>
    </xf>
    <xf numFmtId="0" fontId="15" fillId="4" borderId="2" xfId="3" applyFont="1" applyFill="1" applyBorder="1" applyAlignment="1" applyProtection="1">
      <alignment horizontal="center" vertical="center" wrapText="1"/>
    </xf>
    <xf numFmtId="0" fontId="12" fillId="4" borderId="3" xfId="3" applyFont="1" applyFill="1" applyBorder="1" applyAlignment="1" applyProtection="1">
      <alignment horizontal="center" vertical="center" wrapText="1"/>
    </xf>
    <xf numFmtId="0" fontId="15" fillId="4" borderId="9" xfId="3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Alignment="1" applyProtection="1"/>
    <xf numFmtId="0" fontId="3" fillId="2" borderId="12" xfId="2" applyFont="1" applyFill="1" applyBorder="1" applyAlignment="1" applyProtection="1">
      <alignment horizontal="left" vertical="center" wrapText="1"/>
      <protection locked="0"/>
    </xf>
    <xf numFmtId="0" fontId="3" fillId="2" borderId="13" xfId="2" applyFont="1" applyFill="1" applyBorder="1" applyAlignment="1" applyProtection="1">
      <alignment horizontal="left" vertical="center"/>
      <protection locked="0"/>
    </xf>
    <xf numFmtId="3" fontId="3" fillId="2" borderId="34" xfId="2" applyNumberFormat="1" applyFont="1" applyFill="1" applyBorder="1" applyAlignment="1" applyProtection="1">
      <alignment horizontal="left" vertical="center"/>
      <protection locked="0"/>
    </xf>
    <xf numFmtId="0" fontId="3" fillId="2" borderId="34" xfId="2" applyFont="1" applyFill="1" applyBorder="1" applyAlignment="1" applyProtection="1">
      <alignment horizontal="left" vertical="center"/>
      <protection locked="0"/>
    </xf>
    <xf numFmtId="3" fontId="3" fillId="3" borderId="51" xfId="2" applyNumberFormat="1" applyFont="1" applyFill="1" applyBorder="1" applyAlignment="1" applyProtection="1">
      <alignment horizontal="center" vertical="center"/>
      <protection locked="0"/>
    </xf>
    <xf numFmtId="0" fontId="3" fillId="3" borderId="52" xfId="2" applyFont="1" applyFill="1" applyBorder="1" applyAlignment="1" applyProtection="1">
      <alignment horizontal="center" vertical="center"/>
    </xf>
    <xf numFmtId="3" fontId="8" fillId="3" borderId="59" xfId="0" applyNumberFormat="1" applyFont="1" applyFill="1" applyBorder="1" applyAlignment="1" applyProtection="1">
      <alignment horizontal="center" vertical="center"/>
    </xf>
    <xf numFmtId="0" fontId="3" fillId="3" borderId="51" xfId="3" applyFont="1" applyFill="1" applyBorder="1" applyAlignment="1" applyProtection="1">
      <alignment horizontal="center" vertical="center"/>
    </xf>
    <xf numFmtId="0" fontId="3" fillId="3" borderId="52" xfId="3" applyFont="1" applyFill="1" applyBorder="1" applyAlignment="1" applyProtection="1">
      <alignment horizontal="center" vertical="center"/>
    </xf>
    <xf numFmtId="0" fontId="3" fillId="3" borderId="53" xfId="3" applyFont="1" applyFill="1" applyBorder="1" applyAlignment="1" applyProtection="1">
      <alignment horizontal="center" vertical="center"/>
    </xf>
    <xf numFmtId="0" fontId="3" fillId="3" borderId="32" xfId="3" applyFont="1" applyFill="1" applyBorder="1" applyAlignment="1" applyProtection="1">
      <alignment horizontal="center" vertical="center"/>
    </xf>
    <xf numFmtId="0" fontId="3" fillId="3" borderId="13" xfId="3" applyFont="1" applyFill="1" applyBorder="1" applyAlignment="1" applyProtection="1">
      <alignment horizontal="center" vertical="center"/>
    </xf>
    <xf numFmtId="0" fontId="3" fillId="3" borderId="34" xfId="3" applyFont="1" applyFill="1" applyBorder="1" applyAlignment="1" applyProtection="1">
      <alignment horizontal="center" vertical="center"/>
    </xf>
    <xf numFmtId="3" fontId="8" fillId="3" borderId="51" xfId="0" applyNumberFormat="1" applyFont="1" applyFill="1" applyBorder="1" applyAlignment="1" applyProtection="1">
      <alignment horizontal="center" vertical="center"/>
    </xf>
    <xf numFmtId="3" fontId="8" fillId="3" borderId="52" xfId="0" applyNumberFormat="1" applyFont="1" applyFill="1" applyBorder="1" applyAlignment="1" applyProtection="1">
      <alignment horizontal="center" vertical="center"/>
    </xf>
    <xf numFmtId="3" fontId="8" fillId="3" borderId="48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Alignment="1" applyProtection="1">
      <alignment vertical="center"/>
    </xf>
    <xf numFmtId="0" fontId="3" fillId="2" borderId="15" xfId="2" applyFont="1" applyFill="1" applyBorder="1" applyAlignment="1" applyProtection="1">
      <alignment horizontal="left" vertical="center" wrapText="1"/>
      <protection locked="0"/>
    </xf>
    <xf numFmtId="0" fontId="3" fillId="2" borderId="16" xfId="2" applyFont="1" applyFill="1" applyBorder="1" applyAlignment="1" applyProtection="1">
      <alignment horizontal="left" vertical="center"/>
      <protection locked="0"/>
    </xf>
    <xf numFmtId="3" fontId="3" fillId="2" borderId="35" xfId="2" applyNumberFormat="1" applyFont="1" applyFill="1" applyBorder="1" applyAlignment="1" applyProtection="1">
      <alignment horizontal="left" vertical="center"/>
      <protection locked="0"/>
    </xf>
    <xf numFmtId="0" fontId="3" fillId="2" borderId="35" xfId="2" applyFont="1" applyFill="1" applyBorder="1" applyAlignment="1" applyProtection="1">
      <alignment horizontal="left" vertical="center"/>
      <protection locked="0"/>
    </xf>
    <xf numFmtId="3" fontId="3" fillId="3" borderId="54" xfId="2" applyNumberFormat="1" applyFont="1" applyFill="1" applyBorder="1" applyAlignment="1" applyProtection="1">
      <alignment horizontal="center" vertical="center"/>
      <protection locked="0"/>
    </xf>
    <xf numFmtId="0" fontId="3" fillId="3" borderId="42" xfId="2" applyFont="1" applyFill="1" applyBorder="1" applyAlignment="1" applyProtection="1">
      <alignment horizontal="center" vertical="center"/>
    </xf>
    <xf numFmtId="3" fontId="8" fillId="3" borderId="47" xfId="0" applyNumberFormat="1" applyFont="1" applyFill="1" applyBorder="1" applyAlignment="1" applyProtection="1">
      <alignment horizontal="center" vertical="center"/>
    </xf>
    <xf numFmtId="0" fontId="3" fillId="3" borderId="54" xfId="3" applyFont="1" applyFill="1" applyBorder="1" applyAlignment="1" applyProtection="1">
      <alignment horizontal="center" vertical="center"/>
    </xf>
    <xf numFmtId="0" fontId="3" fillId="3" borderId="42" xfId="3" applyFont="1" applyFill="1" applyBorder="1" applyAlignment="1" applyProtection="1">
      <alignment horizontal="center" vertical="center"/>
    </xf>
    <xf numFmtId="0" fontId="3" fillId="3" borderId="55" xfId="3" applyFont="1" applyFill="1" applyBorder="1" applyAlignment="1" applyProtection="1">
      <alignment horizontal="center" vertical="center"/>
    </xf>
    <xf numFmtId="0" fontId="3" fillId="3" borderId="28" xfId="3" applyFont="1" applyFill="1" applyBorder="1" applyAlignment="1" applyProtection="1">
      <alignment horizontal="center" vertical="center"/>
    </xf>
    <xf numFmtId="0" fontId="8" fillId="3" borderId="16" xfId="0" applyNumberFormat="1" applyFont="1" applyFill="1" applyBorder="1" applyAlignment="1" applyProtection="1">
      <alignment horizontal="center" vertical="center"/>
    </xf>
    <xf numFmtId="0" fontId="8" fillId="3" borderId="35" xfId="0" applyNumberFormat="1" applyFont="1" applyFill="1" applyBorder="1" applyAlignment="1" applyProtection="1">
      <alignment horizontal="center" vertical="center"/>
    </xf>
    <xf numFmtId="3" fontId="8" fillId="3" borderId="54" xfId="0" applyNumberFormat="1" applyFont="1" applyFill="1" applyBorder="1" applyAlignment="1" applyProtection="1">
      <alignment horizontal="center" vertical="center"/>
    </xf>
    <xf numFmtId="3" fontId="8" fillId="3" borderId="42" xfId="0" applyNumberFormat="1" applyFont="1" applyFill="1" applyBorder="1" applyAlignment="1" applyProtection="1">
      <alignment horizontal="center" vertical="center"/>
    </xf>
    <xf numFmtId="3" fontId="8" fillId="3" borderId="49" xfId="0" applyNumberFormat="1" applyFont="1" applyFill="1" applyBorder="1" applyAlignment="1" applyProtection="1">
      <alignment horizontal="center" vertical="center"/>
    </xf>
    <xf numFmtId="0" fontId="3" fillId="2" borderId="18" xfId="2" applyFont="1" applyFill="1" applyBorder="1" applyAlignment="1" applyProtection="1">
      <alignment horizontal="left" vertical="center" wrapText="1"/>
      <protection locked="0"/>
    </xf>
    <xf numFmtId="0" fontId="3" fillId="2" borderId="19" xfId="2" applyFont="1" applyFill="1" applyBorder="1" applyAlignment="1" applyProtection="1">
      <alignment horizontal="left" vertical="center"/>
      <protection locked="0"/>
    </xf>
    <xf numFmtId="3" fontId="3" fillId="2" borderId="39" xfId="2" applyNumberFormat="1" applyFont="1" applyFill="1" applyBorder="1" applyAlignment="1" applyProtection="1">
      <alignment horizontal="left" vertical="center"/>
      <protection locked="0"/>
    </xf>
    <xf numFmtId="0" fontId="3" fillId="2" borderId="39" xfId="2" applyFont="1" applyFill="1" applyBorder="1" applyAlignment="1" applyProtection="1">
      <alignment horizontal="left" vertical="center"/>
      <protection locked="0"/>
    </xf>
    <xf numFmtId="3" fontId="3" fillId="3" borderId="56" xfId="2" applyNumberFormat="1" applyFont="1" applyFill="1" applyBorder="1" applyAlignment="1" applyProtection="1">
      <alignment horizontal="center" vertical="center"/>
      <protection locked="0"/>
    </xf>
    <xf numFmtId="0" fontId="3" fillId="3" borderId="57" xfId="2" applyFont="1" applyFill="1" applyBorder="1" applyAlignment="1" applyProtection="1">
      <alignment horizontal="center" vertical="center"/>
    </xf>
    <xf numFmtId="3" fontId="8" fillId="3" borderId="60" xfId="0" applyNumberFormat="1" applyFont="1" applyFill="1" applyBorder="1" applyAlignment="1" applyProtection="1">
      <alignment horizontal="center" vertical="center"/>
    </xf>
    <xf numFmtId="0" fontId="3" fillId="3" borderId="56" xfId="3" applyFont="1" applyFill="1" applyBorder="1" applyAlignment="1" applyProtection="1">
      <alignment horizontal="center" vertical="center"/>
    </xf>
    <xf numFmtId="0" fontId="3" fillId="3" borderId="57" xfId="3" applyFont="1" applyFill="1" applyBorder="1" applyAlignment="1" applyProtection="1">
      <alignment horizontal="center" vertical="center"/>
    </xf>
    <xf numFmtId="0" fontId="3" fillId="3" borderId="58" xfId="3" applyFont="1" applyFill="1" applyBorder="1" applyAlignment="1" applyProtection="1">
      <alignment horizontal="center" vertical="center"/>
    </xf>
    <xf numFmtId="0" fontId="3" fillId="3" borderId="31" xfId="3" applyFont="1" applyFill="1" applyBorder="1" applyAlignment="1" applyProtection="1">
      <alignment horizontal="center" vertical="center"/>
    </xf>
    <xf numFmtId="0" fontId="8" fillId="3" borderId="19" xfId="0" applyNumberFormat="1" applyFont="1" applyFill="1" applyBorder="1" applyAlignment="1" applyProtection="1">
      <alignment horizontal="center" vertical="center"/>
    </xf>
    <xf numFmtId="0" fontId="8" fillId="3" borderId="39" xfId="0" applyNumberFormat="1" applyFont="1" applyFill="1" applyBorder="1" applyAlignment="1" applyProtection="1">
      <alignment horizontal="center" vertical="center"/>
    </xf>
    <xf numFmtId="3" fontId="8" fillId="3" borderId="56" xfId="0" applyNumberFormat="1" applyFont="1" applyFill="1" applyBorder="1" applyAlignment="1" applyProtection="1">
      <alignment horizontal="center" vertical="center"/>
    </xf>
    <xf numFmtId="3" fontId="8" fillId="3" borderId="57" xfId="0" applyNumberFormat="1" applyFont="1" applyFill="1" applyBorder="1" applyAlignment="1" applyProtection="1">
      <alignment horizontal="center" vertical="center"/>
    </xf>
    <xf numFmtId="3" fontId="8" fillId="3" borderId="50" xfId="0" applyNumberFormat="1" applyFont="1" applyFill="1" applyBorder="1" applyAlignment="1" applyProtection="1">
      <alignment horizontal="center" vertical="center"/>
    </xf>
    <xf numFmtId="3" fontId="8" fillId="3" borderId="7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Protection="1"/>
    <xf numFmtId="3" fontId="8" fillId="3" borderId="4" xfId="0" applyNumberFormat="1" applyFont="1" applyFill="1" applyBorder="1" applyAlignment="1" applyProtection="1">
      <alignment horizontal="center" vertical="center"/>
    </xf>
    <xf numFmtId="3" fontId="18" fillId="3" borderId="9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Protection="1"/>
    <xf numFmtId="0" fontId="9" fillId="2" borderId="0" xfId="0" applyNumberFormat="1" applyFont="1" applyFill="1" applyProtection="1"/>
    <xf numFmtId="164" fontId="19" fillId="2" borderId="0" xfId="0" applyFont="1" applyFill="1"/>
    <xf numFmtId="0" fontId="19" fillId="2" borderId="10" xfId="0" applyNumberFormat="1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left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2" xfId="3" applyFont="1" applyFill="1" applyBorder="1" applyAlignment="1">
      <alignment horizontal="center" vertical="center" wrapText="1"/>
    </xf>
    <xf numFmtId="0" fontId="20" fillId="2" borderId="3" xfId="3" applyFont="1" applyFill="1" applyBorder="1" applyAlignment="1">
      <alignment horizontal="center" vertical="center" wrapText="1"/>
    </xf>
    <xf numFmtId="0" fontId="20" fillId="2" borderId="9" xfId="3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left" vertical="center"/>
    </xf>
    <xf numFmtId="9" fontId="3" fillId="2" borderId="22" xfId="2" applyNumberFormat="1" applyFont="1" applyFill="1" applyBorder="1" applyAlignment="1"/>
    <xf numFmtId="0" fontId="4" fillId="2" borderId="26" xfId="2" applyFont="1" applyFill="1" applyBorder="1" applyAlignment="1">
      <alignment horizontal="center" vertical="center"/>
    </xf>
    <xf numFmtId="0" fontId="4" fillId="2" borderId="13" xfId="2" applyFont="1" applyFill="1" applyBorder="1" applyAlignment="1"/>
    <xf numFmtId="0" fontId="4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3" fillId="2" borderId="22" xfId="2" applyFont="1" applyFill="1" applyBorder="1" applyAlignment="1"/>
    <xf numFmtId="0" fontId="4" fillId="2" borderId="30" xfId="2" applyFont="1" applyFill="1" applyBorder="1" applyAlignment="1">
      <alignment horizontal="center" vertical="center"/>
    </xf>
    <xf numFmtId="0" fontId="4" fillId="2" borderId="16" xfId="2" applyFont="1" applyFill="1" applyBorder="1" applyAlignment="1"/>
    <xf numFmtId="0" fontId="4" fillId="2" borderId="15" xfId="3" applyFont="1" applyFill="1" applyBorder="1" applyAlignment="1" applyProtection="1">
      <alignment horizontal="center" vertical="center"/>
    </xf>
    <xf numFmtId="0" fontId="4" fillId="2" borderId="16" xfId="3" applyFont="1" applyFill="1" applyBorder="1" applyAlignment="1" applyProtection="1">
      <alignment horizontal="center" vertical="center"/>
    </xf>
    <xf numFmtId="0" fontId="4" fillId="2" borderId="17" xfId="3" applyFont="1" applyFill="1" applyBorder="1" applyAlignment="1" applyProtection="1">
      <alignment horizontal="center" vertical="center"/>
    </xf>
    <xf numFmtId="0" fontId="3" fillId="2" borderId="22" xfId="2" applyFont="1" applyFill="1" applyBorder="1" applyAlignment="1">
      <alignment horizontal="left" vertical="center"/>
    </xf>
    <xf numFmtId="0" fontId="4" fillId="2" borderId="29" xfId="2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/>
    </xf>
    <xf numFmtId="0" fontId="3" fillId="2" borderId="43" xfId="2" applyFont="1" applyFill="1" applyBorder="1" applyAlignment="1"/>
    <xf numFmtId="9" fontId="3" fillId="2" borderId="43" xfId="2" applyNumberFormat="1" applyFont="1" applyFill="1" applyBorder="1" applyAlignment="1"/>
    <xf numFmtId="0" fontId="4" fillId="2" borderId="33" xfId="2" applyFont="1" applyFill="1" applyBorder="1" applyAlignment="1">
      <alignment horizontal="center" vertical="center"/>
    </xf>
    <xf numFmtId="0" fontId="4" fillId="2" borderId="44" xfId="2" applyFont="1" applyFill="1" applyBorder="1" applyAlignment="1"/>
    <xf numFmtId="0" fontId="4" fillId="2" borderId="45" xfId="3" applyFont="1" applyFill="1" applyBorder="1" applyAlignment="1" applyProtection="1">
      <alignment horizontal="center" vertical="center"/>
    </xf>
    <xf numFmtId="0" fontId="4" fillId="2" borderId="44" xfId="3" applyFont="1" applyFill="1" applyBorder="1" applyAlignment="1" applyProtection="1">
      <alignment horizontal="center" vertical="center"/>
    </xf>
    <xf numFmtId="0" fontId="4" fillId="2" borderId="46" xfId="3" applyFont="1" applyFill="1" applyBorder="1" applyAlignment="1" applyProtection="1">
      <alignment horizontal="center" vertical="center"/>
    </xf>
    <xf numFmtId="0" fontId="3" fillId="2" borderId="48" xfId="2" applyFont="1" applyFill="1" applyBorder="1" applyAlignment="1">
      <alignment horizontal="left" vertical="center"/>
    </xf>
    <xf numFmtId="9" fontId="3" fillId="2" borderId="48" xfId="2" applyNumberFormat="1" applyFont="1" applyFill="1" applyBorder="1" applyAlignment="1"/>
    <xf numFmtId="0" fontId="4" fillId="2" borderId="51" xfId="2" applyFont="1" applyFill="1" applyBorder="1" applyAlignment="1">
      <alignment horizontal="center" vertical="center"/>
    </xf>
    <xf numFmtId="0" fontId="4" fillId="2" borderId="53" xfId="2" applyFont="1" applyFill="1" applyBorder="1" applyAlignment="1">
      <alignment horizontal="left" vertical="center"/>
    </xf>
    <xf numFmtId="0" fontId="4" fillId="2" borderId="51" xfId="3" applyFont="1" applyFill="1" applyBorder="1" applyAlignment="1">
      <alignment horizontal="center" vertical="center" wrapText="1"/>
    </xf>
    <xf numFmtId="0" fontId="4" fillId="2" borderId="52" xfId="3" applyFont="1" applyFill="1" applyBorder="1" applyAlignment="1">
      <alignment horizontal="center" vertical="center" wrapText="1"/>
    </xf>
    <xf numFmtId="0" fontId="4" fillId="2" borderId="53" xfId="3" applyFont="1" applyFill="1" applyBorder="1" applyAlignment="1">
      <alignment horizontal="center" vertical="center" wrapText="1"/>
    </xf>
    <xf numFmtId="0" fontId="4" fillId="2" borderId="48" xfId="3" applyFont="1" applyFill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left" vertical="center"/>
    </xf>
    <xf numFmtId="9" fontId="3" fillId="2" borderId="49" xfId="2" applyNumberFormat="1" applyFont="1" applyFill="1" applyBorder="1" applyAlignment="1"/>
    <xf numFmtId="0" fontId="4" fillId="2" borderId="54" xfId="2" applyFont="1" applyFill="1" applyBorder="1" applyAlignment="1">
      <alignment horizontal="center" vertical="center"/>
    </xf>
    <xf numFmtId="0" fontId="4" fillId="2" borderId="55" xfId="2" applyFont="1" applyFill="1" applyBorder="1" applyAlignment="1">
      <alignment horizontal="left" vertical="center"/>
    </xf>
    <xf numFmtId="0" fontId="4" fillId="2" borderId="42" xfId="3" applyFont="1" applyFill="1" applyBorder="1" applyAlignment="1">
      <alignment horizontal="center" vertical="center" wrapText="1"/>
    </xf>
    <xf numFmtId="0" fontId="4" fillId="2" borderId="55" xfId="2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 wrapText="1"/>
    </xf>
    <xf numFmtId="0" fontId="3" fillId="2" borderId="49" xfId="2" applyFont="1" applyFill="1" applyBorder="1" applyAlignment="1"/>
    <xf numFmtId="0" fontId="4" fillId="2" borderId="55" xfId="2" applyFont="1" applyFill="1" applyBorder="1" applyAlignment="1">
      <alignment horizontal="left"/>
    </xf>
    <xf numFmtId="0" fontId="4" fillId="2" borderId="54" xfId="3" applyFont="1" applyFill="1" applyBorder="1" applyAlignment="1" applyProtection="1">
      <alignment horizontal="center" vertical="center"/>
    </xf>
    <xf numFmtId="0" fontId="4" fillId="2" borderId="42" xfId="3" applyFont="1" applyFill="1" applyBorder="1" applyAlignment="1" applyProtection="1">
      <alignment horizontal="center" vertical="center"/>
    </xf>
    <xf numFmtId="0" fontId="4" fillId="2" borderId="55" xfId="3" applyFont="1" applyFill="1" applyBorder="1" applyAlignment="1" applyProtection="1">
      <alignment horizontal="center" vertical="center"/>
    </xf>
    <xf numFmtId="0" fontId="4" fillId="2" borderId="49" xfId="3" applyFont="1" applyFill="1" applyBorder="1" applyAlignment="1" applyProtection="1">
      <alignment horizontal="center" vertical="center"/>
    </xf>
    <xf numFmtId="0" fontId="4" fillId="2" borderId="54" xfId="3" applyFont="1" applyFill="1" applyBorder="1" applyAlignment="1">
      <alignment horizontal="center" vertical="center" wrapText="1"/>
    </xf>
    <xf numFmtId="0" fontId="4" fillId="2" borderId="55" xfId="3" applyFont="1" applyFill="1" applyBorder="1" applyAlignment="1">
      <alignment horizontal="center" vertical="center" wrapText="1"/>
    </xf>
    <xf numFmtId="164" fontId="4" fillId="2" borderId="50" xfId="0" applyFont="1" applyFill="1" applyBorder="1"/>
    <xf numFmtId="9" fontId="3" fillId="2" borderId="50" xfId="2" applyNumberFormat="1" applyFont="1" applyFill="1" applyBorder="1" applyAlignment="1"/>
    <xf numFmtId="164" fontId="4" fillId="2" borderId="56" xfId="0" applyFont="1" applyFill="1" applyBorder="1"/>
    <xf numFmtId="164" fontId="4" fillId="2" borderId="58" xfId="0" applyFont="1" applyFill="1" applyBorder="1"/>
    <xf numFmtId="164" fontId="4" fillId="2" borderId="56" xfId="0" applyFont="1" applyFill="1" applyBorder="1" applyAlignment="1">
      <alignment horizontal="center"/>
    </xf>
    <xf numFmtId="164" fontId="4" fillId="2" borderId="57" xfId="0" applyFont="1" applyFill="1" applyBorder="1" applyAlignment="1">
      <alignment horizontal="center"/>
    </xf>
    <xf numFmtId="164" fontId="4" fillId="2" borderId="58" xfId="0" applyFont="1" applyFill="1" applyBorder="1" applyAlignment="1">
      <alignment horizontal="center"/>
    </xf>
    <xf numFmtId="164" fontId="23" fillId="2" borderId="0" xfId="0" applyFont="1" applyFill="1"/>
    <xf numFmtId="164" fontId="4" fillId="2" borderId="5" xfId="0" applyFont="1" applyFill="1" applyBorder="1"/>
    <xf numFmtId="164" fontId="4" fillId="2" borderId="6" xfId="0" applyFont="1" applyFill="1" applyBorder="1"/>
    <xf numFmtId="164" fontId="4" fillId="2" borderId="6" xfId="0" applyFont="1" applyFill="1" applyBorder="1" applyAlignment="1">
      <alignment horizontal="center"/>
    </xf>
    <xf numFmtId="164" fontId="4" fillId="2" borderId="7" xfId="0" applyFont="1" applyFill="1" applyBorder="1" applyAlignment="1">
      <alignment horizontal="center"/>
    </xf>
    <xf numFmtId="164" fontId="4" fillId="2" borderId="41" xfId="0" applyFont="1" applyFill="1" applyBorder="1"/>
    <xf numFmtId="164" fontId="4" fillId="2" borderId="30" xfId="0" applyFont="1" applyFill="1" applyBorder="1"/>
    <xf numFmtId="164" fontId="4" fillId="2" borderId="30" xfId="0" applyFont="1" applyFill="1" applyBorder="1" applyAlignment="1">
      <alignment horizontal="center" vertical="center"/>
    </xf>
    <xf numFmtId="164" fontId="4" fillId="2" borderId="36" xfId="0" applyFont="1" applyFill="1" applyBorder="1" applyAlignment="1">
      <alignment horizontal="center" vertical="center"/>
    </xf>
    <xf numFmtId="164" fontId="24" fillId="5" borderId="27" xfId="0" applyFont="1" applyFill="1" applyBorder="1"/>
    <xf numFmtId="164" fontId="24" fillId="5" borderId="29" xfId="0" applyFont="1" applyFill="1" applyBorder="1"/>
    <xf numFmtId="165" fontId="24" fillId="5" borderId="28" xfId="0" applyNumberFormat="1" applyFont="1" applyFill="1" applyBorder="1"/>
    <xf numFmtId="165" fontId="24" fillId="5" borderId="16" xfId="0" applyNumberFormat="1" applyFont="1" applyFill="1" applyBorder="1"/>
    <xf numFmtId="165" fontId="24" fillId="5" borderId="17" xfId="0" applyNumberFormat="1" applyFont="1" applyFill="1" applyBorder="1"/>
    <xf numFmtId="164" fontId="25" fillId="2" borderId="0" xfId="0" applyFont="1" applyFill="1"/>
    <xf numFmtId="164" fontId="4" fillId="2" borderId="27" xfId="0" applyFont="1" applyFill="1" applyBorder="1"/>
    <xf numFmtId="164" fontId="4" fillId="2" borderId="29" xfId="0" applyFont="1" applyFill="1" applyBorder="1"/>
    <xf numFmtId="165" fontId="4" fillId="2" borderId="28" xfId="0" applyNumberFormat="1" applyFont="1" applyFill="1" applyBorder="1"/>
    <xf numFmtId="165" fontId="4" fillId="2" borderId="16" xfId="0" applyNumberFormat="1" applyFont="1" applyFill="1" applyBorder="1"/>
    <xf numFmtId="165" fontId="4" fillId="2" borderId="17" xfId="0" applyNumberFormat="1" applyFont="1" applyFill="1" applyBorder="1"/>
    <xf numFmtId="4" fontId="4" fillId="2" borderId="0" xfId="0" applyNumberFormat="1" applyFont="1" applyFill="1"/>
    <xf numFmtId="164" fontId="4" fillId="2" borderId="37" xfId="0" applyFont="1" applyFill="1" applyBorder="1"/>
    <xf numFmtId="164" fontId="4" fillId="2" borderId="40" xfId="0" applyFont="1" applyFill="1" applyBorder="1"/>
    <xf numFmtId="164" fontId="4" fillId="2" borderId="31" xfId="0" applyFont="1" applyFill="1" applyBorder="1"/>
    <xf numFmtId="164" fontId="4" fillId="2" borderId="19" xfId="0" applyFont="1" applyFill="1" applyBorder="1"/>
    <xf numFmtId="164" fontId="4" fillId="2" borderId="20" xfId="0" applyFont="1" applyFill="1" applyBorder="1"/>
    <xf numFmtId="164" fontId="4" fillId="2" borderId="38" xfId="0" applyFont="1" applyFill="1" applyBorder="1"/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/>
    </xf>
    <xf numFmtId="164" fontId="4" fillId="2" borderId="0" xfId="0" applyFont="1" applyFill="1" applyAlignment="1">
      <alignment horizontal="center" vertical="center"/>
    </xf>
    <xf numFmtId="164" fontId="4" fillId="2" borderId="0" xfId="0" applyFont="1" applyFill="1" applyAlignment="1">
      <alignment horizontal="center"/>
    </xf>
    <xf numFmtId="0" fontId="3" fillId="0" borderId="62" xfId="2" applyFont="1" applyFill="1" applyBorder="1" applyAlignment="1"/>
    <xf numFmtId="9" fontId="3" fillId="0" borderId="62" xfId="2" applyNumberFormat="1" applyFont="1" applyFill="1" applyBorder="1" applyAlignment="1"/>
    <xf numFmtId="0" fontId="4" fillId="0" borderId="63" xfId="2" applyFont="1" applyFill="1" applyBorder="1" applyAlignment="1">
      <alignment horizontal="center" vertical="center"/>
    </xf>
    <xf numFmtId="0" fontId="4" fillId="0" borderId="64" xfId="2" applyFont="1" applyFill="1" applyBorder="1" applyAlignment="1">
      <alignment horizontal="left"/>
    </xf>
    <xf numFmtId="0" fontId="4" fillId="0" borderId="63" xfId="3" applyFont="1" applyFill="1" applyBorder="1" applyAlignment="1" applyProtection="1">
      <alignment horizontal="center" vertical="center"/>
    </xf>
    <xf numFmtId="0" fontId="4" fillId="0" borderId="65" xfId="3" applyFont="1" applyFill="1" applyBorder="1" applyAlignment="1" applyProtection="1">
      <alignment horizontal="center" vertical="center"/>
    </xf>
    <xf numFmtId="0" fontId="4" fillId="0" borderId="64" xfId="3" applyFont="1" applyFill="1" applyBorder="1" applyAlignment="1" applyProtection="1">
      <alignment horizontal="center" vertical="center"/>
    </xf>
    <xf numFmtId="0" fontId="4" fillId="0" borderId="62" xfId="3" applyFont="1" applyFill="1" applyBorder="1" applyAlignment="1" applyProtection="1">
      <alignment horizontal="center" vertical="center"/>
    </xf>
    <xf numFmtId="0" fontId="3" fillId="0" borderId="49" xfId="2" applyFont="1" applyFill="1" applyBorder="1" applyAlignment="1"/>
    <xf numFmtId="9" fontId="3" fillId="0" borderId="49" xfId="2" applyNumberFormat="1" applyFont="1" applyFill="1" applyBorder="1" applyAlignment="1"/>
    <xf numFmtId="0" fontId="4" fillId="0" borderId="54" xfId="2" applyFont="1" applyFill="1" applyBorder="1" applyAlignment="1">
      <alignment horizontal="center" vertical="center"/>
    </xf>
    <xf numFmtId="0" fontId="4" fillId="0" borderId="55" xfId="2" applyFont="1" applyFill="1" applyBorder="1" applyAlignment="1">
      <alignment horizontal="left"/>
    </xf>
    <xf numFmtId="0" fontId="4" fillId="0" borderId="54" xfId="3" applyFont="1" applyFill="1" applyBorder="1" applyAlignment="1" applyProtection="1">
      <alignment horizontal="center" vertical="center"/>
    </xf>
    <xf numFmtId="0" fontId="4" fillId="0" borderId="42" xfId="3" applyFont="1" applyFill="1" applyBorder="1" applyAlignment="1" applyProtection="1">
      <alignment horizontal="center" vertical="center"/>
    </xf>
    <xf numFmtId="0" fontId="4" fillId="0" borderId="55" xfId="3" applyFont="1" applyFill="1" applyBorder="1" applyAlignment="1" applyProtection="1">
      <alignment horizontal="center" vertical="center"/>
    </xf>
    <xf numFmtId="0" fontId="4" fillId="0" borderId="49" xfId="3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left" vertical="center" wrapText="1"/>
    </xf>
    <xf numFmtId="164" fontId="23" fillId="0" borderId="0" xfId="0" applyFont="1" applyFill="1"/>
    <xf numFmtId="0" fontId="5" fillId="4" borderId="5" xfId="0" applyNumberFormat="1" applyFont="1" applyFill="1" applyBorder="1" applyAlignment="1" applyProtection="1">
      <alignment vertical="center"/>
    </xf>
    <xf numFmtId="0" fontId="5" fillId="4" borderId="6" xfId="0" applyNumberFormat="1" applyFont="1" applyFill="1" applyBorder="1" applyAlignment="1" applyProtection="1">
      <alignment vertical="center"/>
    </xf>
    <xf numFmtId="0" fontId="5" fillId="4" borderId="1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0" fontId="12" fillId="4" borderId="2" xfId="0" applyNumberFormat="1" applyFont="1" applyFill="1" applyBorder="1" applyAlignment="1" applyProtection="1">
      <alignment vertical="center"/>
    </xf>
    <xf numFmtId="0" fontId="12" fillId="4" borderId="3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vertical="top" wrapText="1"/>
    </xf>
    <xf numFmtId="164" fontId="4" fillId="0" borderId="0" xfId="0" applyFont="1" applyAlignment="1">
      <alignment wrapText="1"/>
    </xf>
    <xf numFmtId="0" fontId="12" fillId="4" borderId="10" xfId="0" applyNumberFormat="1" applyFont="1" applyFill="1" applyBorder="1" applyAlignment="1" applyProtection="1">
      <alignment horizontal="center" vertical="center" wrapText="1"/>
    </xf>
    <xf numFmtId="164" fontId="5" fillId="4" borderId="61" xfId="0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left" vertical="top" wrapText="1"/>
    </xf>
    <xf numFmtId="164" fontId="5" fillId="4" borderId="6" xfId="0" applyFont="1" applyFill="1" applyBorder="1" applyAlignment="1">
      <alignment wrapText="1"/>
    </xf>
    <xf numFmtId="164" fontId="5" fillId="4" borderId="0" xfId="0" applyFont="1" applyFill="1" applyBorder="1" applyAlignment="1">
      <alignment wrapText="1"/>
    </xf>
    <xf numFmtId="164" fontId="5" fillId="4" borderId="3" xfId="0" applyFont="1" applyFill="1" applyBorder="1" applyAlignment="1">
      <alignment wrapText="1"/>
    </xf>
    <xf numFmtId="164" fontId="5" fillId="4" borderId="7" xfId="0" applyFont="1" applyFill="1" applyBorder="1" applyAlignment="1">
      <alignment wrapText="1"/>
    </xf>
    <xf numFmtId="164" fontId="5" fillId="4" borderId="4" xfId="0" applyFont="1" applyFill="1" applyBorder="1" applyAlignment="1">
      <alignment wrapText="1"/>
    </xf>
    <xf numFmtId="164" fontId="5" fillId="4" borderId="9" xfId="0" applyFont="1" applyFill="1" applyBorder="1" applyAlignment="1">
      <alignment wrapText="1"/>
    </xf>
    <xf numFmtId="0" fontId="5" fillId="4" borderId="5" xfId="0" applyNumberFormat="1" applyFont="1" applyFill="1" applyBorder="1" applyAlignment="1" applyProtection="1">
      <alignment horizontal="left" vertical="top" wrapText="1" indent="2"/>
    </xf>
    <xf numFmtId="164" fontId="5" fillId="4" borderId="6" xfId="0" applyFont="1" applyFill="1" applyBorder="1" applyAlignment="1">
      <alignment horizontal="left" wrapText="1" indent="2"/>
    </xf>
    <xf numFmtId="164" fontId="5" fillId="4" borderId="1" xfId="0" applyFont="1" applyFill="1" applyBorder="1" applyAlignment="1">
      <alignment horizontal="left" wrapText="1" indent="2"/>
    </xf>
    <xf numFmtId="164" fontId="5" fillId="4" borderId="0" xfId="0" applyFont="1" applyFill="1" applyBorder="1" applyAlignment="1">
      <alignment horizontal="left" wrapText="1" indent="2"/>
    </xf>
    <xf numFmtId="164" fontId="5" fillId="4" borderId="2" xfId="0" applyFont="1" applyFill="1" applyBorder="1" applyAlignment="1">
      <alignment horizontal="left" wrapText="1" indent="2"/>
    </xf>
    <xf numFmtId="164" fontId="5" fillId="4" borderId="3" xfId="0" applyFont="1" applyFill="1" applyBorder="1" applyAlignment="1">
      <alignment horizontal="left" wrapText="1" indent="2"/>
    </xf>
    <xf numFmtId="164" fontId="12" fillId="4" borderId="5" xfId="0" applyFont="1" applyFill="1" applyBorder="1" applyAlignment="1" applyProtection="1">
      <alignment horizontal="center" vertical="center" wrapText="1"/>
    </xf>
    <xf numFmtId="164" fontId="5" fillId="4" borderId="6" xfId="0" applyFont="1" applyFill="1" applyBorder="1" applyAlignment="1" applyProtection="1">
      <alignment horizontal="center" vertical="center" wrapText="1"/>
    </xf>
    <xf numFmtId="164" fontId="5" fillId="4" borderId="7" xfId="0" applyFont="1" applyFill="1" applyBorder="1" applyAlignment="1" applyProtection="1">
      <alignment horizontal="center" vertical="center" wrapText="1"/>
    </xf>
    <xf numFmtId="0" fontId="12" fillId="4" borderId="5" xfId="0" applyNumberFormat="1" applyFont="1" applyFill="1" applyBorder="1" applyAlignment="1" applyProtection="1">
      <alignment horizontal="center" vertical="center"/>
    </xf>
    <xf numFmtId="164" fontId="5" fillId="4" borderId="6" xfId="0" applyFont="1" applyFill="1" applyBorder="1" applyAlignment="1">
      <alignment horizontal="center" vertical="center"/>
    </xf>
    <xf numFmtId="164" fontId="5" fillId="4" borderId="7" xfId="0" applyFont="1" applyFill="1" applyBorder="1" applyAlignment="1">
      <alignment horizontal="center" vertical="center"/>
    </xf>
    <xf numFmtId="0" fontId="12" fillId="4" borderId="5" xfId="0" applyNumberFormat="1" applyFont="1" applyFill="1" applyBorder="1" applyAlignment="1" applyProtection="1">
      <alignment horizontal="center" vertical="center" wrapText="1"/>
    </xf>
    <xf numFmtId="164" fontId="5" fillId="4" borderId="6" xfId="0" applyFont="1" applyFill="1" applyBorder="1" applyAlignment="1">
      <alignment horizontal="center" vertical="center" wrapText="1"/>
    </xf>
    <xf numFmtId="164" fontId="5" fillId="4" borderId="7" xfId="0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164" fontId="4" fillId="2" borderId="11" xfId="0" applyFont="1" applyFill="1" applyBorder="1" applyAlignment="1">
      <alignment horizontal="center" vertical="center" wrapText="1"/>
    </xf>
    <xf numFmtId="0" fontId="18" fillId="2" borderId="8" xfId="0" applyNumberFormat="1" applyFont="1" applyFill="1" applyBorder="1" applyAlignment="1">
      <alignment horizontal="center" vertical="center"/>
    </xf>
    <xf numFmtId="0" fontId="18" fillId="2" borderId="24" xfId="0" applyNumberFormat="1" applyFont="1" applyFill="1" applyBorder="1" applyAlignment="1">
      <alignment horizontal="center" vertical="center"/>
    </xf>
    <xf numFmtId="0" fontId="18" fillId="2" borderId="23" xfId="0" applyNumberFormat="1" applyFont="1" applyFill="1" applyBorder="1" applyAlignment="1">
      <alignment horizontal="center" vertical="center"/>
    </xf>
    <xf numFmtId="0" fontId="18" fillId="2" borderId="25" xfId="0" applyNumberFormat="1" applyFont="1" applyFill="1" applyBorder="1" applyAlignment="1">
      <alignment horizontal="center" vertical="center"/>
    </xf>
    <xf numFmtId="164" fontId="19" fillId="2" borderId="10" xfId="0" applyFont="1" applyFill="1" applyBorder="1" applyAlignment="1">
      <alignment horizontal="center" wrapText="1"/>
    </xf>
    <xf numFmtId="164" fontId="19" fillId="2" borderId="11" xfId="0" applyFont="1" applyFill="1" applyBorder="1" applyAlignment="1">
      <alignment horizontal="center" wrapText="1"/>
    </xf>
  </cellXfs>
  <cellStyles count="11">
    <cellStyle name="Comma 2" xfId="5"/>
    <cellStyle name="Comma 2 2" xfId="6"/>
    <cellStyle name="Normal" xfId="0" builtinId="0"/>
    <cellStyle name="Normal 2" xfId="1"/>
    <cellStyle name="Normal 2 2" xfId="7"/>
    <cellStyle name="Normal 2 3" xfId="8"/>
    <cellStyle name="Normal 3" xfId="4"/>
    <cellStyle name="Normal 4" xfId="9"/>
    <cellStyle name="Normal 5" xfId="10"/>
    <cellStyle name="Normal_Sheet2" xfId="2"/>
    <cellStyle name="Normal_Sheet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E1E1E1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usernames" Target="revisions/userNames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20052</xdr:colOff>
      <xdr:row>3</xdr:row>
      <xdr:rowOff>20052</xdr:rowOff>
    </xdr:from>
    <xdr:to>
      <xdr:col>1</xdr:col>
      <xdr:colOff>315327</xdr:colOff>
      <xdr:row>6</xdr:row>
      <xdr:rowOff>164430</xdr:rowOff>
    </xdr:to>
    <xdr:pic>
      <xdr:nvPicPr>
        <xdr:cNvPr id="2" name="Picture 1" descr="image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368" y="511341"/>
          <a:ext cx="295275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eq.state.or.us/Climate%20Change%20GHG%20Reporting/2009%20reported%20data/Unverified%202009%20GHG%20emissions%20by%20source(cm)(a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Zipcode"/>
      <sheetName val="Totals NAICS3"/>
      <sheetName val="Totals NAICS 2"/>
      <sheetName val="Totals County"/>
      <sheetName val="Unverified 2009 emissions"/>
      <sheetName val="County lookup"/>
      <sheetName val="NAICS2 lookup"/>
      <sheetName val="NAICS3 looku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5058E5-58A0-4892-958B-6584C539E5F2}" diskRevisions="1" revisionId="264" version="2">
  <header guid="{505058E5-58A0-4892-958B-6584C539E5F2}" dateTime="2021-01-20T14:40:46" maxSheetId="5" userName="DOUGAN Jackson" r:id="rId29" minRId="260" maxRId="264">
    <sheetIdMap count="4">
      <sheetId val="1"/>
      <sheetId val="2"/>
      <sheetId val="3"/>
      <sheetId val="4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" sId="1">
    <oc r="B11" t="inlineStr">
      <is>
        <t>CHECK</t>
      </is>
    </oc>
    <nc r="B11"/>
  </rcc>
  <rcc rId="261" sId="1">
    <oc r="C11" t="inlineStr">
      <is>
        <t>Natural gas</t>
      </is>
    </oc>
    <nc r="C11"/>
  </rcc>
  <rcc rId="262" sId="1" numFmtId="4">
    <oc r="D11">
      <v>45256859</v>
    </oc>
    <nc r="D11"/>
  </rcc>
  <rcc rId="263" sId="1">
    <oc r="E11" t="inlineStr">
      <is>
        <t>Therms</t>
      </is>
    </oc>
    <nc r="E11"/>
  </rcc>
  <rcc rId="264" sId="1">
    <oc r="B40" t="inlineStr">
      <is>
        <t xml:space="preserve">Updated (incorrect label) 7.11.19 </t>
      </is>
    </oc>
    <nc r="B40" t="inlineStr">
      <is>
        <t xml:space="preserve">Updated (added therms) 6.15.2020 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05058E5-58A0-4892-958B-6584C539E5F2}" name="DOUGAN Jackson" id="-827374671" dateTime="2021-01-20T14:40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0"/>
  <sheetViews>
    <sheetView tabSelected="1" zoomScale="95" zoomScaleNormal="95" workbookViewId="0"/>
  </sheetViews>
  <sheetFormatPr defaultColWidth="9" defaultRowHeight="14.25" x14ac:dyDescent="0.2"/>
  <cols>
    <col min="1" max="1" width="1.625" style="85" customWidth="1"/>
    <col min="2" max="2" width="17.625" style="85" customWidth="1"/>
    <col min="3" max="3" width="19.5" style="85" customWidth="1"/>
    <col min="4" max="4" width="10.625" style="85" customWidth="1"/>
    <col min="5" max="5" width="9.75" style="85" bestFit="1" customWidth="1"/>
    <col min="6" max="6" width="12.625" style="85" bestFit="1" customWidth="1"/>
    <col min="7" max="7" width="8.25" style="85" bestFit="1" customWidth="1"/>
    <col min="8" max="8" width="4.5" style="85" bestFit="1" customWidth="1"/>
    <col min="9" max="9" width="9.375" style="85" bestFit="1" customWidth="1"/>
    <col min="10" max="10" width="4" style="85" bestFit="1" customWidth="1"/>
    <col min="11" max="12" width="4.125" style="85" bestFit="1" customWidth="1"/>
    <col min="13" max="14" width="4.625" style="85" customWidth="1"/>
    <col min="15" max="15" width="4.125" style="85" bestFit="1" customWidth="1"/>
    <col min="16" max="16" width="5.625" style="85" customWidth="1"/>
    <col min="17" max="17" width="8.375" style="85" bestFit="1" customWidth="1"/>
    <col min="18" max="18" width="5.125" style="85" bestFit="1" customWidth="1"/>
    <col min="19" max="19" width="8.25" style="85" bestFit="1" customWidth="1"/>
    <col min="20" max="20" width="1.625" style="85" customWidth="1"/>
    <col min="21" max="16384" width="9" style="85"/>
  </cols>
  <sheetData>
    <row r="1" spans="2:20" s="3" customFormat="1" ht="9.9499999999999993" customHeight="1" x14ac:dyDescent="0.2">
      <c r="B1" s="1"/>
      <c r="C1" s="2"/>
    </row>
    <row r="2" spans="2:20" s="6" customFormat="1" ht="20.100000000000001" customHeight="1" x14ac:dyDescent="0.15">
      <c r="B2" s="4" t="s">
        <v>99</v>
      </c>
      <c r="C2" s="196"/>
      <c r="D2" s="196"/>
      <c r="E2" s="5"/>
      <c r="F2" s="5"/>
      <c r="G2" s="5"/>
      <c r="M2" s="5"/>
      <c r="N2" s="5"/>
      <c r="O2" s="5"/>
      <c r="P2" s="7"/>
      <c r="Q2" s="7"/>
      <c r="R2" s="7"/>
    </row>
    <row r="3" spans="2:20" s="10" customFormat="1" ht="9.9499999999999993" customHeight="1" thickBot="1" x14ac:dyDescent="0.25">
      <c r="B3" s="8"/>
      <c r="C3" s="9"/>
      <c r="D3" s="9"/>
      <c r="E3" s="9"/>
      <c r="F3" s="9"/>
      <c r="G3" s="9"/>
      <c r="M3" s="9"/>
      <c r="N3" s="9"/>
      <c r="O3" s="9"/>
      <c r="P3" s="11"/>
      <c r="Q3" s="11"/>
      <c r="R3" s="11"/>
    </row>
    <row r="4" spans="2:20" s="13" customFormat="1" ht="14.45" customHeight="1" x14ac:dyDescent="0.2">
      <c r="B4" s="215" t="s">
        <v>68</v>
      </c>
      <c r="C4" s="216"/>
      <c r="D4" s="208" t="s">
        <v>76</v>
      </c>
      <c r="E4" s="209"/>
      <c r="F4" s="208" t="s">
        <v>77</v>
      </c>
      <c r="G4" s="209"/>
      <c r="H4" s="209"/>
      <c r="I4" s="209"/>
      <c r="J4" s="209"/>
      <c r="K4" s="209"/>
      <c r="L4" s="209"/>
      <c r="M4" s="208" t="s">
        <v>78</v>
      </c>
      <c r="N4" s="209"/>
      <c r="O4" s="209"/>
      <c r="P4" s="209"/>
      <c r="Q4" s="209"/>
      <c r="R4" s="209"/>
      <c r="S4" s="212"/>
      <c r="T4" s="12"/>
    </row>
    <row r="5" spans="2:20" s="13" customFormat="1" ht="14.45" customHeight="1" x14ac:dyDescent="0.2">
      <c r="B5" s="217"/>
      <c r="C5" s="218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3"/>
      <c r="T5" s="12"/>
    </row>
    <row r="6" spans="2:20" s="13" customFormat="1" ht="14.45" customHeight="1" x14ac:dyDescent="0.2">
      <c r="B6" s="217"/>
      <c r="C6" s="218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3"/>
      <c r="T6" s="12"/>
    </row>
    <row r="7" spans="2:20" s="13" customFormat="1" ht="27.75" customHeight="1" thickBot="1" x14ac:dyDescent="0.25">
      <c r="B7" s="219"/>
      <c r="C7" s="220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4"/>
      <c r="T7" s="12"/>
    </row>
    <row r="8" spans="2:20" s="13" customFormat="1" ht="9.9499999999999993" customHeight="1" thickBot="1" x14ac:dyDescent="0.25">
      <c r="B8" s="14"/>
      <c r="C8" s="14"/>
      <c r="D8" s="14"/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2"/>
    </row>
    <row r="9" spans="2:20" s="16" customFormat="1" ht="25.5" customHeight="1" x14ac:dyDescent="0.2">
      <c r="B9" s="221" t="s">
        <v>4</v>
      </c>
      <c r="C9" s="222"/>
      <c r="D9" s="222"/>
      <c r="E9" s="223"/>
      <c r="F9" s="224" t="s">
        <v>6</v>
      </c>
      <c r="G9" s="225"/>
      <c r="H9" s="225"/>
      <c r="I9" s="226"/>
      <c r="J9" s="227" t="s">
        <v>39</v>
      </c>
      <c r="K9" s="228"/>
      <c r="L9" s="229"/>
      <c r="M9" s="227" t="s">
        <v>79</v>
      </c>
      <c r="N9" s="228"/>
      <c r="O9" s="229"/>
      <c r="P9" s="227" t="s">
        <v>80</v>
      </c>
      <c r="Q9" s="228"/>
      <c r="R9" s="229"/>
      <c r="S9" s="206" t="s">
        <v>100</v>
      </c>
    </row>
    <row r="10" spans="2:20" s="29" customFormat="1" ht="15" thickBot="1" x14ac:dyDescent="0.25">
      <c r="B10" s="17" t="s">
        <v>81</v>
      </c>
      <c r="C10" s="18" t="s">
        <v>82</v>
      </c>
      <c r="D10" s="18" t="s">
        <v>83</v>
      </c>
      <c r="E10" s="19" t="s">
        <v>84</v>
      </c>
      <c r="F10" s="20" t="s">
        <v>27</v>
      </c>
      <c r="G10" s="21" t="s">
        <v>5</v>
      </c>
      <c r="H10" s="21" t="s">
        <v>1</v>
      </c>
      <c r="I10" s="22" t="s">
        <v>8</v>
      </c>
      <c r="J10" s="23" t="s">
        <v>85</v>
      </c>
      <c r="K10" s="24" t="s">
        <v>86</v>
      </c>
      <c r="L10" s="25" t="s">
        <v>87</v>
      </c>
      <c r="M10" s="26" t="s">
        <v>88</v>
      </c>
      <c r="N10" s="27" t="s">
        <v>86</v>
      </c>
      <c r="O10" s="28" t="s">
        <v>89</v>
      </c>
      <c r="P10" s="23" t="s">
        <v>90</v>
      </c>
      <c r="Q10" s="24" t="s">
        <v>86</v>
      </c>
      <c r="R10" s="25" t="s">
        <v>87</v>
      </c>
      <c r="S10" s="207"/>
    </row>
    <row r="11" spans="2:20" s="46" customFormat="1" ht="15" customHeight="1" x14ac:dyDescent="0.15">
      <c r="B11" s="30"/>
      <c r="C11" s="31"/>
      <c r="D11" s="32"/>
      <c r="E11" s="33"/>
      <c r="F11" s="34">
        <f>IF(COUNTIF(all_fuels,$C11),INDEX('Units Lookup'!$D$4:$F$13,VLOOKUP(E11,'Units Lookup'!$B$4:$C$13,2,FALSE),HLOOKUP(G11,'Units Lookup'!$D$2:$F$3,2,FALSE))*D11,0)</f>
        <v>0</v>
      </c>
      <c r="G11" s="35">
        <f>IF(COUNTIF(all_fuels,$C11),VLOOKUP($C11,'Fuel Lookup'!$B$5:$I$36,4,FALSE),0)</f>
        <v>0</v>
      </c>
      <c r="H11" s="35">
        <f>IF(COUNTIF(all_fuels,$C11),VLOOKUP($C11,'Fuel Lookup'!$B$5:$I$36,3,FALSE),0)</f>
        <v>0</v>
      </c>
      <c r="I11" s="36">
        <f t="shared" ref="I11:I20" si="0">F11*H11</f>
        <v>0</v>
      </c>
      <c r="J11" s="37">
        <f>IF(COUNTIF(all_fuels,$C11),VLOOKUP($C11,'Fuel Lookup'!$B$5:$I$36,5,FALSE),0)</f>
        <v>0</v>
      </c>
      <c r="K11" s="38">
        <f>IF(COUNTIF(all_fuels,$C11),VLOOKUP($C11,'Fuel Lookup'!$B$5:$I$36,6,FALSE),0)</f>
        <v>0</v>
      </c>
      <c r="L11" s="39">
        <f>IF(COUNTIF(all_fuels,$C11),VLOOKUP($C11,'Fuel Lookup'!$B$5:$I$36,7,FALSE),0)</f>
        <v>0</v>
      </c>
      <c r="M11" s="40">
        <v>25</v>
      </c>
      <c r="N11" s="41">
        <v>1</v>
      </c>
      <c r="O11" s="42">
        <v>298</v>
      </c>
      <c r="P11" s="43">
        <f t="shared" ref="P11" si="1">I11*J11*M11*0.001</f>
        <v>0</v>
      </c>
      <c r="Q11" s="44">
        <f>I11*K11*N11*0.001</f>
        <v>0</v>
      </c>
      <c r="R11" s="36">
        <f t="shared" ref="R11" si="2">I11*L11*O11*0.001</f>
        <v>0</v>
      </c>
      <c r="S11" s="45">
        <f>(IF(COUNTIF(all_fuels,$C11),VLOOKUP($C11,'Fuel Lookup'!$B$5:$I$36,8,FALSE),0))*I11*0.001</f>
        <v>0</v>
      </c>
    </row>
    <row r="12" spans="2:20" s="46" customFormat="1" ht="12.75" x14ac:dyDescent="0.15">
      <c r="B12" s="47"/>
      <c r="C12" s="48"/>
      <c r="D12" s="49"/>
      <c r="E12" s="50"/>
      <c r="F12" s="51">
        <f>IF(COUNTIF(all_fuels,$C12),INDEX('Units Lookup'!$D$4:$F$13,VLOOKUP(E12,'Units Lookup'!$B$4:$C$13,2,FALSE),HLOOKUP(G12,'Units Lookup'!$D$2:$F$3,2,FALSE))*D12,0)</f>
        <v>0</v>
      </c>
      <c r="G12" s="52">
        <f>IF(COUNTIF(all_fuels,$C12),VLOOKUP($C12,'Fuel Lookup'!$B$5:$I$36,4,FALSE),0)</f>
        <v>0</v>
      </c>
      <c r="H12" s="52">
        <f>IF(COUNTIF(all_fuels,$C12),VLOOKUP($C12,'Fuel Lookup'!$B$5:$I$36,3,FALSE),0)</f>
        <v>0</v>
      </c>
      <c r="I12" s="53">
        <f t="shared" si="0"/>
        <v>0</v>
      </c>
      <c r="J12" s="54">
        <f>IF(COUNTIF(all_fuels,$C12),VLOOKUP($C12,'Fuel Lookup'!$B$5:$I$36,5,FALSE),0)</f>
        <v>0</v>
      </c>
      <c r="K12" s="55">
        <f>IF(COUNTIF(all_fuels,$C12),VLOOKUP($C12,'Fuel Lookup'!$B$5:$I$36,6,FALSE),0)</f>
        <v>0</v>
      </c>
      <c r="L12" s="56">
        <f>IF(COUNTIF(all_fuels,$C12),VLOOKUP($C12,'Fuel Lookup'!$B$5:$I$36,7,FALSE),0)</f>
        <v>0</v>
      </c>
      <c r="M12" s="57">
        <v>25</v>
      </c>
      <c r="N12" s="58">
        <v>1</v>
      </c>
      <c r="O12" s="59">
        <v>298</v>
      </c>
      <c r="P12" s="60">
        <f t="shared" ref="P12:P20" si="3">I12*J12*M12*0.001</f>
        <v>0</v>
      </c>
      <c r="Q12" s="61">
        <f t="shared" ref="Q12:Q20" si="4">I12*K12*N12*0.001</f>
        <v>0</v>
      </c>
      <c r="R12" s="53">
        <f t="shared" ref="R12:R20" si="5">I12*L12*O12*0.001</f>
        <v>0</v>
      </c>
      <c r="S12" s="62">
        <f>(IF(COUNTIF(all_fuels,$C12),VLOOKUP($C12,'Fuel Lookup'!$B$5:$I$36,8,FALSE),0))*I12*0.001</f>
        <v>0</v>
      </c>
    </row>
    <row r="13" spans="2:20" s="46" customFormat="1" ht="15" customHeight="1" x14ac:dyDescent="0.15">
      <c r="B13" s="47"/>
      <c r="C13" s="48"/>
      <c r="D13" s="49"/>
      <c r="E13" s="50"/>
      <c r="F13" s="51">
        <f>IF(COUNTIF(all_fuels,$C13),INDEX('Units Lookup'!$D$4:$F$13,VLOOKUP(E13,'Units Lookup'!$B$4:$C$13,2,FALSE),HLOOKUP(G13,'Units Lookup'!$D$2:$F$3,2,FALSE))*D13,0)</f>
        <v>0</v>
      </c>
      <c r="G13" s="52">
        <f>IF(COUNTIF(all_fuels,$C13),VLOOKUP($C13,'Fuel Lookup'!$B$5:$I$36,4,FALSE),0)</f>
        <v>0</v>
      </c>
      <c r="H13" s="52">
        <f>IF(COUNTIF(all_fuels,$C13),VLOOKUP($C13,'Fuel Lookup'!$B$5:$I$36,3,FALSE),0)</f>
        <v>0</v>
      </c>
      <c r="I13" s="53">
        <f t="shared" si="0"/>
        <v>0</v>
      </c>
      <c r="J13" s="54">
        <f>IF(COUNTIF(all_fuels,$C13),VLOOKUP($C13,'Fuel Lookup'!$B$5:$I$36,5,FALSE),0)</f>
        <v>0</v>
      </c>
      <c r="K13" s="55">
        <f>IF(COUNTIF(all_fuels,$C13),VLOOKUP($C13,'Fuel Lookup'!$B$5:$I$36,6,FALSE),0)</f>
        <v>0</v>
      </c>
      <c r="L13" s="56">
        <f>IF(COUNTIF(all_fuels,$C13),VLOOKUP($C13,'Fuel Lookup'!$B$5:$I$36,7,FALSE),0)</f>
        <v>0</v>
      </c>
      <c r="M13" s="57">
        <v>25</v>
      </c>
      <c r="N13" s="58">
        <v>1</v>
      </c>
      <c r="O13" s="59">
        <v>298</v>
      </c>
      <c r="P13" s="60">
        <f t="shared" si="3"/>
        <v>0</v>
      </c>
      <c r="Q13" s="61">
        <f t="shared" si="4"/>
        <v>0</v>
      </c>
      <c r="R13" s="53">
        <f t="shared" si="5"/>
        <v>0</v>
      </c>
      <c r="S13" s="62">
        <f>(IF(COUNTIF(all_fuels,$C13),VLOOKUP($C13,'Fuel Lookup'!$B$5:$I$36,8,FALSE),0))*I13*0.001</f>
        <v>0</v>
      </c>
    </row>
    <row r="14" spans="2:20" s="46" customFormat="1" ht="15" customHeight="1" x14ac:dyDescent="0.15">
      <c r="B14" s="47"/>
      <c r="C14" s="48"/>
      <c r="D14" s="49"/>
      <c r="E14" s="50"/>
      <c r="F14" s="51">
        <f>IF(COUNTIF(all_fuels,$C14),INDEX('Units Lookup'!$D$4:$F$13,VLOOKUP(E14,'Units Lookup'!$B$4:$C$13,2,FALSE),HLOOKUP(G14,'Units Lookup'!$D$2:$F$3,2,FALSE))*D14,0)</f>
        <v>0</v>
      </c>
      <c r="G14" s="52">
        <f>IF(COUNTIF(all_fuels,$C14),VLOOKUP($C14,'Fuel Lookup'!$B$5:$I$36,4,FALSE),0)</f>
        <v>0</v>
      </c>
      <c r="H14" s="52">
        <f>IF(COUNTIF(all_fuels,$C14),VLOOKUP($C14,'Fuel Lookup'!$B$5:$I$36,3,FALSE),0)</f>
        <v>0</v>
      </c>
      <c r="I14" s="53">
        <f t="shared" si="0"/>
        <v>0</v>
      </c>
      <c r="J14" s="54">
        <f>IF(COUNTIF(all_fuels,$C14),VLOOKUP($C14,'Fuel Lookup'!$B$5:$I$36,5,FALSE),0)</f>
        <v>0</v>
      </c>
      <c r="K14" s="55">
        <f>IF(COUNTIF(all_fuels,$C14),VLOOKUP($C14,'Fuel Lookup'!$B$5:$I$36,6,FALSE),0)</f>
        <v>0</v>
      </c>
      <c r="L14" s="56">
        <f>IF(COUNTIF(all_fuels,$C14),VLOOKUP($C14,'Fuel Lookup'!$B$5:$I$36,7,FALSE),0)</f>
        <v>0</v>
      </c>
      <c r="M14" s="57">
        <v>25</v>
      </c>
      <c r="N14" s="58">
        <v>1</v>
      </c>
      <c r="O14" s="59">
        <v>298</v>
      </c>
      <c r="P14" s="60">
        <f t="shared" si="3"/>
        <v>0</v>
      </c>
      <c r="Q14" s="61">
        <f t="shared" si="4"/>
        <v>0</v>
      </c>
      <c r="R14" s="53">
        <f t="shared" si="5"/>
        <v>0</v>
      </c>
      <c r="S14" s="62">
        <f>(IF(COUNTIF(all_fuels,$C14),VLOOKUP($C14,'Fuel Lookup'!$B$5:$I$36,8,FALSE),0))*I14*0.001</f>
        <v>0</v>
      </c>
    </row>
    <row r="15" spans="2:20" s="46" customFormat="1" ht="15" customHeight="1" x14ac:dyDescent="0.15">
      <c r="B15" s="47"/>
      <c r="C15" s="48"/>
      <c r="D15" s="49"/>
      <c r="E15" s="50"/>
      <c r="F15" s="51">
        <f>IF(COUNTIF(all_fuels,$C15),INDEX('Units Lookup'!$D$4:$F$13,VLOOKUP(E15,'Units Lookup'!$B$4:$C$13,2,FALSE),HLOOKUP(G15,'Units Lookup'!$D$2:$F$3,2,FALSE))*D15,0)</f>
        <v>0</v>
      </c>
      <c r="G15" s="52">
        <f>IF(COUNTIF(all_fuels,$C15),VLOOKUP($C15,'Fuel Lookup'!$B$5:$I$36,4,FALSE),0)</f>
        <v>0</v>
      </c>
      <c r="H15" s="52">
        <f>IF(COUNTIF(all_fuels,$C15),VLOOKUP($C15,'Fuel Lookup'!$B$5:$I$36,3,FALSE),0)</f>
        <v>0</v>
      </c>
      <c r="I15" s="53">
        <f t="shared" si="0"/>
        <v>0</v>
      </c>
      <c r="J15" s="54">
        <f>IF(COUNTIF(all_fuels,$C15),VLOOKUP($C15,'Fuel Lookup'!$B$5:$I$36,5,FALSE),0)</f>
        <v>0</v>
      </c>
      <c r="K15" s="55">
        <f>IF(COUNTIF(all_fuels,$C15),VLOOKUP($C15,'Fuel Lookup'!$B$5:$I$36,6,FALSE),0)</f>
        <v>0</v>
      </c>
      <c r="L15" s="56">
        <f>IF(COUNTIF(all_fuels,$C15),VLOOKUP($C15,'Fuel Lookup'!$B$5:$I$36,7,FALSE),0)</f>
        <v>0</v>
      </c>
      <c r="M15" s="57">
        <v>25</v>
      </c>
      <c r="N15" s="58">
        <v>1</v>
      </c>
      <c r="O15" s="59">
        <v>298</v>
      </c>
      <c r="P15" s="60">
        <f t="shared" si="3"/>
        <v>0</v>
      </c>
      <c r="Q15" s="61">
        <f t="shared" si="4"/>
        <v>0</v>
      </c>
      <c r="R15" s="53">
        <f t="shared" si="5"/>
        <v>0</v>
      </c>
      <c r="S15" s="62">
        <f>(IF(COUNTIF(all_fuels,$C15),VLOOKUP($C15,'Fuel Lookup'!$B$5:$I$36,8,FALSE),0))*I15*0.001</f>
        <v>0</v>
      </c>
    </row>
    <row r="16" spans="2:20" s="46" customFormat="1" ht="15" customHeight="1" x14ac:dyDescent="0.15">
      <c r="B16" s="47"/>
      <c r="C16" s="48"/>
      <c r="D16" s="49"/>
      <c r="E16" s="50"/>
      <c r="F16" s="51">
        <f>IF(COUNTIF(all_fuels,$C16),INDEX('Units Lookup'!$D$4:$F$13,VLOOKUP(E16,'Units Lookup'!$B$4:$C$13,2,FALSE),HLOOKUP(G16,'Units Lookup'!$D$2:$F$3,2,FALSE))*D16,0)</f>
        <v>0</v>
      </c>
      <c r="G16" s="52">
        <f>IF(COUNTIF(all_fuels,$C16),VLOOKUP($C16,'Fuel Lookup'!$B$5:$I$36,4,FALSE),0)</f>
        <v>0</v>
      </c>
      <c r="H16" s="52">
        <f>IF(COUNTIF(all_fuels,$C16),VLOOKUP($C16,'Fuel Lookup'!$B$5:$I$36,3,FALSE),0)</f>
        <v>0</v>
      </c>
      <c r="I16" s="53">
        <f t="shared" si="0"/>
        <v>0</v>
      </c>
      <c r="J16" s="54">
        <f>IF(COUNTIF(all_fuels,$C16),VLOOKUP($C16,'Fuel Lookup'!$B$5:$I$36,5,FALSE),0)</f>
        <v>0</v>
      </c>
      <c r="K16" s="55">
        <f>IF(COUNTIF(all_fuels,$C16),VLOOKUP($C16,'Fuel Lookup'!$B$5:$I$36,6,FALSE),0)</f>
        <v>0</v>
      </c>
      <c r="L16" s="56">
        <f>IF(COUNTIF(all_fuels,$C16),VLOOKUP($C16,'Fuel Lookup'!$B$5:$I$36,7,FALSE),0)</f>
        <v>0</v>
      </c>
      <c r="M16" s="57">
        <v>25</v>
      </c>
      <c r="N16" s="58">
        <v>1</v>
      </c>
      <c r="O16" s="59">
        <v>298</v>
      </c>
      <c r="P16" s="60">
        <f t="shared" si="3"/>
        <v>0</v>
      </c>
      <c r="Q16" s="61">
        <f t="shared" si="4"/>
        <v>0</v>
      </c>
      <c r="R16" s="53">
        <f t="shared" si="5"/>
        <v>0</v>
      </c>
      <c r="S16" s="62">
        <f>(IF(COUNTIF(all_fuels,$C16),VLOOKUP($C16,'Fuel Lookup'!$B$5:$I$36,8,FALSE),0))*I16*0.001</f>
        <v>0</v>
      </c>
    </row>
    <row r="17" spans="2:19" s="46" customFormat="1" ht="15" customHeight="1" x14ac:dyDescent="0.15">
      <c r="B17" s="47"/>
      <c r="C17" s="48"/>
      <c r="D17" s="49"/>
      <c r="E17" s="50"/>
      <c r="F17" s="51">
        <f>IF(COUNTIF(all_fuels,$C17),INDEX('Units Lookup'!$D$4:$F$13,VLOOKUP(E17,'Units Lookup'!$B$4:$C$13,2,FALSE),HLOOKUP(G17,'Units Lookup'!$D$2:$F$3,2,FALSE))*D17,0)</f>
        <v>0</v>
      </c>
      <c r="G17" s="52">
        <f>IF(COUNTIF(all_fuels,$C17),VLOOKUP($C17,'Fuel Lookup'!$B$5:$I$36,4,FALSE),0)</f>
        <v>0</v>
      </c>
      <c r="H17" s="52">
        <f>IF(COUNTIF(all_fuels,$C17),VLOOKUP($C17,'Fuel Lookup'!$B$5:$I$36,3,FALSE),0)</f>
        <v>0</v>
      </c>
      <c r="I17" s="53">
        <f t="shared" si="0"/>
        <v>0</v>
      </c>
      <c r="J17" s="54">
        <f>IF(COUNTIF(all_fuels,$C17),VLOOKUP($C17,'Fuel Lookup'!$B$5:$I$36,5,FALSE),0)</f>
        <v>0</v>
      </c>
      <c r="K17" s="55">
        <f>IF(COUNTIF(all_fuels,$C17),VLOOKUP($C17,'Fuel Lookup'!$B$5:$I$36,6,FALSE),0)</f>
        <v>0</v>
      </c>
      <c r="L17" s="56">
        <f>IF(COUNTIF(all_fuels,$C17),VLOOKUP($C17,'Fuel Lookup'!$B$5:$I$36,7,FALSE),0)</f>
        <v>0</v>
      </c>
      <c r="M17" s="57">
        <v>25</v>
      </c>
      <c r="N17" s="58">
        <v>1</v>
      </c>
      <c r="O17" s="59">
        <v>298</v>
      </c>
      <c r="P17" s="60">
        <f t="shared" si="3"/>
        <v>0</v>
      </c>
      <c r="Q17" s="61">
        <f t="shared" si="4"/>
        <v>0</v>
      </c>
      <c r="R17" s="53">
        <f t="shared" si="5"/>
        <v>0</v>
      </c>
      <c r="S17" s="62">
        <f>(IF(COUNTIF(all_fuels,$C17),VLOOKUP($C17,'Fuel Lookup'!$B$5:$I$36,8,FALSE),0))*I17*0.001</f>
        <v>0</v>
      </c>
    </row>
    <row r="18" spans="2:19" s="46" customFormat="1" ht="15" customHeight="1" x14ac:dyDescent="0.15">
      <c r="B18" s="47"/>
      <c r="C18" s="48"/>
      <c r="D18" s="49"/>
      <c r="E18" s="50"/>
      <c r="F18" s="51">
        <f>IF(COUNTIF(all_fuels,$C18),INDEX('Units Lookup'!$D$4:$F$13,VLOOKUP(E18,'Units Lookup'!$B$4:$C$13,2,FALSE),HLOOKUP(G18,'Units Lookup'!$D$2:$F$3,2,FALSE))*D18,0)</f>
        <v>0</v>
      </c>
      <c r="G18" s="52">
        <f>IF(COUNTIF(all_fuels,$C18),VLOOKUP($C18,'Fuel Lookup'!$B$5:$I$36,4,FALSE),0)</f>
        <v>0</v>
      </c>
      <c r="H18" s="52">
        <f>IF(COUNTIF(all_fuels,$C18),VLOOKUP($C18,'Fuel Lookup'!$B$5:$I$36,3,FALSE),0)</f>
        <v>0</v>
      </c>
      <c r="I18" s="53">
        <f t="shared" si="0"/>
        <v>0</v>
      </c>
      <c r="J18" s="54">
        <f>IF(COUNTIF(all_fuels,$C18),VLOOKUP($C18,'Fuel Lookup'!$B$5:$I$36,5,FALSE),0)</f>
        <v>0</v>
      </c>
      <c r="K18" s="55">
        <f>IF(COUNTIF(all_fuels,$C18),VLOOKUP($C18,'Fuel Lookup'!$B$5:$I$36,6,FALSE),0)</f>
        <v>0</v>
      </c>
      <c r="L18" s="56">
        <f>IF(COUNTIF(all_fuels,$C18),VLOOKUP($C18,'Fuel Lookup'!$B$5:$I$36,7,FALSE),0)</f>
        <v>0</v>
      </c>
      <c r="M18" s="57">
        <v>25</v>
      </c>
      <c r="N18" s="58">
        <v>1</v>
      </c>
      <c r="O18" s="59">
        <v>298</v>
      </c>
      <c r="P18" s="60">
        <f t="shared" si="3"/>
        <v>0</v>
      </c>
      <c r="Q18" s="61">
        <f t="shared" si="4"/>
        <v>0</v>
      </c>
      <c r="R18" s="53">
        <f t="shared" si="5"/>
        <v>0</v>
      </c>
      <c r="S18" s="62">
        <f>(IF(COUNTIF(all_fuels,$C18),VLOOKUP($C18,'Fuel Lookup'!$B$5:$I$36,8,FALSE),0))*I18*0.001</f>
        <v>0</v>
      </c>
    </row>
    <row r="19" spans="2:19" s="46" customFormat="1" ht="15" customHeight="1" x14ac:dyDescent="0.15">
      <c r="B19" s="47"/>
      <c r="C19" s="48"/>
      <c r="D19" s="49"/>
      <c r="E19" s="50"/>
      <c r="F19" s="51">
        <f>IF(COUNTIF(all_fuels,$C19),INDEX('Units Lookup'!$D$4:$F$13,VLOOKUP(E19,'Units Lookup'!$B$4:$C$13,2,FALSE),HLOOKUP(G19,'Units Lookup'!$D$2:$F$3,2,FALSE))*D19,0)</f>
        <v>0</v>
      </c>
      <c r="G19" s="52">
        <f>IF(COUNTIF(all_fuels,$C19),VLOOKUP($C19,'Fuel Lookup'!$B$5:$I$36,4,FALSE),0)</f>
        <v>0</v>
      </c>
      <c r="H19" s="52">
        <f>IF(COUNTIF(all_fuels,$C19),VLOOKUP($C19,'Fuel Lookup'!$B$5:$I$36,3,FALSE),0)</f>
        <v>0</v>
      </c>
      <c r="I19" s="53">
        <f t="shared" si="0"/>
        <v>0</v>
      </c>
      <c r="J19" s="54">
        <f>IF(COUNTIF(all_fuels,$C19),VLOOKUP($C19,'Fuel Lookup'!$B$5:$I$36,5,FALSE),0)</f>
        <v>0</v>
      </c>
      <c r="K19" s="55">
        <f>IF(COUNTIF(all_fuels,$C19),VLOOKUP($C19,'Fuel Lookup'!$B$5:$I$36,6,FALSE),0)</f>
        <v>0</v>
      </c>
      <c r="L19" s="56">
        <f>IF(COUNTIF(all_fuels,$C19),VLOOKUP($C19,'Fuel Lookup'!$B$5:$I$36,7,FALSE),0)</f>
        <v>0</v>
      </c>
      <c r="M19" s="57">
        <v>25</v>
      </c>
      <c r="N19" s="58">
        <v>1</v>
      </c>
      <c r="O19" s="59">
        <v>298</v>
      </c>
      <c r="P19" s="60">
        <f t="shared" si="3"/>
        <v>0</v>
      </c>
      <c r="Q19" s="61">
        <f t="shared" si="4"/>
        <v>0</v>
      </c>
      <c r="R19" s="53">
        <f t="shared" si="5"/>
        <v>0</v>
      </c>
      <c r="S19" s="62">
        <f>(IF(COUNTIF(all_fuels,$C19),VLOOKUP($C19,'Fuel Lookup'!$B$5:$I$36,8,FALSE),0))*I19*0.001</f>
        <v>0</v>
      </c>
    </row>
    <row r="20" spans="2:19" s="46" customFormat="1" ht="15" customHeight="1" thickBot="1" x14ac:dyDescent="0.2">
      <c r="B20" s="63"/>
      <c r="C20" s="64"/>
      <c r="D20" s="65"/>
      <c r="E20" s="66"/>
      <c r="F20" s="67">
        <f>IF(COUNTIF(all_fuels,$C20),INDEX('Units Lookup'!$D$4:$F$13,VLOOKUP(E20,'Units Lookup'!$B$4:$C$13,2,FALSE),HLOOKUP(G20,'Units Lookup'!$D$2:$F$3,2,FALSE))*D20,0)</f>
        <v>0</v>
      </c>
      <c r="G20" s="68">
        <f>IF(COUNTIF(all_fuels,$C20),VLOOKUP($C20,'Fuel Lookup'!$B$5:$I$36,4,FALSE),0)</f>
        <v>0</v>
      </c>
      <c r="H20" s="68">
        <f>IF(COUNTIF(all_fuels,$C20),VLOOKUP($C20,'Fuel Lookup'!$B$5:$I$36,3,FALSE),0)</f>
        <v>0</v>
      </c>
      <c r="I20" s="69">
        <f t="shared" si="0"/>
        <v>0</v>
      </c>
      <c r="J20" s="70">
        <f>IF(COUNTIF(all_fuels,$C20),VLOOKUP($C20,'Fuel Lookup'!$B$5:$I$36,5,FALSE),0)</f>
        <v>0</v>
      </c>
      <c r="K20" s="71">
        <f>IF(COUNTIF(all_fuels,$C20),VLOOKUP($C20,'Fuel Lookup'!$B$5:$I$36,6,FALSE),0)</f>
        <v>0</v>
      </c>
      <c r="L20" s="72">
        <f>IF(COUNTIF(all_fuels,$C20),VLOOKUP($C20,'Fuel Lookup'!$B$5:$I$36,7,FALSE),0)</f>
        <v>0</v>
      </c>
      <c r="M20" s="73">
        <v>25</v>
      </c>
      <c r="N20" s="74">
        <v>1</v>
      </c>
      <c r="O20" s="75">
        <v>298</v>
      </c>
      <c r="P20" s="76">
        <f t="shared" si="3"/>
        <v>0</v>
      </c>
      <c r="Q20" s="77">
        <f t="shared" si="4"/>
        <v>0</v>
      </c>
      <c r="R20" s="69">
        <f t="shared" si="5"/>
        <v>0</v>
      </c>
      <c r="S20" s="78">
        <f>(IF(COUNTIF(all_fuels,$C20),VLOOKUP($C20,'Fuel Lookup'!$B$5:$I$36,8,FALSE),0))*I20*0.001</f>
        <v>0</v>
      </c>
    </row>
    <row r="21" spans="2:19" s="46" customFormat="1" ht="9.9499999999999993" customHeight="1" thickBot="1" x14ac:dyDescent="0.2"/>
    <row r="22" spans="2:19" s="46" customFormat="1" ht="15" customHeight="1" x14ac:dyDescent="0.2">
      <c r="B22" s="198" t="s">
        <v>91</v>
      </c>
      <c r="C22" s="199"/>
      <c r="D22" s="79">
        <f>SUM(P11:R20)</f>
        <v>0</v>
      </c>
      <c r="F22" s="204" t="s">
        <v>92</v>
      </c>
      <c r="G22" s="204"/>
      <c r="H22" s="204"/>
      <c r="I22" s="204"/>
      <c r="J22" s="205"/>
      <c r="K22" s="205"/>
      <c r="L22" s="205"/>
      <c r="M22" s="80"/>
      <c r="N22" s="80"/>
      <c r="O22" s="80"/>
      <c r="P22" s="80"/>
      <c r="Q22" s="80"/>
      <c r="R22" s="80"/>
      <c r="S22" s="80"/>
    </row>
    <row r="23" spans="2:19" s="46" customFormat="1" ht="15" customHeight="1" x14ac:dyDescent="0.2">
      <c r="B23" s="200" t="s">
        <v>93</v>
      </c>
      <c r="C23" s="201"/>
      <c r="D23" s="81">
        <f>SUM(S11:S20)</f>
        <v>0</v>
      </c>
      <c r="F23" s="204"/>
      <c r="G23" s="204"/>
      <c r="H23" s="204"/>
      <c r="I23" s="204"/>
      <c r="J23" s="205"/>
      <c r="K23" s="205"/>
      <c r="L23" s="205"/>
      <c r="M23" s="80"/>
      <c r="N23" s="80"/>
      <c r="O23" s="80"/>
      <c r="P23" s="80"/>
      <c r="Q23" s="80"/>
      <c r="R23" s="80"/>
      <c r="S23" s="80"/>
    </row>
    <row r="24" spans="2:19" s="46" customFormat="1" ht="15" customHeight="1" thickBot="1" x14ac:dyDescent="0.25">
      <c r="B24" s="202" t="s">
        <v>94</v>
      </c>
      <c r="C24" s="203"/>
      <c r="D24" s="82">
        <f>D22+D23</f>
        <v>0</v>
      </c>
      <c r="E24" s="83"/>
      <c r="F24" s="204"/>
      <c r="G24" s="204"/>
      <c r="H24" s="204"/>
      <c r="I24" s="204"/>
      <c r="J24" s="205"/>
      <c r="K24" s="205"/>
      <c r="L24" s="205"/>
      <c r="M24" s="80"/>
      <c r="N24" s="80"/>
      <c r="O24" s="80"/>
      <c r="P24" s="80"/>
      <c r="Q24" s="80"/>
      <c r="R24" s="80"/>
      <c r="S24" s="80"/>
    </row>
    <row r="25" spans="2:19" s="80" customFormat="1" ht="9.9499999999999993" customHeight="1" x14ac:dyDescent="0.2">
      <c r="F25" s="205"/>
      <c r="G25" s="205"/>
      <c r="H25" s="205"/>
      <c r="I25" s="205"/>
      <c r="J25" s="205"/>
      <c r="K25" s="205"/>
      <c r="L25" s="205"/>
    </row>
    <row r="26" spans="2:19" s="80" customFormat="1" ht="13.5" thickBot="1" x14ac:dyDescent="0.25">
      <c r="B26" s="84" t="s">
        <v>64</v>
      </c>
      <c r="F26" s="205"/>
      <c r="G26" s="205"/>
      <c r="H26" s="205"/>
      <c r="I26" s="205"/>
      <c r="J26" s="205"/>
      <c r="K26" s="205"/>
      <c r="L26" s="205"/>
    </row>
    <row r="27" spans="2:19" s="80" customFormat="1" ht="12.75" x14ac:dyDescent="0.2">
      <c r="B27" s="198" t="s">
        <v>65</v>
      </c>
      <c r="C27" s="199"/>
      <c r="D27" s="79">
        <f>D22*1.10231131</f>
        <v>0</v>
      </c>
      <c r="F27" s="205"/>
      <c r="G27" s="205"/>
      <c r="H27" s="205"/>
      <c r="I27" s="205"/>
      <c r="J27" s="205"/>
      <c r="K27" s="205"/>
      <c r="L27" s="205"/>
    </row>
    <row r="28" spans="2:19" s="80" customFormat="1" ht="12.75" x14ac:dyDescent="0.2">
      <c r="B28" s="200" t="s">
        <v>66</v>
      </c>
      <c r="C28" s="201"/>
      <c r="D28" s="81">
        <f>D23*1.10231131</f>
        <v>0</v>
      </c>
      <c r="F28" s="205"/>
      <c r="G28" s="205"/>
      <c r="H28" s="205"/>
      <c r="I28" s="205"/>
      <c r="J28" s="205"/>
      <c r="K28" s="205"/>
      <c r="L28" s="205"/>
    </row>
    <row r="29" spans="2:19" ht="15" thickBot="1" x14ac:dyDescent="0.25">
      <c r="B29" s="202" t="s">
        <v>67</v>
      </c>
      <c r="C29" s="203"/>
      <c r="D29" s="82">
        <f>D24*1.10231131</f>
        <v>0</v>
      </c>
      <c r="F29" s="205"/>
      <c r="G29" s="205"/>
      <c r="H29" s="205"/>
      <c r="I29" s="205"/>
      <c r="J29" s="205"/>
      <c r="K29" s="205"/>
      <c r="L29" s="205"/>
    </row>
    <row r="30" spans="2:19" x14ac:dyDescent="0.2">
      <c r="F30" s="205"/>
      <c r="G30" s="205"/>
      <c r="H30" s="205"/>
      <c r="I30" s="205"/>
      <c r="J30" s="205"/>
      <c r="K30" s="205"/>
      <c r="L30" s="205"/>
    </row>
    <row r="31" spans="2:19" x14ac:dyDescent="0.2">
      <c r="F31" s="205"/>
      <c r="G31" s="205"/>
      <c r="H31" s="205"/>
      <c r="I31" s="205"/>
      <c r="J31" s="205"/>
      <c r="K31" s="205"/>
      <c r="L31" s="205"/>
    </row>
    <row r="32" spans="2:19" x14ac:dyDescent="0.2">
      <c r="F32" s="205"/>
      <c r="G32" s="205"/>
      <c r="H32" s="205"/>
      <c r="I32" s="205"/>
      <c r="J32" s="205"/>
      <c r="K32" s="205"/>
      <c r="L32" s="205"/>
    </row>
    <row r="40" spans="2:2" x14ac:dyDescent="0.2">
      <c r="B40" s="85" t="s">
        <v>103</v>
      </c>
    </row>
  </sheetData>
  <sheetProtection selectLockedCells="1"/>
  <customSheetViews>
    <customSheetView guid="{668A29EE-0894-45A9-AC3B-FF19D7E65F50}" scale="95" fitToPage="1" printArea="1">
      <selection activeCell="U12" sqref="U12"/>
      <rowBreaks count="1" manualBreakCount="1">
        <brk id="24" max="16383" man="1"/>
      </rowBreaks>
      <pageMargins left="0.25" right="0.25" top="0.25" bottom="0.25" header="0.25" footer="0.25"/>
      <pageSetup scale="99" orientation="landscape" r:id="rId1"/>
      <headerFooter>
        <oddFooter>&amp;C&amp;8&amp;P of &amp;N</oddFooter>
      </headerFooter>
    </customSheetView>
    <customSheetView guid="{1E9EC735-CF79-4DF8-9E65-FA4DEA6C2F30}" scale="95" fitToPage="1">
      <selection activeCell="B11" sqref="B11"/>
      <rowBreaks count="1" manualBreakCount="1">
        <brk id="24" max="16383" man="1"/>
      </rowBreaks>
      <pageMargins left="0.25" right="0.25" top="0.25" bottom="0.25" header="0.25" footer="0.25"/>
      <pageSetup scale="88" orientation="landscape" r:id="rId2"/>
      <headerFooter>
        <oddFooter>&amp;C&amp;8&amp;P of &amp;N</oddFooter>
      </headerFooter>
    </customSheetView>
    <customSheetView guid="{7E43B44C-B11C-49CF-BE47-52F37C92E402}" scale="95" showPageBreaks="1" fitToPage="1" printArea="1">
      <selection activeCell="B11" sqref="B11"/>
      <rowBreaks count="1" manualBreakCount="1">
        <brk id="24" max="16383" man="1"/>
      </rowBreaks>
      <pageMargins left="0.25" right="0.25" top="0.25" bottom="0.25" header="0.25" footer="0.25"/>
      <pageSetup scale="88" orientation="landscape" r:id="rId3"/>
      <headerFooter>
        <oddFooter>&amp;C&amp;8&amp;P of &amp;N</oddFooter>
      </headerFooter>
    </customSheetView>
    <customSheetView guid="{8F8D7C52-E4C0-489D-8816-8831E7E73778}" scale="95" showPageBreaks="1" fitToPage="1" printArea="1">
      <selection activeCell="U15" sqref="U15"/>
      <rowBreaks count="1" manualBreakCount="1">
        <brk id="24" max="16383" man="1"/>
      </rowBreaks>
      <pageMargins left="0.25" right="0.25" top="0.25" bottom="0.25" header="0.25" footer="0.25"/>
      <pageSetup scale="99" orientation="landscape" r:id="rId4"/>
      <headerFooter>
        <oddFooter>&amp;C&amp;8&amp;P of &amp;N</oddFooter>
      </headerFooter>
    </customSheetView>
    <customSheetView guid="{BBC88712-5D58-4F48-AF5E-B02A4F8290DF}" scale="95" fitToPage="1" topLeftCell="A15">
      <selection activeCell="D37" sqref="D37"/>
      <rowBreaks count="1" manualBreakCount="1">
        <brk id="24" max="16383" man="1"/>
      </rowBreaks>
      <pageMargins left="0.25" right="0.25" top="0.25" bottom="0.25" header="0.25" footer="0.25"/>
      <pageSetup scale="99" orientation="landscape" r:id="rId5"/>
      <headerFooter>
        <oddFooter>&amp;C&amp;8&amp;P of &amp;N</oddFooter>
      </headerFooter>
    </customSheetView>
  </customSheetViews>
  <mergeCells count="17">
    <mergeCell ref="S9:S10"/>
    <mergeCell ref="F4:L7"/>
    <mergeCell ref="M4:S7"/>
    <mergeCell ref="D4:E7"/>
    <mergeCell ref="B22:C22"/>
    <mergeCell ref="B4:C7"/>
    <mergeCell ref="B9:E9"/>
    <mergeCell ref="F9:I9"/>
    <mergeCell ref="J9:L9"/>
    <mergeCell ref="P9:R9"/>
    <mergeCell ref="M9:O9"/>
    <mergeCell ref="B27:C27"/>
    <mergeCell ref="B28:C28"/>
    <mergeCell ref="B29:C29"/>
    <mergeCell ref="F22:L32"/>
    <mergeCell ref="B23:C23"/>
    <mergeCell ref="B24:C24"/>
  </mergeCells>
  <dataValidations count="2">
    <dataValidation type="list" allowBlank="1" showInputMessage="1" showErrorMessage="1" sqref="E11:E20">
      <formula1>units</formula1>
    </dataValidation>
    <dataValidation type="list" allowBlank="1" showInputMessage="1" showErrorMessage="1" sqref="C11:C20">
      <formula1>all_fuels</formula1>
    </dataValidation>
  </dataValidations>
  <pageMargins left="0.25" right="0.25" top="0.25" bottom="0.25" header="0.25" footer="0.25"/>
  <pageSetup scale="94" orientation="landscape" r:id="rId6"/>
  <headerFooter>
    <oddFooter>&amp;C&amp;8&amp;P of &amp;N</oddFooter>
  </headerFooter>
  <rowBreaks count="1" manualBreakCount="1">
    <brk id="24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workbookViewId="0">
      <selection activeCell="G17" sqref="G17"/>
    </sheetView>
  </sheetViews>
  <sheetFormatPr defaultColWidth="9" defaultRowHeight="12.75" x14ac:dyDescent="0.2"/>
  <cols>
    <col min="1" max="1" width="4.625" style="3" customWidth="1"/>
    <col min="2" max="2" width="23.625" style="3" bestFit="1" customWidth="1"/>
    <col min="3" max="3" width="9.875" style="3" bestFit="1" customWidth="1"/>
    <col min="4" max="4" width="8" style="3" bestFit="1" customWidth="1"/>
    <col min="5" max="6" width="7.875" style="3" bestFit="1" customWidth="1"/>
    <col min="7" max="7" width="6.625" style="3" bestFit="1" customWidth="1"/>
    <col min="8" max="8" width="10.25" style="3" customWidth="1"/>
    <col min="9" max="9" width="9.625" style="3" customWidth="1"/>
    <col min="10" max="10" width="4.625" style="3" customWidth="1"/>
    <col min="11" max="11" width="23.625" style="3" bestFit="1" customWidth="1"/>
    <col min="12" max="16384" width="9" style="3"/>
  </cols>
  <sheetData>
    <row r="1" spans="2:11" ht="9.9499999999999993" customHeight="1" x14ac:dyDescent="0.2"/>
    <row r="2" spans="2:11" ht="15" customHeight="1" thickBot="1" x14ac:dyDescent="0.25">
      <c r="B2" s="86" t="s">
        <v>44</v>
      </c>
    </row>
    <row r="3" spans="2:11" ht="12.75" customHeight="1" x14ac:dyDescent="0.2">
      <c r="B3" s="87"/>
      <c r="C3" s="230" t="s">
        <v>24</v>
      </c>
      <c r="D3" s="232" t="s">
        <v>70</v>
      </c>
      <c r="E3" s="233"/>
      <c r="F3" s="234" t="s">
        <v>7</v>
      </c>
      <c r="G3" s="233"/>
      <c r="H3" s="235"/>
      <c r="I3" s="236" t="s">
        <v>95</v>
      </c>
    </row>
    <row r="4" spans="2:11" ht="15" thickBot="1" x14ac:dyDescent="0.25">
      <c r="B4" s="88" t="s">
        <v>0</v>
      </c>
      <c r="C4" s="231"/>
      <c r="D4" s="89" t="s">
        <v>1</v>
      </c>
      <c r="E4" s="89" t="s">
        <v>5</v>
      </c>
      <c r="F4" s="90" t="s">
        <v>96</v>
      </c>
      <c r="G4" s="91" t="s">
        <v>97</v>
      </c>
      <c r="H4" s="92" t="s">
        <v>98</v>
      </c>
      <c r="I4" s="237"/>
      <c r="K4" s="86" t="s">
        <v>46</v>
      </c>
    </row>
    <row r="5" spans="2:11" x14ac:dyDescent="0.2">
      <c r="B5" s="93" t="s">
        <v>15</v>
      </c>
      <c r="C5" s="94">
        <v>0</v>
      </c>
      <c r="D5" s="95">
        <v>0.12</v>
      </c>
      <c r="E5" s="96" t="s">
        <v>25</v>
      </c>
      <c r="F5" s="97">
        <v>3.0000000000000001E-3</v>
      </c>
      <c r="G5" s="98">
        <v>69.25</v>
      </c>
      <c r="H5" s="99">
        <v>5.9999999999999995E-4</v>
      </c>
      <c r="I5" s="99">
        <v>0</v>
      </c>
      <c r="K5" s="3" t="s">
        <v>47</v>
      </c>
    </row>
    <row r="6" spans="2:11" x14ac:dyDescent="0.2">
      <c r="B6" s="100" t="s">
        <v>56</v>
      </c>
      <c r="C6" s="94">
        <v>0</v>
      </c>
      <c r="D6" s="101">
        <v>24.93</v>
      </c>
      <c r="E6" s="102" t="s">
        <v>26</v>
      </c>
      <c r="F6" s="103">
        <v>1.0999999999999999E-2</v>
      </c>
      <c r="G6" s="104">
        <v>93.28</v>
      </c>
      <c r="H6" s="105">
        <v>1.6000000000000001E-3</v>
      </c>
      <c r="I6" s="105">
        <v>0</v>
      </c>
      <c r="K6" s="3" t="s">
        <v>48</v>
      </c>
    </row>
    <row r="7" spans="2:11" x14ac:dyDescent="0.2">
      <c r="B7" s="106" t="s">
        <v>54</v>
      </c>
      <c r="C7" s="94">
        <v>0</v>
      </c>
      <c r="D7" s="107">
        <v>24.8</v>
      </c>
      <c r="E7" s="102" t="s">
        <v>26</v>
      </c>
      <c r="F7" s="108">
        <v>1.0999999999999999E-2</v>
      </c>
      <c r="G7" s="109">
        <v>113.67</v>
      </c>
      <c r="H7" s="110">
        <v>1.6000000000000001E-3</v>
      </c>
      <c r="I7" s="110">
        <v>0</v>
      </c>
      <c r="K7" s="3" t="s">
        <v>49</v>
      </c>
    </row>
    <row r="8" spans="2:11" x14ac:dyDescent="0.2">
      <c r="B8" s="100" t="s">
        <v>55</v>
      </c>
      <c r="C8" s="94">
        <v>0</v>
      </c>
      <c r="D8" s="111">
        <v>17.25</v>
      </c>
      <c r="E8" s="102" t="s">
        <v>26</v>
      </c>
      <c r="F8" s="103">
        <v>1.0999999999999999E-2</v>
      </c>
      <c r="G8" s="104">
        <v>97.17</v>
      </c>
      <c r="H8" s="105">
        <v>1.6000000000000001E-3</v>
      </c>
      <c r="I8" s="105">
        <v>0</v>
      </c>
      <c r="K8" s="3" t="s">
        <v>2</v>
      </c>
    </row>
    <row r="9" spans="2:11" x14ac:dyDescent="0.2">
      <c r="B9" s="100" t="s">
        <v>61</v>
      </c>
      <c r="C9" s="94">
        <v>0</v>
      </c>
      <c r="D9" s="111">
        <v>0.13900000000000001</v>
      </c>
      <c r="E9" s="102" t="s">
        <v>25</v>
      </c>
      <c r="F9" s="103">
        <v>3.0000000000000001E-3</v>
      </c>
      <c r="G9" s="104">
        <v>73.25</v>
      </c>
      <c r="H9" s="105">
        <v>5.9999999999999995E-4</v>
      </c>
      <c r="I9" s="105">
        <v>0</v>
      </c>
      <c r="K9" s="3" t="s">
        <v>73</v>
      </c>
    </row>
    <row r="10" spans="2:11" x14ac:dyDescent="0.2">
      <c r="B10" s="100" t="s">
        <v>62</v>
      </c>
      <c r="C10" s="94">
        <v>0</v>
      </c>
      <c r="D10" s="111">
        <v>0.13800000000000001</v>
      </c>
      <c r="E10" s="102" t="s">
        <v>25</v>
      </c>
      <c r="F10" s="103">
        <v>3.0000000000000001E-3</v>
      </c>
      <c r="G10" s="104">
        <v>73.959999999999994</v>
      </c>
      <c r="H10" s="105">
        <v>5.9999999999999995E-4</v>
      </c>
      <c r="I10" s="105">
        <v>0</v>
      </c>
      <c r="K10" s="3" t="s">
        <v>50</v>
      </c>
    </row>
    <row r="11" spans="2:11" x14ac:dyDescent="0.2">
      <c r="B11" s="100" t="s">
        <v>63</v>
      </c>
      <c r="C11" s="94">
        <v>0</v>
      </c>
      <c r="D11" s="111">
        <v>0.14599999999999999</v>
      </c>
      <c r="E11" s="102" t="s">
        <v>25</v>
      </c>
      <c r="F11" s="103">
        <v>3.0000000000000001E-3</v>
      </c>
      <c r="G11" s="104">
        <v>75.040000000000006</v>
      </c>
      <c r="H11" s="105">
        <v>5.9999999999999995E-4</v>
      </c>
      <c r="I11" s="105">
        <v>0</v>
      </c>
      <c r="K11" s="3" t="s">
        <v>51</v>
      </c>
    </row>
    <row r="12" spans="2:11" x14ac:dyDescent="0.2">
      <c r="B12" s="100" t="s">
        <v>17</v>
      </c>
      <c r="C12" s="94">
        <v>0</v>
      </c>
      <c r="D12" s="111">
        <v>9.1999999999999998E-2</v>
      </c>
      <c r="E12" s="102" t="s">
        <v>25</v>
      </c>
      <c r="F12" s="103">
        <v>3.0000000000000001E-3</v>
      </c>
      <c r="G12" s="104">
        <v>61.71</v>
      </c>
      <c r="H12" s="105">
        <v>5.9999999999999995E-4</v>
      </c>
      <c r="I12" s="105">
        <v>0</v>
      </c>
      <c r="K12" s="3" t="s">
        <v>52</v>
      </c>
    </row>
    <row r="13" spans="2:11" x14ac:dyDescent="0.2">
      <c r="B13" s="100" t="s">
        <v>9</v>
      </c>
      <c r="C13" s="94">
        <v>0</v>
      </c>
      <c r="D13" s="111">
        <v>0.13500000000000001</v>
      </c>
      <c r="E13" s="102" t="s">
        <v>25</v>
      </c>
      <c r="F13" s="103">
        <v>3.0000000000000001E-3</v>
      </c>
      <c r="G13" s="104">
        <v>75.2</v>
      </c>
      <c r="H13" s="105">
        <v>5.9999999999999995E-4</v>
      </c>
      <c r="I13" s="105">
        <v>0</v>
      </c>
      <c r="K13" s="3" t="s">
        <v>53</v>
      </c>
    </row>
    <row r="14" spans="2:11" x14ac:dyDescent="0.2">
      <c r="B14" s="100" t="s">
        <v>16</v>
      </c>
      <c r="C14" s="94">
        <v>0</v>
      </c>
      <c r="D14" s="111">
        <v>0.13500000000000001</v>
      </c>
      <c r="E14" s="102" t="s">
        <v>25</v>
      </c>
      <c r="F14" s="103">
        <v>3.0000000000000001E-3</v>
      </c>
      <c r="G14" s="104">
        <v>72.22</v>
      </c>
      <c r="H14" s="105">
        <v>5.9999999999999995E-4</v>
      </c>
      <c r="I14" s="105">
        <v>0</v>
      </c>
      <c r="K14" s="3" t="s">
        <v>9</v>
      </c>
    </row>
    <row r="15" spans="2:11" x14ac:dyDescent="0.2">
      <c r="B15" s="100" t="s">
        <v>45</v>
      </c>
      <c r="C15" s="94">
        <v>0</v>
      </c>
      <c r="D15" s="111">
        <v>0.125</v>
      </c>
      <c r="E15" s="102" t="s">
        <v>25</v>
      </c>
      <c r="F15" s="103">
        <v>3.0000000000000001E-3</v>
      </c>
      <c r="G15" s="104">
        <v>70.22</v>
      </c>
      <c r="H15" s="105">
        <v>5.9999999999999995E-4</v>
      </c>
      <c r="I15" s="105">
        <v>0</v>
      </c>
      <c r="K15" s="3" t="s">
        <v>71</v>
      </c>
    </row>
    <row r="16" spans="2:11" x14ac:dyDescent="0.2">
      <c r="B16" s="100" t="s">
        <v>58</v>
      </c>
      <c r="C16" s="94">
        <v>0</v>
      </c>
      <c r="D16" s="111">
        <v>9.9499999999999993</v>
      </c>
      <c r="E16" s="102" t="s">
        <v>26</v>
      </c>
      <c r="F16" s="103">
        <v>3.2000000000000001E-2</v>
      </c>
      <c r="G16" s="104">
        <v>90.7</v>
      </c>
      <c r="H16" s="105">
        <v>4.1999999999999997E-3</v>
      </c>
      <c r="I16" s="105">
        <v>0</v>
      </c>
      <c r="K16" s="3" t="s">
        <v>3</v>
      </c>
    </row>
    <row r="17" spans="2:11" x14ac:dyDescent="0.2">
      <c r="B17" s="100" t="s">
        <v>57</v>
      </c>
      <c r="C17" s="94">
        <v>0</v>
      </c>
      <c r="D17" s="111">
        <v>1.026E-3</v>
      </c>
      <c r="E17" s="102" t="s">
        <v>43</v>
      </c>
      <c r="F17" s="103">
        <v>1E-3</v>
      </c>
      <c r="G17" s="104">
        <v>53.06</v>
      </c>
      <c r="H17" s="105">
        <v>1E-4</v>
      </c>
      <c r="I17" s="105">
        <v>0</v>
      </c>
      <c r="K17" s="3" t="s">
        <v>72</v>
      </c>
    </row>
    <row r="18" spans="2:11" x14ac:dyDescent="0.2">
      <c r="B18" s="100" t="s">
        <v>2</v>
      </c>
      <c r="C18" s="94">
        <v>0</v>
      </c>
      <c r="D18" s="111">
        <v>9.0999999999999998E-2</v>
      </c>
      <c r="E18" s="102" t="s">
        <v>25</v>
      </c>
      <c r="F18" s="103">
        <v>3.0000000000000001E-3</v>
      </c>
      <c r="G18" s="104">
        <v>62.87</v>
      </c>
      <c r="H18" s="105">
        <v>5.9999999999999995E-4</v>
      </c>
      <c r="I18" s="105">
        <v>0</v>
      </c>
      <c r="K18" s="3" t="s">
        <v>11</v>
      </c>
    </row>
    <row r="19" spans="2:11" x14ac:dyDescent="0.2">
      <c r="B19" s="100" t="s">
        <v>59</v>
      </c>
      <c r="C19" s="94">
        <v>0</v>
      </c>
      <c r="D19" s="111">
        <v>0.14000000000000001</v>
      </c>
      <c r="E19" s="102" t="s">
        <v>25</v>
      </c>
      <c r="F19" s="103">
        <v>3.0000000000000001E-3</v>
      </c>
      <c r="G19" s="104">
        <v>72.930000000000007</v>
      </c>
      <c r="H19" s="105">
        <v>5.9999999999999995E-4</v>
      </c>
      <c r="I19" s="105">
        <v>0</v>
      </c>
      <c r="K19" s="3" t="s">
        <v>74</v>
      </c>
    </row>
    <row r="20" spans="2:11" x14ac:dyDescent="0.2">
      <c r="B20" s="112" t="s">
        <v>60</v>
      </c>
      <c r="C20" s="113">
        <v>0</v>
      </c>
      <c r="D20" s="114">
        <v>0.15</v>
      </c>
      <c r="E20" s="115" t="s">
        <v>25</v>
      </c>
      <c r="F20" s="116">
        <v>3.0000000000000001E-3</v>
      </c>
      <c r="G20" s="117">
        <v>75.099999999999994</v>
      </c>
      <c r="H20" s="118">
        <v>5.9999999999999995E-4</v>
      </c>
      <c r="I20" s="118">
        <v>0</v>
      </c>
      <c r="K20" s="3" t="s">
        <v>75</v>
      </c>
    </row>
    <row r="21" spans="2:11" x14ac:dyDescent="0.2">
      <c r="B21" s="180" t="s">
        <v>75</v>
      </c>
      <c r="C21" s="181">
        <v>0</v>
      </c>
      <c r="D21" s="182">
        <v>2.516E-3</v>
      </c>
      <c r="E21" s="183" t="s">
        <v>43</v>
      </c>
      <c r="F21" s="184">
        <v>3.0000000000000001E-3</v>
      </c>
      <c r="G21" s="185">
        <v>61.46</v>
      </c>
      <c r="H21" s="186">
        <v>5.9999999999999995E-4</v>
      </c>
      <c r="I21" s="187">
        <v>0</v>
      </c>
    </row>
    <row r="22" spans="2:11" ht="13.5" thickBot="1" x14ac:dyDescent="0.25">
      <c r="B22" s="112" t="s">
        <v>3</v>
      </c>
      <c r="C22" s="113">
        <v>0</v>
      </c>
      <c r="D22" s="114">
        <v>28</v>
      </c>
      <c r="E22" s="115" t="s">
        <v>26</v>
      </c>
      <c r="F22" s="116">
        <v>3.2000000000000001E-2</v>
      </c>
      <c r="G22" s="117">
        <v>85.97</v>
      </c>
      <c r="H22" s="118">
        <v>4.1999999999999997E-3</v>
      </c>
      <c r="I22" s="118">
        <v>0</v>
      </c>
    </row>
    <row r="23" spans="2:11" x14ac:dyDescent="0.2">
      <c r="B23" s="119" t="s">
        <v>11</v>
      </c>
      <c r="C23" s="120">
        <v>1</v>
      </c>
      <c r="D23" s="121">
        <v>0.128</v>
      </c>
      <c r="E23" s="122" t="s">
        <v>25</v>
      </c>
      <c r="F23" s="123">
        <v>1.1000000000000001E-3</v>
      </c>
      <c r="G23" s="124">
        <v>0</v>
      </c>
      <c r="H23" s="125">
        <v>1.1E-4</v>
      </c>
      <c r="I23" s="126">
        <v>73.84</v>
      </c>
    </row>
    <row r="24" spans="2:11" x14ac:dyDescent="0.2">
      <c r="B24" s="127" t="s">
        <v>18</v>
      </c>
      <c r="C24" s="128">
        <v>0.02</v>
      </c>
      <c r="D24" s="129">
        <f t="shared" ref="D24:D29" si="0">((1-$C24)*D$10)+($C24*D$23)</f>
        <v>0.13780000000000001</v>
      </c>
      <c r="E24" s="130" t="s">
        <v>25</v>
      </c>
      <c r="F24" s="129">
        <f t="shared" ref="F24:F29" si="1">((1-$C24)*F$10)+($C24*F$23)</f>
        <v>2.9619999999999998E-3</v>
      </c>
      <c r="G24" s="131">
        <f>((1-C24)*G$10)</f>
        <v>72.480799999999988</v>
      </c>
      <c r="H24" s="132">
        <f t="shared" ref="H24:H29" si="2">((1-$C24)*H$10)+($C24*H$23)</f>
        <v>5.9020000000000003E-4</v>
      </c>
      <c r="I24" s="133">
        <f>C24*I$23</f>
        <v>1.4768000000000001</v>
      </c>
    </row>
    <row r="25" spans="2:11" x14ac:dyDescent="0.2">
      <c r="B25" s="127" t="s">
        <v>19</v>
      </c>
      <c r="C25" s="128">
        <v>0.05</v>
      </c>
      <c r="D25" s="129">
        <f t="shared" si="0"/>
        <v>0.13749999999999998</v>
      </c>
      <c r="E25" s="130" t="s">
        <v>25</v>
      </c>
      <c r="F25" s="129">
        <f t="shared" si="1"/>
        <v>2.905E-3</v>
      </c>
      <c r="G25" s="131">
        <f t="shared" ref="G25:G29" si="3">((1-C25)*G$10)</f>
        <v>70.261999999999986</v>
      </c>
      <c r="H25" s="132">
        <f t="shared" si="2"/>
        <v>5.7549999999999995E-4</v>
      </c>
      <c r="I25" s="133">
        <f t="shared" ref="I25:I29" si="4">C25*I$23</f>
        <v>3.6920000000000002</v>
      </c>
    </row>
    <row r="26" spans="2:11" x14ac:dyDescent="0.2">
      <c r="B26" s="127" t="s">
        <v>20</v>
      </c>
      <c r="C26" s="128">
        <v>0.1</v>
      </c>
      <c r="D26" s="129">
        <f t="shared" si="0"/>
        <v>0.13700000000000001</v>
      </c>
      <c r="E26" s="130" t="s">
        <v>25</v>
      </c>
      <c r="F26" s="129">
        <f t="shared" si="1"/>
        <v>2.81E-3</v>
      </c>
      <c r="G26" s="131">
        <f t="shared" si="3"/>
        <v>66.563999999999993</v>
      </c>
      <c r="H26" s="132">
        <f t="shared" si="2"/>
        <v>5.5100000000000006E-4</v>
      </c>
      <c r="I26" s="133">
        <f t="shared" si="4"/>
        <v>7.3840000000000003</v>
      </c>
    </row>
    <row r="27" spans="2:11" x14ac:dyDescent="0.2">
      <c r="B27" s="127" t="s">
        <v>21</v>
      </c>
      <c r="C27" s="128">
        <v>0.2</v>
      </c>
      <c r="D27" s="129">
        <f t="shared" si="0"/>
        <v>0.13600000000000001</v>
      </c>
      <c r="E27" s="130" t="s">
        <v>25</v>
      </c>
      <c r="F27" s="129">
        <f t="shared" si="1"/>
        <v>2.6200000000000004E-3</v>
      </c>
      <c r="G27" s="131">
        <f t="shared" si="3"/>
        <v>59.167999999999999</v>
      </c>
      <c r="H27" s="132">
        <f t="shared" si="2"/>
        <v>5.0199999999999995E-4</v>
      </c>
      <c r="I27" s="133">
        <f t="shared" si="4"/>
        <v>14.768000000000001</v>
      </c>
    </row>
    <row r="28" spans="2:11" x14ac:dyDescent="0.2">
      <c r="B28" s="127" t="s">
        <v>22</v>
      </c>
      <c r="C28" s="128">
        <v>0.5</v>
      </c>
      <c r="D28" s="129">
        <f t="shared" si="0"/>
        <v>0.13300000000000001</v>
      </c>
      <c r="E28" s="130" t="s">
        <v>25</v>
      </c>
      <c r="F28" s="129">
        <f t="shared" si="1"/>
        <v>2.0500000000000002E-3</v>
      </c>
      <c r="G28" s="131">
        <f t="shared" si="3"/>
        <v>36.979999999999997</v>
      </c>
      <c r="H28" s="132">
        <f t="shared" si="2"/>
        <v>3.5499999999999996E-4</v>
      </c>
      <c r="I28" s="133">
        <f t="shared" si="4"/>
        <v>36.92</v>
      </c>
    </row>
    <row r="29" spans="2:11" x14ac:dyDescent="0.2">
      <c r="B29" s="127" t="s">
        <v>23</v>
      </c>
      <c r="C29" s="128">
        <v>0.99</v>
      </c>
      <c r="D29" s="129">
        <f t="shared" si="0"/>
        <v>0.12809999999999999</v>
      </c>
      <c r="E29" s="130" t="s">
        <v>25</v>
      </c>
      <c r="F29" s="129">
        <f t="shared" si="1"/>
        <v>1.1190000000000002E-3</v>
      </c>
      <c r="G29" s="131">
        <f t="shared" si="3"/>
        <v>0.73960000000000059</v>
      </c>
      <c r="H29" s="132">
        <f t="shared" si="2"/>
        <v>1.1490000000000001E-4</v>
      </c>
      <c r="I29" s="133">
        <f t="shared" si="4"/>
        <v>73.101600000000005</v>
      </c>
    </row>
    <row r="30" spans="2:11" x14ac:dyDescent="0.2">
      <c r="B30" s="134" t="s">
        <v>72</v>
      </c>
      <c r="C30" s="128">
        <v>0</v>
      </c>
      <c r="D30" s="129">
        <v>4.8500000000000003E-4</v>
      </c>
      <c r="E30" s="135" t="s">
        <v>43</v>
      </c>
      <c r="F30" s="136">
        <v>3.2000000000000002E-3</v>
      </c>
      <c r="G30" s="137">
        <v>0</v>
      </c>
      <c r="H30" s="138">
        <v>6.3000000000000003E-4</v>
      </c>
      <c r="I30" s="139">
        <v>52.07</v>
      </c>
    </row>
    <row r="31" spans="2:11" x14ac:dyDescent="0.2">
      <c r="B31" s="127" t="s">
        <v>12</v>
      </c>
      <c r="C31" s="128">
        <v>0</v>
      </c>
      <c r="D31" s="129">
        <v>8.4000000000000005E-2</v>
      </c>
      <c r="E31" s="130" t="s">
        <v>25</v>
      </c>
      <c r="F31" s="140">
        <v>1.1000000000000001E-3</v>
      </c>
      <c r="G31" s="131">
        <v>0</v>
      </c>
      <c r="H31" s="141">
        <v>1.1E-4</v>
      </c>
      <c r="I31" s="133">
        <v>68.44</v>
      </c>
    </row>
    <row r="32" spans="2:11" x14ac:dyDescent="0.2">
      <c r="B32" s="127" t="s">
        <v>13</v>
      </c>
      <c r="C32" s="128">
        <v>0</v>
      </c>
      <c r="D32" s="129">
        <v>0.125</v>
      </c>
      <c r="E32" s="130" t="s">
        <v>25</v>
      </c>
      <c r="F32" s="140">
        <v>1.1000000000000001E-3</v>
      </c>
      <c r="G32" s="131">
        <v>0</v>
      </c>
      <c r="H32" s="141">
        <v>1.1E-4</v>
      </c>
      <c r="I32" s="133">
        <v>71.06</v>
      </c>
    </row>
    <row r="33" spans="2:9" x14ac:dyDescent="0.2">
      <c r="B33" s="134" t="s">
        <v>10</v>
      </c>
      <c r="C33" s="128">
        <v>0</v>
      </c>
      <c r="D33" s="129">
        <v>10.39</v>
      </c>
      <c r="E33" s="135" t="s">
        <v>26</v>
      </c>
      <c r="F33" s="136">
        <v>3.2000000000000001E-2</v>
      </c>
      <c r="G33" s="137">
        <v>0</v>
      </c>
      <c r="H33" s="138">
        <v>4.1999999999999997E-3</v>
      </c>
      <c r="I33" s="139">
        <v>105.51</v>
      </c>
    </row>
    <row r="34" spans="2:9" x14ac:dyDescent="0.2">
      <c r="B34" s="134" t="s">
        <v>14</v>
      </c>
      <c r="C34" s="128">
        <v>0</v>
      </c>
      <c r="D34" s="129">
        <v>0.12</v>
      </c>
      <c r="E34" s="130" t="s">
        <v>25</v>
      </c>
      <c r="F34" s="140">
        <v>1.1000000000000001E-3</v>
      </c>
      <c r="G34" s="131">
        <v>0</v>
      </c>
      <c r="H34" s="141">
        <v>1.1E-4</v>
      </c>
      <c r="I34" s="133">
        <v>81.55</v>
      </c>
    </row>
    <row r="35" spans="2:9" x14ac:dyDescent="0.2">
      <c r="B35" s="188" t="s">
        <v>73</v>
      </c>
      <c r="C35" s="189">
        <v>0</v>
      </c>
      <c r="D35" s="190">
        <v>17.48</v>
      </c>
      <c r="E35" s="191" t="s">
        <v>26</v>
      </c>
      <c r="F35" s="192">
        <v>7.1999999999999998E-3</v>
      </c>
      <c r="G35" s="193">
        <v>0</v>
      </c>
      <c r="H35" s="194">
        <v>3.5999999999999999E-3</v>
      </c>
      <c r="I35" s="195">
        <v>93.8</v>
      </c>
    </row>
    <row r="36" spans="2:9" ht="13.5" thickBot="1" x14ac:dyDescent="0.25">
      <c r="B36" s="142" t="s">
        <v>74</v>
      </c>
      <c r="C36" s="143">
        <v>0</v>
      </c>
      <c r="D36" s="144">
        <v>6.5499999999999998E-4</v>
      </c>
      <c r="E36" s="145" t="s">
        <v>43</v>
      </c>
      <c r="F36" s="146">
        <v>3.2000000000000002E-3</v>
      </c>
      <c r="G36" s="147">
        <v>0</v>
      </c>
      <c r="H36" s="148">
        <v>6.3000000000000003E-4</v>
      </c>
      <c r="I36" s="142">
        <v>52.07</v>
      </c>
    </row>
    <row r="39" spans="2:9" x14ac:dyDescent="0.2">
      <c r="B39" s="149"/>
    </row>
  </sheetData>
  <customSheetViews>
    <customSheetView guid="{668A29EE-0894-45A9-AC3B-FF19D7E65F50}">
      <selection activeCell="G17" sqref="G17"/>
      <pageMargins left="0.7" right="0.7" top="0.75" bottom="0.75" header="0.3" footer="0.3"/>
      <pageSetup orientation="portrait" r:id="rId1"/>
    </customSheetView>
    <customSheetView guid="{1E9EC735-CF79-4DF8-9E65-FA4DEA6C2F30}">
      <selection activeCell="C37" sqref="C37"/>
      <pageMargins left="0.7" right="0.7" top="0.75" bottom="0.75" header="0.3" footer="0.3"/>
      <pageSetup orientation="portrait" r:id="rId2"/>
    </customSheetView>
    <customSheetView guid="{7E43B44C-B11C-49CF-BE47-52F37C92E402}">
      <selection activeCell="C37" sqref="C37"/>
      <pageMargins left="0.7" right="0.7" top="0.75" bottom="0.75" header="0.3" footer="0.3"/>
      <pageSetup orientation="portrait" r:id="rId3"/>
    </customSheetView>
    <customSheetView guid="{8F8D7C52-E4C0-489D-8816-8831E7E73778}">
      <selection activeCell="K33" sqref="K33"/>
      <pageMargins left="0.7" right="0.7" top="0.75" bottom="0.75" header="0.3" footer="0.3"/>
      <pageSetup orientation="portrait" r:id="rId4"/>
    </customSheetView>
    <customSheetView guid="{BBC88712-5D58-4F48-AF5E-B02A4F8290DF}">
      <selection activeCell="B26" sqref="B26"/>
      <pageMargins left="0.7" right="0.7" top="0.75" bottom="0.75" header="0.3" footer="0.3"/>
      <pageSetup orientation="portrait" r:id="rId5"/>
    </customSheetView>
  </customSheetViews>
  <mergeCells count="4">
    <mergeCell ref="C3:C4"/>
    <mergeCell ref="D3:E3"/>
    <mergeCell ref="F3:H3"/>
    <mergeCell ref="I3:I4"/>
  </mergeCell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F11" sqref="F11"/>
    </sheetView>
  </sheetViews>
  <sheetFormatPr defaultColWidth="9" defaultRowHeight="12.75" x14ac:dyDescent="0.2"/>
  <cols>
    <col min="1" max="1" width="1.625" style="3" customWidth="1"/>
    <col min="2" max="2" width="15.625" style="3" customWidth="1"/>
    <col min="3" max="3" width="5.875" style="3" customWidth="1"/>
    <col min="4" max="6" width="15.625" style="3" customWidth="1"/>
    <col min="7" max="7" width="14.75" style="3" bestFit="1" customWidth="1"/>
    <col min="8" max="8" width="13.125" style="3" bestFit="1" customWidth="1"/>
    <col min="9" max="9" width="9" style="3"/>
    <col min="10" max="10" width="13.75" style="3" bestFit="1" customWidth="1"/>
    <col min="11" max="16384" width="9" style="3"/>
  </cols>
  <sheetData>
    <row r="1" spans="2:7" ht="9.9499999999999993" customHeight="1" thickBot="1" x14ac:dyDescent="0.25"/>
    <row r="2" spans="2:7" x14ac:dyDescent="0.2">
      <c r="B2" s="150"/>
      <c r="C2" s="151"/>
      <c r="D2" s="152" t="s">
        <v>29</v>
      </c>
      <c r="E2" s="152" t="s">
        <v>33</v>
      </c>
      <c r="F2" s="153" t="s">
        <v>42</v>
      </c>
    </row>
    <row r="3" spans="2:7" x14ac:dyDescent="0.2">
      <c r="B3" s="154"/>
      <c r="C3" s="155"/>
      <c r="D3" s="156">
        <v>1</v>
      </c>
      <c r="E3" s="156">
        <v>2</v>
      </c>
      <c r="F3" s="157">
        <v>3</v>
      </c>
    </row>
    <row r="4" spans="2:7" s="163" customFormat="1" x14ac:dyDescent="0.2">
      <c r="B4" s="158" t="s">
        <v>32</v>
      </c>
      <c r="C4" s="159">
        <v>1</v>
      </c>
      <c r="D4" s="160"/>
      <c r="E4" s="161">
        <f>1.45/15.38</f>
        <v>9.4278283485045508E-2</v>
      </c>
      <c r="F4" s="162"/>
      <c r="G4" s="163" t="s">
        <v>69</v>
      </c>
    </row>
    <row r="5" spans="2:7" x14ac:dyDescent="0.2">
      <c r="B5" s="164" t="s">
        <v>28</v>
      </c>
      <c r="C5" s="165">
        <v>2</v>
      </c>
      <c r="D5" s="166">
        <v>42</v>
      </c>
      <c r="E5" s="167"/>
      <c r="F5" s="168">
        <f>D5*F6</f>
        <v>5.6145852000000005</v>
      </c>
    </row>
    <row r="6" spans="2:7" x14ac:dyDescent="0.2">
      <c r="B6" s="164" t="s">
        <v>29</v>
      </c>
      <c r="C6" s="165">
        <v>3</v>
      </c>
      <c r="D6" s="166">
        <v>1</v>
      </c>
      <c r="E6" s="167"/>
      <c r="F6" s="168">
        <v>0.13368060000000001</v>
      </c>
    </row>
    <row r="7" spans="2:7" x14ac:dyDescent="0.2">
      <c r="B7" s="164" t="s">
        <v>30</v>
      </c>
      <c r="C7" s="165">
        <v>4</v>
      </c>
      <c r="D7" s="166">
        <v>1000000</v>
      </c>
      <c r="E7" s="167"/>
      <c r="F7" s="168">
        <f>F6*1000000</f>
        <v>133680.6</v>
      </c>
      <c r="G7" s="169"/>
    </row>
    <row r="8" spans="2:7" x14ac:dyDescent="0.2">
      <c r="B8" s="164" t="s">
        <v>42</v>
      </c>
      <c r="C8" s="165">
        <v>5</v>
      </c>
      <c r="D8" s="166">
        <f>1/F6</f>
        <v>7.4805169934904532</v>
      </c>
      <c r="E8" s="167"/>
      <c r="F8" s="168">
        <v>1</v>
      </c>
    </row>
    <row r="9" spans="2:7" x14ac:dyDescent="0.2">
      <c r="B9" s="164" t="s">
        <v>40</v>
      </c>
      <c r="C9" s="165">
        <v>6</v>
      </c>
      <c r="D9" s="166">
        <f>100*D8</f>
        <v>748.05169934904529</v>
      </c>
      <c r="E9" s="167"/>
      <c r="F9" s="168">
        <v>100</v>
      </c>
    </row>
    <row r="10" spans="2:7" x14ac:dyDescent="0.2">
      <c r="B10" s="164" t="s">
        <v>41</v>
      </c>
      <c r="C10" s="165">
        <v>7</v>
      </c>
      <c r="D10" s="166">
        <f>1000000*D8</f>
        <v>7480516.9934904529</v>
      </c>
      <c r="E10" s="167"/>
      <c r="F10" s="168">
        <v>1000000</v>
      </c>
    </row>
    <row r="11" spans="2:7" x14ac:dyDescent="0.2">
      <c r="B11" s="164" t="s">
        <v>101</v>
      </c>
      <c r="C11" s="165">
        <v>8</v>
      </c>
      <c r="D11" s="166"/>
      <c r="E11" s="167"/>
      <c r="F11" s="168">
        <v>97.465999999999994</v>
      </c>
      <c r="G11" s="197" t="s">
        <v>102</v>
      </c>
    </row>
    <row r="12" spans="2:7" x14ac:dyDescent="0.2">
      <c r="B12" s="164" t="s">
        <v>31</v>
      </c>
      <c r="C12" s="165">
        <v>9</v>
      </c>
      <c r="D12" s="166"/>
      <c r="E12" s="167">
        <v>1</v>
      </c>
      <c r="F12" s="168"/>
    </row>
    <row r="13" spans="2:7" ht="13.5" thickBot="1" x14ac:dyDescent="0.25">
      <c r="B13" s="170" t="s">
        <v>34</v>
      </c>
      <c r="C13" s="171">
        <v>10</v>
      </c>
      <c r="D13" s="172"/>
      <c r="E13" s="173">
        <f>1/2000</f>
        <v>5.0000000000000001E-4</v>
      </c>
      <c r="F13" s="174"/>
    </row>
    <row r="15" spans="2:7" x14ac:dyDescent="0.2">
      <c r="B15" s="175" t="s">
        <v>35</v>
      </c>
      <c r="C15" s="175" t="s">
        <v>36</v>
      </c>
      <c r="D15" s="175"/>
      <c r="E15" s="175" t="s">
        <v>37</v>
      </c>
      <c r="F15" s="175" t="s">
        <v>38</v>
      </c>
    </row>
    <row r="16" spans="2:7" x14ac:dyDescent="0.2">
      <c r="B16" s="3">
        <v>4000</v>
      </c>
      <c r="C16" s="3" t="s">
        <v>34</v>
      </c>
      <c r="E16" s="3" t="s">
        <v>33</v>
      </c>
      <c r="F16" s="169">
        <f>(INDEX($D$4:$F$13,VLOOKUP($C16,$B$4:$C$13,2,FALSE),HLOOKUP($E16,$D$2:$F$3,2,FALSE)))*$B16</f>
        <v>2</v>
      </c>
    </row>
    <row r="17" spans="2:9" x14ac:dyDescent="0.2">
      <c r="B17" s="3">
        <v>12</v>
      </c>
      <c r="C17" s="3" t="s">
        <v>34</v>
      </c>
      <c r="E17" s="3" t="s">
        <v>33</v>
      </c>
      <c r="F17" s="169">
        <f>(INDEX($D$4:$F$13,VLOOKUP($C17,$B$4:$C$13,2,FALSE),HLOOKUP($E17,$D$2:$F$3,2,FALSE)))*$B17</f>
        <v>6.0000000000000001E-3</v>
      </c>
    </row>
    <row r="18" spans="2:9" x14ac:dyDescent="0.2">
      <c r="B18" s="3">
        <v>15</v>
      </c>
      <c r="C18" s="3" t="s">
        <v>32</v>
      </c>
      <c r="E18" s="3" t="s">
        <v>33</v>
      </c>
      <c r="F18" s="169">
        <f>(INDEX($D$4:$F$13,VLOOKUP($C18,$B$4:$C$13,2,FALSE),HLOOKUP($E18,$D$2:$F$3,2,FALSE)))*$B18</f>
        <v>1.4141742522756826</v>
      </c>
    </row>
    <row r="20" spans="2:9" x14ac:dyDescent="0.2">
      <c r="F20" s="176"/>
      <c r="G20" s="176"/>
      <c r="H20" s="177"/>
      <c r="I20" s="177"/>
    </row>
    <row r="21" spans="2:9" x14ac:dyDescent="0.2">
      <c r="F21" s="178"/>
      <c r="G21" s="178"/>
      <c r="H21" s="179"/>
      <c r="I21" s="179"/>
    </row>
    <row r="22" spans="2:9" x14ac:dyDescent="0.2">
      <c r="F22" s="178"/>
      <c r="G22" s="178"/>
      <c r="H22" s="179"/>
      <c r="I22" s="179"/>
    </row>
    <row r="23" spans="2:9" x14ac:dyDescent="0.2">
      <c r="F23" s="178"/>
      <c r="G23" s="178"/>
      <c r="H23" s="179"/>
      <c r="I23" s="179"/>
    </row>
    <row r="24" spans="2:9" x14ac:dyDescent="0.2">
      <c r="F24" s="178"/>
      <c r="G24" s="178"/>
      <c r="H24" s="179"/>
      <c r="I24" s="179"/>
    </row>
    <row r="25" spans="2:9" x14ac:dyDescent="0.2">
      <c r="F25" s="178"/>
      <c r="G25" s="178"/>
      <c r="H25" s="179"/>
      <c r="I25" s="179"/>
    </row>
    <row r="26" spans="2:9" x14ac:dyDescent="0.2">
      <c r="F26" s="178"/>
      <c r="G26" s="178"/>
      <c r="H26" s="179"/>
      <c r="I26" s="179"/>
    </row>
  </sheetData>
  <customSheetViews>
    <customSheetView guid="{668A29EE-0894-45A9-AC3B-FF19D7E65F50}">
      <selection activeCell="F11" sqref="F11"/>
      <pageMargins left="0.7" right="0.7" top="0.75" bottom="0.75" header="0.3" footer="0.3"/>
      <pageSetup orientation="portrait" r:id="rId1"/>
    </customSheetView>
    <customSheetView guid="{1E9EC735-CF79-4DF8-9E65-FA4DEA6C2F30}">
      <selection activeCell="G4" sqref="G4"/>
      <pageMargins left="0.7" right="0.7" top="0.75" bottom="0.75" header="0.3" footer="0.3"/>
    </customSheetView>
    <customSheetView guid="{7E43B44C-B11C-49CF-BE47-52F37C92E402}">
      <selection activeCell="G4" sqref="G4"/>
      <pageMargins left="0.7" right="0.7" top="0.75" bottom="0.75" header="0.3" footer="0.3"/>
    </customSheetView>
    <customSheetView guid="{8F8D7C52-E4C0-489D-8816-8831E7E73778}">
      <selection activeCell="H24" sqref="H24"/>
      <pageMargins left="0.7" right="0.7" top="0.75" bottom="0.75" header="0.3" footer="0.3"/>
    </customSheetView>
    <customSheetView guid="{BBC88712-5D58-4F48-AF5E-B02A4F8290DF}">
      <selection activeCell="B26" sqref="B26"/>
      <pageMargins left="0.7" right="0.7" top="0.75" bottom="0.75" header="0.3" footer="0.3"/>
    </customSheetView>
  </customSheetViews>
  <dataValidations count="2">
    <dataValidation type="list" allowBlank="1" showInputMessage="1" showErrorMessage="1" sqref="B20:C25 C16:D18">
      <formula1>units</formula1>
    </dataValidation>
    <dataValidation type="list" allowBlank="1" showInputMessage="1" showErrorMessage="1" sqref="D20:D21 E16:E18">
      <formula1>$D$2:$F$2</formula1>
    </dataValidation>
  </dataValidation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customSheetViews>
    <customSheetView guid="{668A29EE-0894-45A9-AC3B-FF19D7E65F50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Category xmlns="6f323ec3-23c5-4c5a-a080-8536cbae9d4f"/>
    <Program xmlns="a2b8b030-3377-42d7-9d79-39293898e7a3">GHG</Program>
    <Year_x0020__x0028_for_x0020_legislative_x0020_publications_x0029_ xmlns="a2b8b030-3377-42d7-9d79-39293898e7a3" xsi:nil="true"/>
    <Document xmlns="6f323ec3-23c5-4c5a-a080-8536cbae9d4f">
      <Url xsi:nil="true"/>
      <Description xsi:nil="true"/>
    </Document>
    <Tags xmlns="a2b8b030-3377-42d7-9d79-39293898e7a3">ghg</Tags>
    <Document_x0020_Description xmlns="a2b8b030-3377-42d7-9d79-39293898e7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2B8C8-B7A6-4402-9FA3-BE038BD06A1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3c68978-3c73-4e1d-a5d3-3a2046316ef0"/>
    <ds:schemaRef ds:uri="http://schemas.microsoft.com/office/infopath/2007/PartnerControls"/>
    <ds:schemaRef ds:uri="1f9f35f2-f0cf-49ec-81fb-637d34c42406"/>
    <ds:schemaRef ds:uri="http://purl.org/dc/elements/1.1/"/>
    <ds:schemaRef ds:uri="http://schemas.microsoft.com/office/2006/metadata/properties"/>
    <ds:schemaRef ds:uri="1650cf59-46a1-403b-850d-84c15c2534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95441E-8EFB-4C66-B6F7-2FAA031725A3}"/>
</file>

<file path=customXml/itemProps3.xml><?xml version="1.0" encoding="utf-8"?>
<ds:datastoreItem xmlns:ds="http://schemas.openxmlformats.org/officeDocument/2006/customXml" ds:itemID="{65BF6B58-A627-4714-88E7-28575F01EE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Combustion GHG emissions</vt:lpstr>
      <vt:lpstr>Fuel Lookup</vt:lpstr>
      <vt:lpstr>Units Lookup</vt:lpstr>
      <vt:lpstr>Sheet1</vt:lpstr>
      <vt:lpstr>all_fuels</vt:lpstr>
      <vt:lpstr>'Combustion GHG emissions'!Print_Area</vt:lpstr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Combustion Calculator</dc:title>
  <dc:creator>Colin McConnaha</dc:creator>
  <cp:lastModifiedBy>DOUGAN Jackson</cp:lastModifiedBy>
  <cp:lastPrinted>2011-01-14T00:02:01Z</cp:lastPrinted>
  <dcterms:created xsi:type="dcterms:W3CDTF">2002-12-03T19:56:01Z</dcterms:created>
  <dcterms:modified xsi:type="dcterms:W3CDTF">2021-01-20T22:40:53Z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0x0101003F372F52947122448152FE0468EC2D0F</vt:lpwstr>
  </property>
  <property fmtid="{D5CDD505-2E9C-101B-9397-08002B2CF9AE}" pid="4" name="Program0">
    <vt:lpwstr>GHG</vt:lpwstr>
  </property>
  <property fmtid="{D5CDD505-2E9C-101B-9397-08002B2CF9AE}" pid="7" name="Tags">
    <vt:lpwstr>ghg</vt:lpwstr>
  </property>
</Properties>
</file>