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embeddings/oleObject2.bin" ContentType="application/vnd.openxmlformats-officedocument.oleObject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emporary docs\"/>
    </mc:Choice>
  </mc:AlternateContent>
  <bookViews>
    <workbookView xWindow="90" yWindow="30" windowWidth="12120" windowHeight="9120"/>
  </bookViews>
  <sheets>
    <sheet name="Ambient results-with discharge" sheetId="19" r:id="rId1"/>
    <sheet name="Ambient results-no discharge" sheetId="20" r:id="rId2"/>
    <sheet name="DO saturation equation" sheetId="3" r:id="rId3"/>
  </sheets>
  <definedNames>
    <definedName name="_xlnm.Print_Area" localSheetId="0">'Ambient results-with discharge'!$A$2:$O$36</definedName>
  </definedNames>
  <calcPr calcId="152511"/>
</workbook>
</file>

<file path=xl/calcChain.xml><?xml version="1.0" encoding="utf-8"?>
<calcChain xmlns="http://schemas.openxmlformats.org/spreadsheetml/2006/main">
  <c r="B54" i="19" l="1"/>
  <c r="B53" i="19"/>
  <c r="F16" i="19"/>
  <c r="B50" i="19" s="1"/>
  <c r="F17" i="19"/>
  <c r="B48" i="19"/>
  <c r="B49" i="19"/>
  <c r="C22" i="19"/>
  <c r="F12" i="19"/>
  <c r="E32" i="19" s="1"/>
  <c r="E37" i="20"/>
  <c r="E36" i="20"/>
  <c r="B10" i="20"/>
  <c r="B14" i="20"/>
  <c r="F16" i="20" s="1"/>
  <c r="B18" i="20"/>
  <c r="B22" i="20"/>
  <c r="B21" i="20"/>
  <c r="F19" i="20" s="1"/>
  <c r="B32" i="20"/>
  <c r="C32" i="20" s="1"/>
  <c r="B24" i="20"/>
  <c r="B11" i="20"/>
  <c r="B19" i="20"/>
  <c r="B23" i="20"/>
  <c r="B12" i="20"/>
  <c r="B20" i="20"/>
  <c r="B25" i="20"/>
  <c r="B27" i="19"/>
  <c r="F27" i="19" s="1"/>
  <c r="F26" i="19"/>
  <c r="F25" i="19"/>
  <c r="B30" i="19"/>
  <c r="B33" i="20" s="1"/>
  <c r="B8" i="20"/>
  <c r="B16" i="20"/>
  <c r="F11" i="20"/>
  <c r="I11" i="20" s="1"/>
  <c r="I12" i="20" s="1"/>
  <c r="C21" i="19"/>
  <c r="C20" i="19"/>
  <c r="I8" i="19"/>
  <c r="I9" i="19" s="1"/>
  <c r="F13" i="19"/>
  <c r="C11" i="19"/>
  <c r="V7" i="19"/>
  <c r="Z7" i="19" s="1"/>
  <c r="V8" i="19"/>
  <c r="Z8" i="19" s="1"/>
  <c r="V6" i="19"/>
  <c r="Z6" i="19" s="1"/>
  <c r="C19" i="19"/>
  <c r="B24" i="19"/>
  <c r="B27" i="20" s="1"/>
  <c r="B9" i="20"/>
  <c r="B17" i="20"/>
  <c r="B34" i="20"/>
  <c r="B28" i="20"/>
  <c r="AB6" i="19"/>
  <c r="AC6" i="19"/>
  <c r="AD6" i="19"/>
  <c r="Y5" i="19"/>
  <c r="AE5" i="19"/>
  <c r="Y6" i="19"/>
  <c r="AE6" i="19"/>
  <c r="AA6" i="19"/>
  <c r="F14" i="19"/>
  <c r="F15" i="19" s="1"/>
  <c r="F18" i="19"/>
  <c r="F19" i="19"/>
  <c r="F20" i="19"/>
  <c r="C31" i="19"/>
  <c r="B29" i="20"/>
  <c r="B26" i="20"/>
  <c r="D48" i="20"/>
  <c r="M48" i="20"/>
  <c r="N48" i="20"/>
  <c r="D49" i="20"/>
  <c r="G49" i="20"/>
  <c r="H49" i="20"/>
  <c r="I49" i="20"/>
  <c r="M49" i="20"/>
  <c r="N49" i="20"/>
  <c r="J49" i="20"/>
  <c r="D50" i="20"/>
  <c r="G50" i="20"/>
  <c r="J50" i="20" s="1"/>
  <c r="H50" i="20"/>
  <c r="I50" i="20"/>
  <c r="M50" i="20"/>
  <c r="N50" i="20"/>
  <c r="G12" i="19"/>
  <c r="C29" i="19"/>
  <c r="O46" i="19"/>
  <c r="K46" i="19" s="1"/>
  <c r="P46" i="19"/>
  <c r="Q46" i="19"/>
  <c r="O45" i="19"/>
  <c r="J46" i="19"/>
  <c r="D45" i="19"/>
  <c r="P45" i="19"/>
  <c r="Q45" i="19"/>
  <c r="D46" i="19"/>
  <c r="D47" i="19"/>
  <c r="J47" i="19"/>
  <c r="O47" i="19"/>
  <c r="P47" i="19"/>
  <c r="Q47" i="19"/>
  <c r="K47" i="19"/>
  <c r="D4" i="3"/>
  <c r="F15" i="20" l="1"/>
  <c r="C23" i="20"/>
  <c r="F20" i="20"/>
  <c r="B52" i="20" s="1"/>
  <c r="B28" i="19"/>
  <c r="B51" i="20"/>
  <c r="B30" i="20"/>
  <c r="F30" i="20" s="1"/>
  <c r="C14" i="20"/>
  <c r="F28" i="20"/>
  <c r="F17" i="20"/>
  <c r="F18" i="20" s="1"/>
  <c r="F22" i="20"/>
  <c r="C22" i="20"/>
  <c r="C34" i="20"/>
  <c r="C25" i="20"/>
  <c r="C24" i="20"/>
  <c r="B53" i="20"/>
  <c r="F48" i="20" s="1"/>
  <c r="E35" i="20"/>
  <c r="F21" i="20" s="1"/>
  <c r="F23" i="20" s="1"/>
  <c r="G15" i="20"/>
  <c r="C33" i="20"/>
  <c r="P8" i="19"/>
  <c r="AE8" i="19" s="1"/>
  <c r="P7" i="19"/>
  <c r="AE7" i="19" s="1"/>
  <c r="P9" i="19"/>
  <c r="AE9" i="19" s="1"/>
  <c r="J9" i="19"/>
  <c r="I10" i="19"/>
  <c r="V9" i="19"/>
  <c r="Z9" i="19" s="1"/>
  <c r="I13" i="20"/>
  <c r="J8" i="19"/>
  <c r="C30" i="19"/>
  <c r="F29" i="20" l="1"/>
  <c r="J7" i="19"/>
  <c r="B31" i="20"/>
  <c r="N12" i="20" s="1"/>
  <c r="F49" i="20"/>
  <c r="F50" i="20"/>
  <c r="L9" i="19"/>
  <c r="L7" i="19"/>
  <c r="L8" i="19"/>
  <c r="K8" i="19"/>
  <c r="K10" i="19"/>
  <c r="K7" i="19"/>
  <c r="N7" i="19" s="1"/>
  <c r="W7" i="19" s="1"/>
  <c r="K9" i="19"/>
  <c r="N9" i="19" s="1"/>
  <c r="W9" i="19" s="1"/>
  <c r="N10" i="20"/>
  <c r="R9" i="19"/>
  <c r="AB9" i="19" s="1"/>
  <c r="Q9" i="19"/>
  <c r="S9" i="19"/>
  <c r="AC9" i="19" s="1"/>
  <c r="R8" i="19"/>
  <c r="AB8" i="19" s="1"/>
  <c r="S8" i="19"/>
  <c r="AC8" i="19" s="1"/>
  <c r="Q8" i="19"/>
  <c r="I14" i="20"/>
  <c r="J10" i="19"/>
  <c r="I11" i="19"/>
  <c r="V10" i="19"/>
  <c r="Z10" i="19" s="1"/>
  <c r="P10" i="19"/>
  <c r="AE10" i="19" s="1"/>
  <c r="K12" i="20" l="1"/>
  <c r="J13" i="20"/>
  <c r="Q13" i="20" s="1"/>
  <c r="K10" i="20"/>
  <c r="J10" i="20"/>
  <c r="J12" i="20"/>
  <c r="J11" i="20"/>
  <c r="K11" i="20"/>
  <c r="N13" i="20"/>
  <c r="S7" i="19"/>
  <c r="AC7" i="19" s="1"/>
  <c r="Q7" i="19"/>
  <c r="R7" i="19"/>
  <c r="AB7" i="19" s="1"/>
  <c r="K13" i="20"/>
  <c r="N11" i="20"/>
  <c r="R10" i="19"/>
  <c r="AB10" i="19" s="1"/>
  <c r="S10" i="19"/>
  <c r="AC10" i="19" s="1"/>
  <c r="Q10" i="19"/>
  <c r="J14" i="20"/>
  <c r="I15" i="20"/>
  <c r="K14" i="20"/>
  <c r="T9" i="19"/>
  <c r="AD9" i="19" s="1"/>
  <c r="AA9" i="19"/>
  <c r="N14" i="20"/>
  <c r="N8" i="19"/>
  <c r="W8" i="19" s="1"/>
  <c r="J11" i="19"/>
  <c r="I12" i="19"/>
  <c r="V11" i="19"/>
  <c r="Z11" i="19" s="1"/>
  <c r="P11" i="19"/>
  <c r="AE11" i="19" s="1"/>
  <c r="P13" i="20"/>
  <c r="O13" i="20"/>
  <c r="R13" i="20" s="1"/>
  <c r="AA8" i="19"/>
  <c r="T8" i="19"/>
  <c r="AD8" i="19" s="1"/>
  <c r="K11" i="19"/>
  <c r="L10" i="19"/>
  <c r="N10" i="19" s="1"/>
  <c r="W10" i="19" s="1"/>
  <c r="L12" i="20" l="1"/>
  <c r="M12" i="20" s="1"/>
  <c r="M9" i="19" s="1"/>
  <c r="Q12" i="20"/>
  <c r="P12" i="20"/>
  <c r="O12" i="20"/>
  <c r="R12" i="20" s="1"/>
  <c r="L11" i="20"/>
  <c r="M11" i="20" s="1"/>
  <c r="M8" i="19" s="1"/>
  <c r="O11" i="20"/>
  <c r="R11" i="20" s="1"/>
  <c r="Q11" i="20"/>
  <c r="P11" i="20"/>
  <c r="L13" i="20"/>
  <c r="M13" i="20" s="1"/>
  <c r="M10" i="19" s="1"/>
  <c r="O10" i="20"/>
  <c r="R10" i="20" s="1"/>
  <c r="P10" i="20"/>
  <c r="L10" i="20"/>
  <c r="M10" i="20" s="1"/>
  <c r="M7" i="19" s="1"/>
  <c r="Q10" i="20"/>
  <c r="T7" i="19"/>
  <c r="AD7" i="19" s="1"/>
  <c r="AA7" i="19"/>
  <c r="X10" i="19"/>
  <c r="O10" i="19"/>
  <c r="Y10" i="19" s="1"/>
  <c r="J12" i="19"/>
  <c r="I13" i="19"/>
  <c r="V12" i="19"/>
  <c r="Z12" i="19" s="1"/>
  <c r="P12" i="19"/>
  <c r="AE12" i="19" s="1"/>
  <c r="K12" i="19"/>
  <c r="I16" i="20"/>
  <c r="J15" i="20"/>
  <c r="K15" i="20"/>
  <c r="N15" i="20"/>
  <c r="T10" i="19"/>
  <c r="AD10" i="19" s="1"/>
  <c r="AA10" i="19"/>
  <c r="S11" i="19"/>
  <c r="AC11" i="19" s="1"/>
  <c r="R11" i="19"/>
  <c r="AB11" i="19" s="1"/>
  <c r="Q11" i="19"/>
  <c r="L11" i="19"/>
  <c r="P14" i="20"/>
  <c r="O14" i="20"/>
  <c r="R14" i="20" s="1"/>
  <c r="Q14" i="20"/>
  <c r="L14" i="20"/>
  <c r="M14" i="20" s="1"/>
  <c r="M11" i="19" s="1"/>
  <c r="N11" i="19"/>
  <c r="W11" i="19" s="1"/>
  <c r="X8" i="19" l="1"/>
  <c r="O8" i="19"/>
  <c r="Y8" i="19" s="1"/>
  <c r="O7" i="19"/>
  <c r="Y7" i="19" s="1"/>
  <c r="X7" i="19"/>
  <c r="X9" i="19"/>
  <c r="O9" i="19"/>
  <c r="Y9" i="19" s="1"/>
  <c r="X11" i="19"/>
  <c r="O11" i="19"/>
  <c r="Y11" i="19" s="1"/>
  <c r="O15" i="20"/>
  <c r="R15" i="20" s="1"/>
  <c r="Q15" i="20"/>
  <c r="P15" i="20"/>
  <c r="L15" i="20"/>
  <c r="M15" i="20" s="1"/>
  <c r="M12" i="19" s="1"/>
  <c r="R12" i="19"/>
  <c r="AB12" i="19" s="1"/>
  <c r="S12" i="19"/>
  <c r="AC12" i="19" s="1"/>
  <c r="Q12" i="19"/>
  <c r="L12" i="19"/>
  <c r="N12" i="19" s="1"/>
  <c r="W12" i="19" s="1"/>
  <c r="T11" i="19"/>
  <c r="AD11" i="19" s="1"/>
  <c r="AA11" i="19"/>
  <c r="J16" i="20"/>
  <c r="I17" i="20"/>
  <c r="K16" i="20"/>
  <c r="N16" i="20"/>
  <c r="J13" i="19"/>
  <c r="I14" i="19"/>
  <c r="V13" i="19"/>
  <c r="Z13" i="19" s="1"/>
  <c r="P13" i="19"/>
  <c r="AE13" i="19" s="1"/>
  <c r="K13" i="19"/>
  <c r="X12" i="19" l="1"/>
  <c r="O12" i="19"/>
  <c r="Y12" i="19" s="1"/>
  <c r="P16" i="20"/>
  <c r="O16" i="20"/>
  <c r="R16" i="20" s="1"/>
  <c r="Q16" i="20"/>
  <c r="L16" i="20"/>
  <c r="M16" i="20" s="1"/>
  <c r="M13" i="19" s="1"/>
  <c r="J14" i="19"/>
  <c r="I15" i="19"/>
  <c r="V14" i="19"/>
  <c r="Z14" i="19" s="1"/>
  <c r="P14" i="19"/>
  <c r="AE14" i="19" s="1"/>
  <c r="K14" i="19"/>
  <c r="I18" i="20"/>
  <c r="J17" i="20"/>
  <c r="K17" i="20"/>
  <c r="N17" i="20"/>
  <c r="AA12" i="19"/>
  <c r="T12" i="19"/>
  <c r="AD12" i="19" s="1"/>
  <c r="R13" i="19"/>
  <c r="AB13" i="19" s="1"/>
  <c r="Q13" i="19"/>
  <c r="S13" i="19"/>
  <c r="AC13" i="19" s="1"/>
  <c r="L13" i="19"/>
  <c r="N13" i="19" s="1"/>
  <c r="W13" i="19" s="1"/>
  <c r="T13" i="19" l="1"/>
  <c r="AD13" i="19" s="1"/>
  <c r="AA13" i="19"/>
  <c r="X13" i="19"/>
  <c r="O13" i="19"/>
  <c r="Y13" i="19" s="1"/>
  <c r="O17" i="20"/>
  <c r="R17" i="20" s="1"/>
  <c r="Q17" i="20"/>
  <c r="P17" i="20"/>
  <c r="L17" i="20"/>
  <c r="M17" i="20" s="1"/>
  <c r="M14" i="19" s="1"/>
  <c r="R14" i="19"/>
  <c r="AB14" i="19" s="1"/>
  <c r="S14" i="19"/>
  <c r="AC14" i="19" s="1"/>
  <c r="Q14" i="19"/>
  <c r="L14" i="19"/>
  <c r="N14" i="19" s="1"/>
  <c r="W14" i="19" s="1"/>
  <c r="J18" i="20"/>
  <c r="I19" i="20"/>
  <c r="K18" i="20"/>
  <c r="N18" i="20"/>
  <c r="J15" i="19"/>
  <c r="I16" i="19"/>
  <c r="V15" i="19"/>
  <c r="Z15" i="19" s="1"/>
  <c r="P15" i="19"/>
  <c r="AE15" i="19" s="1"/>
  <c r="K15" i="19"/>
  <c r="X14" i="19" l="1"/>
  <c r="O14" i="19"/>
  <c r="Y14" i="19" s="1"/>
  <c r="P18" i="20"/>
  <c r="O18" i="20"/>
  <c r="R18" i="20" s="1"/>
  <c r="Q18" i="20"/>
  <c r="L18" i="20"/>
  <c r="M18" i="20" s="1"/>
  <c r="M15" i="19" s="1"/>
  <c r="J16" i="19"/>
  <c r="I17" i="19"/>
  <c r="V16" i="19"/>
  <c r="Z16" i="19" s="1"/>
  <c r="P16" i="19"/>
  <c r="AE16" i="19" s="1"/>
  <c r="K16" i="19"/>
  <c r="I20" i="20"/>
  <c r="J19" i="20"/>
  <c r="K19" i="20"/>
  <c r="N19" i="20"/>
  <c r="T14" i="19"/>
  <c r="AD14" i="19" s="1"/>
  <c r="AA14" i="19"/>
  <c r="S15" i="19"/>
  <c r="AC15" i="19" s="1"/>
  <c r="R15" i="19"/>
  <c r="AB15" i="19" s="1"/>
  <c r="Q15" i="19"/>
  <c r="L15" i="19"/>
  <c r="N15" i="19" s="1"/>
  <c r="W15" i="19" s="1"/>
  <c r="X15" i="19" l="1"/>
  <c r="O15" i="19"/>
  <c r="Y15" i="19" s="1"/>
  <c r="J20" i="20"/>
  <c r="I21" i="20"/>
  <c r="K20" i="20"/>
  <c r="N20" i="20"/>
  <c r="J17" i="19"/>
  <c r="I18" i="19"/>
  <c r="V17" i="19"/>
  <c r="Z17" i="19" s="1"/>
  <c r="P17" i="19"/>
  <c r="AE17" i="19" s="1"/>
  <c r="K17" i="19"/>
  <c r="T15" i="19"/>
  <c r="AD15" i="19" s="1"/>
  <c r="AA15" i="19"/>
  <c r="O19" i="20"/>
  <c r="R19" i="20" s="1"/>
  <c r="Q19" i="20"/>
  <c r="P19" i="20"/>
  <c r="L19" i="20"/>
  <c r="M19" i="20" s="1"/>
  <c r="M16" i="19" s="1"/>
  <c r="R16" i="19"/>
  <c r="AB16" i="19" s="1"/>
  <c r="S16" i="19"/>
  <c r="AC16" i="19" s="1"/>
  <c r="Q16" i="19"/>
  <c r="L16" i="19"/>
  <c r="N16" i="19"/>
  <c r="W16" i="19" s="1"/>
  <c r="X16" i="19" l="1"/>
  <c r="O16" i="19"/>
  <c r="Y16" i="19" s="1"/>
  <c r="AA16" i="19"/>
  <c r="T16" i="19"/>
  <c r="AD16" i="19" s="1"/>
  <c r="J18" i="19"/>
  <c r="I19" i="19"/>
  <c r="V18" i="19"/>
  <c r="Z18" i="19" s="1"/>
  <c r="P18" i="19"/>
  <c r="AE18" i="19" s="1"/>
  <c r="K18" i="19"/>
  <c r="I22" i="20"/>
  <c r="J21" i="20"/>
  <c r="K21" i="20"/>
  <c r="N21" i="20"/>
  <c r="R17" i="19"/>
  <c r="AB17" i="19" s="1"/>
  <c r="Q17" i="19"/>
  <c r="S17" i="19"/>
  <c r="AC17" i="19" s="1"/>
  <c r="L17" i="19"/>
  <c r="P20" i="20"/>
  <c r="O20" i="20"/>
  <c r="R20" i="20" s="1"/>
  <c r="Q20" i="20"/>
  <c r="L20" i="20"/>
  <c r="M20" i="20" s="1"/>
  <c r="M17" i="19" s="1"/>
  <c r="N17" i="19"/>
  <c r="W17" i="19" s="1"/>
  <c r="J22" i="20" l="1"/>
  <c r="I23" i="20"/>
  <c r="K22" i="20"/>
  <c r="N22" i="20"/>
  <c r="J19" i="19"/>
  <c r="I20" i="19"/>
  <c r="V19" i="19"/>
  <c r="Z19" i="19" s="1"/>
  <c r="P19" i="19"/>
  <c r="AE19" i="19" s="1"/>
  <c r="K19" i="19"/>
  <c r="X17" i="19"/>
  <c r="O17" i="19"/>
  <c r="Y17" i="19" s="1"/>
  <c r="T17" i="19"/>
  <c r="AD17" i="19" s="1"/>
  <c r="AA17" i="19"/>
  <c r="O21" i="20"/>
  <c r="R21" i="20" s="1"/>
  <c r="Q21" i="20"/>
  <c r="P21" i="20"/>
  <c r="L21" i="20"/>
  <c r="M21" i="20" s="1"/>
  <c r="M18" i="19" s="1"/>
  <c r="R18" i="19"/>
  <c r="AB18" i="19" s="1"/>
  <c r="S18" i="19"/>
  <c r="AC18" i="19" s="1"/>
  <c r="Q18" i="19"/>
  <c r="L18" i="19"/>
  <c r="N18" i="19" s="1"/>
  <c r="W18" i="19" s="1"/>
  <c r="S19" i="19" l="1"/>
  <c r="AC19" i="19" s="1"/>
  <c r="R19" i="19"/>
  <c r="AB19" i="19" s="1"/>
  <c r="Q19" i="19"/>
  <c r="L19" i="19"/>
  <c r="N19" i="19" s="1"/>
  <c r="W19" i="19" s="1"/>
  <c r="P22" i="20"/>
  <c r="O22" i="20"/>
  <c r="R22" i="20" s="1"/>
  <c r="Q22" i="20"/>
  <c r="L22" i="20"/>
  <c r="M22" i="20" s="1"/>
  <c r="M19" i="19" s="1"/>
  <c r="X18" i="19"/>
  <c r="O18" i="19"/>
  <c r="Y18" i="19" s="1"/>
  <c r="T18" i="19"/>
  <c r="AD18" i="19" s="1"/>
  <c r="AA18" i="19"/>
  <c r="J20" i="19"/>
  <c r="I21" i="19"/>
  <c r="V20" i="19"/>
  <c r="Z20" i="19" s="1"/>
  <c r="P20" i="19"/>
  <c r="AE20" i="19" s="1"/>
  <c r="K20" i="19"/>
  <c r="I24" i="20"/>
  <c r="J23" i="20"/>
  <c r="K23" i="20"/>
  <c r="N23" i="20"/>
  <c r="X19" i="19" l="1"/>
  <c r="O19" i="19"/>
  <c r="Y19" i="19" s="1"/>
  <c r="O23" i="20"/>
  <c r="R23" i="20" s="1"/>
  <c r="Q23" i="20"/>
  <c r="P23" i="20"/>
  <c r="L23" i="20"/>
  <c r="M23" i="20" s="1"/>
  <c r="M20" i="19" s="1"/>
  <c r="R20" i="19"/>
  <c r="AB20" i="19" s="1"/>
  <c r="S20" i="19"/>
  <c r="AC20" i="19" s="1"/>
  <c r="Q20" i="19"/>
  <c r="L20" i="19"/>
  <c r="N20" i="19" s="1"/>
  <c r="W20" i="19" s="1"/>
  <c r="T19" i="19"/>
  <c r="AD19" i="19" s="1"/>
  <c r="AA19" i="19"/>
  <c r="J24" i="20"/>
  <c r="I25" i="20"/>
  <c r="K24" i="20"/>
  <c r="N24" i="20"/>
  <c r="J21" i="19"/>
  <c r="I22" i="19"/>
  <c r="V21" i="19"/>
  <c r="Z21" i="19" s="1"/>
  <c r="P21" i="19"/>
  <c r="AE21" i="19" s="1"/>
  <c r="K21" i="19"/>
  <c r="X20" i="19" l="1"/>
  <c r="O20" i="19"/>
  <c r="Y20" i="19" s="1"/>
  <c r="P24" i="20"/>
  <c r="O24" i="20"/>
  <c r="R24" i="20" s="1"/>
  <c r="Q24" i="20"/>
  <c r="L24" i="20"/>
  <c r="M24" i="20" s="1"/>
  <c r="M21" i="19" s="1"/>
  <c r="J22" i="19"/>
  <c r="I23" i="19"/>
  <c r="V22" i="19"/>
  <c r="Z22" i="19" s="1"/>
  <c r="P22" i="19"/>
  <c r="AE22" i="19" s="1"/>
  <c r="K22" i="19"/>
  <c r="I26" i="20"/>
  <c r="J25" i="20"/>
  <c r="K25" i="20"/>
  <c r="N25" i="20"/>
  <c r="AA20" i="19"/>
  <c r="T20" i="19"/>
  <c r="AD20" i="19" s="1"/>
  <c r="R21" i="19"/>
  <c r="AB21" i="19" s="1"/>
  <c r="Q21" i="19"/>
  <c r="S21" i="19"/>
  <c r="AC21" i="19" s="1"/>
  <c r="L21" i="19"/>
  <c r="N21" i="19" s="1"/>
  <c r="W21" i="19" s="1"/>
  <c r="J26" i="20" l="1"/>
  <c r="I27" i="20"/>
  <c r="K26" i="20"/>
  <c r="N26" i="20"/>
  <c r="J23" i="19"/>
  <c r="I24" i="19"/>
  <c r="V23" i="19"/>
  <c r="Z23" i="19" s="1"/>
  <c r="P23" i="19"/>
  <c r="AE23" i="19" s="1"/>
  <c r="K23" i="19"/>
  <c r="O25" i="20"/>
  <c r="R25" i="20" s="1"/>
  <c r="Q25" i="20"/>
  <c r="P25" i="20"/>
  <c r="L25" i="20"/>
  <c r="M25" i="20" s="1"/>
  <c r="M22" i="19" s="1"/>
  <c r="R22" i="19"/>
  <c r="AB22" i="19" s="1"/>
  <c r="S22" i="19"/>
  <c r="AC22" i="19" s="1"/>
  <c r="Q22" i="19"/>
  <c r="L22" i="19"/>
  <c r="N22" i="19"/>
  <c r="W22" i="19" s="1"/>
  <c r="T21" i="19"/>
  <c r="AD21" i="19" s="1"/>
  <c r="AA21" i="19"/>
  <c r="X21" i="19"/>
  <c r="O21" i="19"/>
  <c r="Y21" i="19" s="1"/>
  <c r="X22" i="19" l="1"/>
  <c r="O22" i="19"/>
  <c r="Y22" i="19" s="1"/>
  <c r="T22" i="19"/>
  <c r="AD22" i="19" s="1"/>
  <c r="AA22" i="19"/>
  <c r="S23" i="19"/>
  <c r="AC23" i="19" s="1"/>
  <c r="R23" i="19"/>
  <c r="AB23" i="19" s="1"/>
  <c r="Q23" i="19"/>
  <c r="L23" i="19"/>
  <c r="N23" i="19" s="1"/>
  <c r="W23" i="19" s="1"/>
  <c r="P26" i="20"/>
  <c r="O26" i="20"/>
  <c r="R26" i="20" s="1"/>
  <c r="Q26" i="20"/>
  <c r="L26" i="20"/>
  <c r="M26" i="20" s="1"/>
  <c r="M23" i="19" s="1"/>
  <c r="J24" i="19"/>
  <c r="I25" i="19"/>
  <c r="V24" i="19"/>
  <c r="Z24" i="19" s="1"/>
  <c r="P24" i="19"/>
  <c r="AE24" i="19" s="1"/>
  <c r="K24" i="19"/>
  <c r="I28" i="20"/>
  <c r="J27" i="20"/>
  <c r="K27" i="20"/>
  <c r="N27" i="20"/>
  <c r="X23" i="19" l="1"/>
  <c r="O23" i="19"/>
  <c r="Y23" i="19" s="1"/>
  <c r="O27" i="20"/>
  <c r="R27" i="20" s="1"/>
  <c r="Q27" i="20"/>
  <c r="P27" i="20"/>
  <c r="L27" i="20"/>
  <c r="M27" i="20" s="1"/>
  <c r="M24" i="19" s="1"/>
  <c r="R24" i="19"/>
  <c r="AB24" i="19" s="1"/>
  <c r="S24" i="19"/>
  <c r="AC24" i="19" s="1"/>
  <c r="Q24" i="19"/>
  <c r="L24" i="19"/>
  <c r="N24" i="19" s="1"/>
  <c r="W24" i="19" s="1"/>
  <c r="T23" i="19"/>
  <c r="AD23" i="19" s="1"/>
  <c r="AA23" i="19"/>
  <c r="J28" i="20"/>
  <c r="I29" i="20"/>
  <c r="K28" i="20"/>
  <c r="N28" i="20"/>
  <c r="J25" i="19"/>
  <c r="I26" i="19"/>
  <c r="V25" i="19"/>
  <c r="Z25" i="19" s="1"/>
  <c r="P25" i="19"/>
  <c r="AE25" i="19" s="1"/>
  <c r="K25" i="19"/>
  <c r="X24" i="19" l="1"/>
  <c r="O24" i="19"/>
  <c r="Y24" i="19" s="1"/>
  <c r="O28" i="20"/>
  <c r="R28" i="20" s="1"/>
  <c r="Q28" i="20"/>
  <c r="P28" i="20"/>
  <c r="L28" i="20"/>
  <c r="M28" i="20" s="1"/>
  <c r="M25" i="19" s="1"/>
  <c r="J26" i="19"/>
  <c r="I27" i="19"/>
  <c r="V26" i="19"/>
  <c r="Z26" i="19" s="1"/>
  <c r="P26" i="19"/>
  <c r="AE26" i="19" s="1"/>
  <c r="K26" i="19"/>
  <c r="I30" i="20"/>
  <c r="J29" i="20"/>
  <c r="K29" i="20"/>
  <c r="N29" i="20"/>
  <c r="AA24" i="19"/>
  <c r="T24" i="19"/>
  <c r="AD24" i="19" s="1"/>
  <c r="R25" i="19"/>
  <c r="AB25" i="19" s="1"/>
  <c r="Q25" i="19"/>
  <c r="S25" i="19"/>
  <c r="AC25" i="19" s="1"/>
  <c r="L25" i="19"/>
  <c r="N25" i="19" s="1"/>
  <c r="W25" i="19" s="1"/>
  <c r="T25" i="19" l="1"/>
  <c r="AD25" i="19" s="1"/>
  <c r="AA25" i="19"/>
  <c r="X25" i="19"/>
  <c r="O25" i="19"/>
  <c r="Y25" i="19" s="1"/>
  <c r="O29" i="20"/>
  <c r="R29" i="20" s="1"/>
  <c r="Q29" i="20"/>
  <c r="P29" i="20"/>
  <c r="L29" i="20"/>
  <c r="M29" i="20" s="1"/>
  <c r="M26" i="19" s="1"/>
  <c r="R26" i="19"/>
  <c r="AB26" i="19" s="1"/>
  <c r="S26" i="19"/>
  <c r="AC26" i="19" s="1"/>
  <c r="Q26" i="19"/>
  <c r="L26" i="19"/>
  <c r="N26" i="19"/>
  <c r="W26" i="19" s="1"/>
  <c r="J30" i="20"/>
  <c r="I31" i="20"/>
  <c r="K30" i="20"/>
  <c r="N30" i="20"/>
  <c r="J27" i="19"/>
  <c r="I28" i="19"/>
  <c r="V27" i="19"/>
  <c r="Z27" i="19" s="1"/>
  <c r="P27" i="19"/>
  <c r="AE27" i="19" s="1"/>
  <c r="K27" i="19"/>
  <c r="X26" i="19" l="1"/>
  <c r="O26" i="19"/>
  <c r="Y26" i="19" s="1"/>
  <c r="J28" i="19"/>
  <c r="I29" i="19"/>
  <c r="V28" i="19"/>
  <c r="Z28" i="19" s="1"/>
  <c r="P28" i="19"/>
  <c r="AE28" i="19" s="1"/>
  <c r="K28" i="19"/>
  <c r="I32" i="20"/>
  <c r="J31" i="20"/>
  <c r="K31" i="20"/>
  <c r="N31" i="20"/>
  <c r="T26" i="19"/>
  <c r="AD26" i="19" s="1"/>
  <c r="AA26" i="19"/>
  <c r="S27" i="19"/>
  <c r="AC27" i="19" s="1"/>
  <c r="R27" i="19"/>
  <c r="AB27" i="19" s="1"/>
  <c r="Q27" i="19"/>
  <c r="L27" i="19"/>
  <c r="P30" i="20"/>
  <c r="O30" i="20"/>
  <c r="R30" i="20" s="1"/>
  <c r="Q30" i="20"/>
  <c r="L30" i="20"/>
  <c r="M30" i="20" s="1"/>
  <c r="M27" i="19" s="1"/>
  <c r="N27" i="19"/>
  <c r="W27" i="19" s="1"/>
  <c r="X27" i="19" l="1"/>
  <c r="O27" i="19"/>
  <c r="Y27" i="19" s="1"/>
  <c r="O31" i="20"/>
  <c r="R31" i="20" s="1"/>
  <c r="Q31" i="20"/>
  <c r="P31" i="20"/>
  <c r="L31" i="20"/>
  <c r="M31" i="20" s="1"/>
  <c r="M28" i="19" s="1"/>
  <c r="R28" i="19"/>
  <c r="AB28" i="19" s="1"/>
  <c r="S28" i="19"/>
  <c r="AC28" i="19" s="1"/>
  <c r="Q28" i="19"/>
  <c r="L28" i="19"/>
  <c r="N28" i="19" s="1"/>
  <c r="W28" i="19" s="1"/>
  <c r="T27" i="19"/>
  <c r="AD27" i="19" s="1"/>
  <c r="AA27" i="19"/>
  <c r="J32" i="20"/>
  <c r="I33" i="20"/>
  <c r="K32" i="20"/>
  <c r="N32" i="20"/>
  <c r="J29" i="19"/>
  <c r="I30" i="19"/>
  <c r="V29" i="19"/>
  <c r="Z29" i="19" s="1"/>
  <c r="P29" i="19"/>
  <c r="AE29" i="19" s="1"/>
  <c r="K29" i="19"/>
  <c r="X28" i="19" l="1"/>
  <c r="O28" i="19"/>
  <c r="Y28" i="19" s="1"/>
  <c r="O32" i="20"/>
  <c r="R32" i="20" s="1"/>
  <c r="Q32" i="20"/>
  <c r="P32" i="20"/>
  <c r="L32" i="20"/>
  <c r="M32" i="20" s="1"/>
  <c r="M29" i="19" s="1"/>
  <c r="J30" i="19"/>
  <c r="I31" i="19"/>
  <c r="V30" i="19"/>
  <c r="Z30" i="19" s="1"/>
  <c r="P30" i="19"/>
  <c r="AE30" i="19" s="1"/>
  <c r="K30" i="19"/>
  <c r="I34" i="20"/>
  <c r="J33" i="20"/>
  <c r="K33" i="20"/>
  <c r="N33" i="20"/>
  <c r="AA28" i="19"/>
  <c r="T28" i="19"/>
  <c r="AD28" i="19" s="1"/>
  <c r="N29" i="19"/>
  <c r="W29" i="19" s="1"/>
  <c r="R29" i="19"/>
  <c r="AB29" i="19" s="1"/>
  <c r="Q29" i="19"/>
  <c r="S29" i="19"/>
  <c r="AC29" i="19" s="1"/>
  <c r="L29" i="19"/>
  <c r="X29" i="19" l="1"/>
  <c r="O29" i="19"/>
  <c r="Y29" i="19" s="1"/>
  <c r="J34" i="20"/>
  <c r="I35" i="20"/>
  <c r="K34" i="20"/>
  <c r="N34" i="20"/>
  <c r="T29" i="19"/>
  <c r="AD29" i="19" s="1"/>
  <c r="AA29" i="19"/>
  <c r="P33" i="20"/>
  <c r="O33" i="20"/>
  <c r="R33" i="20" s="1"/>
  <c r="Q33" i="20"/>
  <c r="L33" i="20"/>
  <c r="M33" i="20" s="1"/>
  <c r="M30" i="19" s="1"/>
  <c r="R30" i="19"/>
  <c r="AB30" i="19" s="1"/>
  <c r="S30" i="19"/>
  <c r="AC30" i="19" s="1"/>
  <c r="Q30" i="19"/>
  <c r="L30" i="19"/>
  <c r="N30" i="19" s="1"/>
  <c r="W30" i="19" s="1"/>
  <c r="J31" i="19"/>
  <c r="I32" i="19"/>
  <c r="V31" i="19"/>
  <c r="Z31" i="19" s="1"/>
  <c r="P31" i="19"/>
  <c r="AE31" i="19" s="1"/>
  <c r="K31" i="19"/>
  <c r="X30" i="19" l="1"/>
  <c r="O30" i="19"/>
  <c r="Y30" i="19" s="1"/>
  <c r="J32" i="19"/>
  <c r="V32" i="19"/>
  <c r="Z32" i="19" s="1"/>
  <c r="P32" i="19"/>
  <c r="AE32" i="19" s="1"/>
  <c r="K32" i="19"/>
  <c r="S31" i="19"/>
  <c r="AC31" i="19" s="1"/>
  <c r="R31" i="19"/>
  <c r="AB31" i="19" s="1"/>
  <c r="Q31" i="19"/>
  <c r="L31" i="19"/>
  <c r="N31" i="19" s="1"/>
  <c r="W31" i="19" s="1"/>
  <c r="T30" i="19"/>
  <c r="AD30" i="19" s="1"/>
  <c r="AA30" i="19"/>
  <c r="O34" i="20"/>
  <c r="R34" i="20" s="1"/>
  <c r="Q34" i="20"/>
  <c r="P34" i="20"/>
  <c r="L34" i="20"/>
  <c r="M34" i="20" s="1"/>
  <c r="M31" i="19" s="1"/>
  <c r="J35" i="20"/>
  <c r="K35" i="20"/>
  <c r="N35" i="20"/>
  <c r="X31" i="19" l="1"/>
  <c r="O31" i="19"/>
  <c r="Y31" i="19" s="1"/>
  <c r="P35" i="20"/>
  <c r="O35" i="20"/>
  <c r="R35" i="20" s="1"/>
  <c r="Q35" i="20"/>
  <c r="L35" i="20"/>
  <c r="M35" i="20" s="1"/>
  <c r="M32" i="19" s="1"/>
  <c r="T31" i="19"/>
  <c r="AD31" i="19" s="1"/>
  <c r="AA31" i="19"/>
  <c r="R32" i="19"/>
  <c r="AB32" i="19" s="1"/>
  <c r="S32" i="19"/>
  <c r="AC32" i="19" s="1"/>
  <c r="Q32" i="19"/>
  <c r="L32" i="19"/>
  <c r="N32" i="19" s="1"/>
  <c r="W32" i="19" s="1"/>
  <c r="X32" i="19" l="1"/>
  <c r="O32" i="19"/>
  <c r="Y32" i="19" s="1"/>
  <c r="AA32" i="19"/>
  <c r="T32" i="19"/>
  <c r="AD32" i="19" s="1"/>
</calcChain>
</file>

<file path=xl/comments1.xml><?xml version="1.0" encoding="utf-8"?>
<comments xmlns="http://schemas.openxmlformats.org/spreadsheetml/2006/main">
  <authors>
    <author>PCAdmin</author>
    <author>Steve Schnurbusch</author>
    <author>State of Oregon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First determine period of 7Q10 for receiving waterbody.  Then, physical paramaters should be a reflection of that low flow period or appropriately conservative surrogate on a monthly/chronic basis.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Monthly Average for identified 7Q10 period or suitably conservative surrogate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Monthly Average for identified 7Q10 period or suitably conservative surrogate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>Monthly Average for identified 7Q10 period or suitably conservative surrogate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Monthly Average for identified 7Q10 period or suitably conservative surrogate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Monthly Average for identified 7Q10 period or suitably conservative surrogate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Average Dry Weather Design Flow or highest monthly average flow during the critical period that is being simulated</t>
        </r>
      </text>
    </comment>
    <comment ref="B11" authorId="1" shapeId="0">
      <text>
        <r>
          <rPr>
            <b/>
            <sz val="8"/>
            <color indexed="81"/>
            <rFont val="Tahoma"/>
          </rPr>
          <t xml:space="preserve">CBOD Bottle Decay Rate:
</t>
        </r>
        <r>
          <rPr>
            <sz val="8"/>
            <color indexed="81"/>
            <rFont val="Tahoma"/>
            <family val="2"/>
          </rPr>
          <t>0.07 is average for activated sludge facilities</t>
        </r>
        <r>
          <rPr>
            <sz val="8"/>
            <color indexed="81"/>
            <rFont val="Tahoma"/>
          </rPr>
          <t xml:space="preserve">
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Physical paramaters should reflect the period of typical low flow on a monthly/chronic basis.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Monthly Average for identified 7Q10 period or suitably conservative surrogate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Monthly Average for identified 7Q10 period or suitably conservative surrogate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Monthly Average for identified 7Q10 period or suitably conservative surrogate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Monthly Average for identified 7Q10 period or suitably conservative surrogate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Monthly Average for identified 7Q10 period or suitably conservative surrogate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7Q10 low flow condition for the period being simulated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1" shapeId="0">
      <text>
        <r>
          <rPr>
            <b/>
            <sz val="8"/>
            <color indexed="81"/>
            <rFont val="Tahoma"/>
          </rPr>
          <t xml:space="preserve">Instream BOD Decay Rate:
</t>
        </r>
        <r>
          <rPr>
            <sz val="8"/>
            <color indexed="81"/>
            <rFont val="Tahoma"/>
            <family val="2"/>
          </rPr>
          <t>0.07-0.14 for Willamette River (McCutcheon, 1983)</t>
        </r>
        <r>
          <rPr>
            <sz val="8"/>
            <color indexed="81"/>
            <rFont val="Tahoma"/>
          </rPr>
          <t xml:space="preserve">
</t>
        </r>
      </text>
    </comment>
    <comment ref="B20" authorId="1" shapeId="0">
      <text>
        <r>
          <rPr>
            <b/>
            <sz val="8"/>
            <color indexed="81"/>
            <rFont val="Tahoma"/>
          </rPr>
          <t xml:space="preserve">Organic N to Ammonia Decay Rate:
</t>
        </r>
        <r>
          <rPr>
            <sz val="8"/>
            <color indexed="81"/>
            <rFont val="Tahoma"/>
            <family val="2"/>
          </rPr>
          <t>0.7 is a good assumption</t>
        </r>
        <r>
          <rPr>
            <sz val="8"/>
            <color indexed="81"/>
            <rFont val="Tahoma"/>
          </rPr>
          <t xml:space="preserve">
</t>
        </r>
      </text>
    </comment>
    <comment ref="B21" authorId="1" shapeId="0">
      <text>
        <r>
          <rPr>
            <b/>
            <sz val="8"/>
            <color indexed="81"/>
            <rFont val="Tahoma"/>
          </rPr>
          <t xml:space="preserve">Ammonia to Nitrite Decay Rate:
</t>
        </r>
        <r>
          <rPr>
            <sz val="8"/>
            <color indexed="81"/>
            <rFont val="Tahoma"/>
            <family val="2"/>
          </rPr>
          <t>0.7 is a good assumption</t>
        </r>
        <r>
          <rPr>
            <sz val="8"/>
            <color indexed="81"/>
            <rFont val="Tahoma"/>
          </rPr>
          <t xml:space="preserve">
</t>
        </r>
      </text>
    </comment>
    <comment ref="B22" authorId="1" shapeId="0">
      <text>
        <r>
          <rPr>
            <b/>
            <sz val="8"/>
            <color indexed="81"/>
            <rFont val="Tahoma"/>
          </rPr>
          <t xml:space="preserve">Nitrite to Nitrate dDcay Rate:
</t>
        </r>
        <r>
          <rPr>
            <sz val="8"/>
            <color indexed="81"/>
            <rFont val="Tahoma"/>
            <family val="2"/>
          </rPr>
          <t>0.7 is a good assumption</t>
        </r>
        <r>
          <rPr>
            <sz val="8"/>
            <color indexed="81"/>
            <rFont val="Tahoma"/>
          </rPr>
          <t xml:space="preserve">
</t>
        </r>
      </text>
    </comment>
    <comment ref="B23" authorId="1" shapeId="0">
      <text>
        <r>
          <rPr>
            <b/>
            <sz val="8"/>
            <color indexed="81"/>
            <rFont val="Tahoma"/>
          </rPr>
          <t>CBOD Settling Rate:</t>
        </r>
        <r>
          <rPr>
            <sz val="8"/>
            <color indexed="81"/>
            <rFont val="Tahoma"/>
          </rPr>
          <t xml:space="preserve">
Typically assume zero with secondary treated effluent.</t>
        </r>
      </text>
    </comment>
    <comment ref="A29" authorId="2" shapeId="0">
      <text>
        <r>
          <rPr>
            <b/>
            <sz val="8"/>
            <color indexed="81"/>
            <rFont val="Tahoma"/>
          </rPr>
          <t>Enter "na" in adjacent cell to use calculated Ka based on rearation equations   OR
Enter a Ka value in adjacent cell to overide automatic calculation</t>
        </r>
      </text>
    </comment>
    <comment ref="A30" authorId="2" shapeId="0">
      <text>
        <r>
          <rPr>
            <b/>
            <sz val="8"/>
            <color indexed="81"/>
            <rFont val="Tahoma"/>
          </rPr>
          <t>State of Oregon:</t>
        </r>
        <r>
          <rPr>
            <sz val="8"/>
            <color indexed="81"/>
            <rFont val="Tahoma"/>
          </rPr>
          <t xml:space="preserve">
Ka value calculated based on rearation equations</t>
        </r>
      </text>
    </comment>
    <comment ref="B53" authorId="1" shapeId="0">
      <text>
        <r>
          <rPr>
            <sz val="8"/>
            <color indexed="81"/>
            <rFont val="Tahoma"/>
            <family val="2"/>
          </rPr>
          <t>This decay rate is based on stream flow and could be used (Se Rates Constants and Kinetics, EPA June 1985)</t>
        </r>
      </text>
    </comment>
    <comment ref="B54" authorId="1" shapeId="0">
      <text>
        <r>
          <rPr>
            <sz val="8"/>
            <color indexed="81"/>
            <rFont val="Tahoma"/>
            <family val="2"/>
          </rPr>
          <t>This decay rate is based on stream wetted permiter and could be used (Se Rates Constants and Kinetics, EPA June 1985)</t>
        </r>
      </text>
    </comment>
  </commentList>
</comments>
</file>

<file path=xl/comments2.xml><?xml version="1.0" encoding="utf-8"?>
<comments xmlns="http://schemas.openxmlformats.org/spreadsheetml/2006/main">
  <authors>
    <author>State of Oregon</author>
  </authors>
  <commentList>
    <comment ref="A32" authorId="0" shapeId="0">
      <text>
        <r>
          <rPr>
            <b/>
            <sz val="8"/>
            <color indexed="81"/>
            <rFont val="Tahoma"/>
          </rPr>
          <t>Enter "na" in adjacent cell to use calculated Ka based on rearation equations   OR
Enter a Ka value in adjacent cell to overide automatic calculation</t>
        </r>
      </text>
    </comment>
    <comment ref="A33" authorId="0" shapeId="0">
      <text>
        <r>
          <rPr>
            <b/>
            <sz val="8"/>
            <color indexed="81"/>
            <rFont val="Tahoma"/>
          </rPr>
          <t>State of Oregon:</t>
        </r>
        <r>
          <rPr>
            <sz val="8"/>
            <color indexed="81"/>
            <rFont val="Tahoma"/>
          </rPr>
          <t xml:space="preserve">
Ka value calculated based on rearation equations</t>
        </r>
      </text>
    </comment>
  </commentList>
</comments>
</file>

<file path=xl/sharedStrings.xml><?xml version="1.0" encoding="utf-8"?>
<sst xmlns="http://schemas.openxmlformats.org/spreadsheetml/2006/main" count="297" uniqueCount="165">
  <si>
    <t>Streeter-Phelps Dissolved Oxygen Model</t>
  </si>
  <si>
    <t>Effluent</t>
  </si>
  <si>
    <t>River</t>
  </si>
  <si>
    <t>Calculations</t>
  </si>
  <si>
    <t>RM</t>
  </si>
  <si>
    <t>Deficit</t>
  </si>
  <si>
    <t>DO</t>
  </si>
  <si>
    <t>PARAMETERS</t>
  </si>
  <si>
    <t>Temp (C)</t>
  </si>
  <si>
    <t>DO saturation (mg/L)</t>
  </si>
  <si>
    <t>initial DO (mg/L)</t>
  </si>
  <si>
    <t>BOD5</t>
  </si>
  <si>
    <t>effective deoxygenation rate (/day)</t>
  </si>
  <si>
    <t>NH3</t>
  </si>
  <si>
    <t>reaeration rate (/day)</t>
  </si>
  <si>
    <t>Q (mgd)</t>
  </si>
  <si>
    <t>Q (cfs)</t>
  </si>
  <si>
    <t>settling rate (/day)</t>
  </si>
  <si>
    <t>Tmix</t>
  </si>
  <si>
    <t>Kd+Ks (/day)</t>
  </si>
  <si>
    <t>x</t>
  </si>
  <si>
    <t>distance (ft)</t>
  </si>
  <si>
    <t>U (fps)</t>
  </si>
  <si>
    <t>U</t>
  </si>
  <si>
    <t>U (mpd)</t>
  </si>
  <si>
    <t>flow (cfs)</t>
  </si>
  <si>
    <t>Dosat mix</t>
  </si>
  <si>
    <t>flow (mgd)</t>
  </si>
  <si>
    <t>DO mix</t>
  </si>
  <si>
    <t>ammonia (mg/L)</t>
  </si>
  <si>
    <t>Temp</t>
  </si>
  <si>
    <t>degrees C</t>
  </si>
  <si>
    <t>CBOD reaction rates (bottle rate)</t>
  </si>
  <si>
    <t>DO(mg/L)</t>
  </si>
  <si>
    <t>Depth(ft)</t>
  </si>
  <si>
    <t>Initial DO deficit (after mixing)</t>
  </si>
  <si>
    <r>
      <t>K</t>
    </r>
    <r>
      <rPr>
        <b/>
        <vertAlign val="subscript"/>
        <sz val="10"/>
        <rFont val="Tahoma"/>
        <family val="2"/>
      </rPr>
      <t>1</t>
    </r>
  </si>
  <si>
    <r>
      <t>K</t>
    </r>
    <r>
      <rPr>
        <b/>
        <vertAlign val="subscript"/>
        <sz val="10"/>
        <rFont val="Tahoma"/>
        <family val="2"/>
      </rPr>
      <t>r</t>
    </r>
    <r>
      <rPr>
        <b/>
        <sz val="10"/>
        <rFont val="Tahoma"/>
        <family val="2"/>
      </rPr>
      <t xml:space="preserve"> </t>
    </r>
  </si>
  <si>
    <r>
      <t>K</t>
    </r>
    <r>
      <rPr>
        <b/>
        <vertAlign val="subscript"/>
        <sz val="10"/>
        <rFont val="Tahoma"/>
        <family val="2"/>
      </rPr>
      <t>1</t>
    </r>
    <r>
      <rPr>
        <b/>
        <sz val="10"/>
        <rFont val="Tahoma"/>
        <family val="2"/>
      </rPr>
      <t>(@20  C)</t>
    </r>
  </si>
  <si>
    <t>note:</t>
  </si>
  <si>
    <r>
      <t>K</t>
    </r>
    <r>
      <rPr>
        <b/>
        <vertAlign val="subscript"/>
        <sz val="10"/>
        <rFont val="Tahoma"/>
        <family val="2"/>
      </rPr>
      <t>d</t>
    </r>
  </si>
  <si>
    <r>
      <t>BOD</t>
    </r>
    <r>
      <rPr>
        <b/>
        <vertAlign val="subscript"/>
        <sz val="10"/>
        <rFont val="Tahoma"/>
        <family val="2"/>
      </rPr>
      <t>5</t>
    </r>
    <r>
      <rPr>
        <b/>
        <sz val="10"/>
        <rFont val="Tahoma"/>
        <family val="2"/>
      </rPr>
      <t>(mg/L)</t>
    </r>
  </si>
  <si>
    <r>
      <t>K</t>
    </r>
    <r>
      <rPr>
        <b/>
        <vertAlign val="subscript"/>
        <sz val="10"/>
        <rFont val="Tahoma"/>
        <family val="2"/>
      </rPr>
      <t>s</t>
    </r>
  </si>
  <si>
    <r>
      <t>NH</t>
    </r>
    <r>
      <rPr>
        <b/>
        <vertAlign val="subscript"/>
        <sz val="10"/>
        <rFont val="Tahoma"/>
        <family val="2"/>
      </rPr>
      <t>3</t>
    </r>
    <r>
      <rPr>
        <b/>
        <sz val="10"/>
        <rFont val="Tahoma"/>
        <family val="2"/>
      </rPr>
      <t>-N(mg/L)</t>
    </r>
  </si>
  <si>
    <t>Theta O2</t>
  </si>
  <si>
    <t>Theta CBOD</t>
  </si>
  <si>
    <t>Temperature coefficients</t>
  </si>
  <si>
    <t>Theta SOD</t>
  </si>
  <si>
    <r>
      <t>K</t>
    </r>
    <r>
      <rPr>
        <b/>
        <vertAlign val="subscript"/>
        <sz val="10"/>
        <rFont val="Tahoma"/>
        <family val="2"/>
      </rPr>
      <t>a</t>
    </r>
  </si>
  <si>
    <r>
      <t>DO</t>
    </r>
    <r>
      <rPr>
        <b/>
        <vertAlign val="subscript"/>
        <sz val="10"/>
        <rFont val="Tahoma"/>
        <family val="2"/>
      </rPr>
      <t>o</t>
    </r>
  </si>
  <si>
    <t>velocity (fps or mpd)</t>
  </si>
  <si>
    <r>
      <t>L</t>
    </r>
    <r>
      <rPr>
        <b/>
        <vertAlign val="subscript"/>
        <sz val="10"/>
        <rFont val="Tahoma"/>
        <family val="2"/>
      </rPr>
      <t>o</t>
    </r>
  </si>
  <si>
    <r>
      <t>Q</t>
    </r>
    <r>
      <rPr>
        <b/>
        <vertAlign val="subscript"/>
        <sz val="10"/>
        <rFont val="Tahoma"/>
        <family val="2"/>
      </rPr>
      <t>r</t>
    </r>
  </si>
  <si>
    <r>
      <t>Q</t>
    </r>
    <r>
      <rPr>
        <b/>
        <vertAlign val="subscript"/>
        <sz val="10"/>
        <rFont val="Tahoma"/>
        <family val="2"/>
      </rPr>
      <t>e</t>
    </r>
  </si>
  <si>
    <r>
      <t>C</t>
    </r>
    <r>
      <rPr>
        <b/>
        <vertAlign val="subscript"/>
        <sz val="10"/>
        <rFont val="Tahoma"/>
        <family val="2"/>
      </rPr>
      <t>s</t>
    </r>
  </si>
  <si>
    <r>
      <t>C</t>
    </r>
    <r>
      <rPr>
        <b/>
        <vertAlign val="subscript"/>
        <sz val="10"/>
        <rFont val="Tahoma"/>
        <family val="2"/>
      </rPr>
      <t>o</t>
    </r>
  </si>
  <si>
    <r>
      <t>NH</t>
    </r>
    <r>
      <rPr>
        <b/>
        <vertAlign val="subscript"/>
        <sz val="10"/>
        <rFont val="Tahoma"/>
        <family val="2"/>
      </rPr>
      <t>3</t>
    </r>
  </si>
  <si>
    <r>
      <t>S</t>
    </r>
    <r>
      <rPr>
        <b/>
        <vertAlign val="subscript"/>
        <sz val="10"/>
        <rFont val="Tahoma"/>
        <family val="2"/>
      </rPr>
      <t>B</t>
    </r>
  </si>
  <si>
    <r>
      <t>SOD g O</t>
    </r>
    <r>
      <rPr>
        <vertAlign val="subscript"/>
        <sz val="10"/>
        <rFont val="Tahoma"/>
        <family val="2"/>
      </rPr>
      <t>2</t>
    </r>
    <r>
      <rPr>
        <sz val="10"/>
        <rFont val="Tahoma"/>
        <family val="2"/>
      </rPr>
      <t>/m</t>
    </r>
    <r>
      <rPr>
        <vertAlign val="superscript"/>
        <sz val="10"/>
        <rFont val="Tahoma"/>
        <family val="2"/>
      </rPr>
      <t>2</t>
    </r>
    <r>
      <rPr>
        <sz val="10"/>
        <rFont val="Tahoma"/>
        <family val="2"/>
      </rPr>
      <t xml:space="preserve"> day</t>
    </r>
  </si>
  <si>
    <t>O'Connor Dobbins</t>
  </si>
  <si>
    <t>Churchill (1962)</t>
  </si>
  <si>
    <t>Owens (1964)</t>
  </si>
  <si>
    <t>Rearation equations</t>
  </si>
  <si>
    <r>
      <t>K</t>
    </r>
    <r>
      <rPr>
        <b/>
        <vertAlign val="subscript"/>
        <sz val="10"/>
        <rFont val="Tahoma"/>
        <family val="2"/>
      </rPr>
      <t xml:space="preserve">a </t>
    </r>
    <r>
      <rPr>
        <sz val="7"/>
        <rFont val="Tahoma"/>
        <family val="2"/>
      </rPr>
      <t>(see comment)</t>
    </r>
  </si>
  <si>
    <t>Time</t>
  </si>
  <si>
    <r>
      <t>S</t>
    </r>
    <r>
      <rPr>
        <b/>
        <vertAlign val="subscript"/>
        <sz val="10"/>
        <rFont val="Tahoma"/>
        <family val="2"/>
      </rPr>
      <t xml:space="preserve">B </t>
    </r>
    <r>
      <rPr>
        <sz val="7"/>
        <rFont val="Tahoma"/>
        <family val="2"/>
      </rPr>
      <t>g O2/m2 day</t>
    </r>
  </si>
  <si>
    <t>(mi)</t>
  </si>
  <si>
    <t>(days)</t>
  </si>
  <si>
    <t>(mg/L)</t>
  </si>
  <si>
    <t>Source-Ambient</t>
  </si>
  <si>
    <r>
      <t>K</t>
    </r>
    <r>
      <rPr>
        <b/>
        <vertAlign val="subscript"/>
        <sz val="10"/>
        <rFont val="Tahoma"/>
        <family val="2"/>
      </rPr>
      <t>n</t>
    </r>
    <r>
      <rPr>
        <b/>
        <sz val="10"/>
        <rFont val="Tahoma"/>
        <family val="2"/>
      </rPr>
      <t xml:space="preserve"> </t>
    </r>
  </si>
  <si>
    <t>NBOD reaction rate (/day)</t>
  </si>
  <si>
    <t>black = entered values</t>
  </si>
  <si>
    <t>BOD5/(1-e^-5K1)</t>
  </si>
  <si>
    <t>RM counter</t>
  </si>
  <si>
    <t>blue = calculated values</t>
  </si>
  <si>
    <r>
      <t>L</t>
    </r>
    <r>
      <rPr>
        <b/>
        <vertAlign val="subscript"/>
        <sz val="10"/>
        <rFont val="Tahoma"/>
        <family val="2"/>
      </rPr>
      <t>N</t>
    </r>
  </si>
  <si>
    <t>Initial NBOD (mg/L)</t>
  </si>
  <si>
    <t>initial CBOD (mg/L)</t>
  </si>
  <si>
    <t>Deficit Equation</t>
  </si>
  <si>
    <t xml:space="preserve">Remaining </t>
  </si>
  <si>
    <t>NBOD</t>
  </si>
  <si>
    <t>CBOD</t>
  </si>
  <si>
    <t>Theta NBOD</t>
  </si>
  <si>
    <t>Width (ft)</t>
  </si>
  <si>
    <t>DO Saturation Calculation</t>
  </si>
  <si>
    <t>Salinity</t>
  </si>
  <si>
    <t>Elevation</t>
  </si>
  <si>
    <t>DO 100% sat</t>
  </si>
  <si>
    <t>Deg C</t>
  </si>
  <si>
    <t>ppt</t>
  </si>
  <si>
    <t>ft</t>
  </si>
  <si>
    <t>mg/L</t>
  </si>
  <si>
    <t>Qe</t>
  </si>
  <si>
    <t>d(km)</t>
  </si>
  <si>
    <t>t(day)</t>
  </si>
  <si>
    <t>D</t>
  </si>
  <si>
    <t>No</t>
  </si>
  <si>
    <t>Qr</t>
  </si>
  <si>
    <t>Cai</t>
  </si>
  <si>
    <t>Coa</t>
  </si>
  <si>
    <t>Cin</t>
  </si>
  <si>
    <t>Do</t>
  </si>
  <si>
    <t>Total</t>
  </si>
  <si>
    <t>a</t>
  </si>
  <si>
    <t>b</t>
  </si>
  <si>
    <t>c</t>
  </si>
  <si>
    <t>TKN</t>
  </si>
  <si>
    <t>TKN (mg/L)</t>
  </si>
  <si>
    <r>
      <t>K</t>
    </r>
    <r>
      <rPr>
        <b/>
        <vertAlign val="subscript"/>
        <sz val="10"/>
        <rFont val="Tahoma"/>
        <family val="2"/>
      </rPr>
      <t>ai</t>
    </r>
  </si>
  <si>
    <r>
      <t>K</t>
    </r>
    <r>
      <rPr>
        <b/>
        <vertAlign val="subscript"/>
        <sz val="10"/>
        <rFont val="Tahoma"/>
        <family val="2"/>
      </rPr>
      <t>oa</t>
    </r>
  </si>
  <si>
    <r>
      <t>K</t>
    </r>
    <r>
      <rPr>
        <b/>
        <vertAlign val="subscript"/>
        <sz val="10"/>
        <rFont val="Tahoma"/>
        <family val="2"/>
      </rPr>
      <t>in</t>
    </r>
  </si>
  <si>
    <r>
      <t>r</t>
    </r>
    <r>
      <rPr>
        <vertAlign val="subscript"/>
        <sz val="10"/>
        <rFont val="Tahoma"/>
        <family val="2"/>
      </rPr>
      <t>oi</t>
    </r>
  </si>
  <si>
    <r>
      <t>r</t>
    </r>
    <r>
      <rPr>
        <vertAlign val="subscript"/>
        <sz val="10"/>
        <rFont val="Tahoma"/>
        <family val="2"/>
      </rPr>
      <t>oa</t>
    </r>
  </si>
  <si>
    <t>na</t>
  </si>
  <si>
    <t>UBODe (mg/L)</t>
  </si>
  <si>
    <t>UBODr (mg/L)</t>
  </si>
  <si>
    <r>
      <t>UBOD</t>
    </r>
    <r>
      <rPr>
        <b/>
        <vertAlign val="subscript"/>
        <sz val="10"/>
        <rFont val="Tahoma"/>
        <family val="2"/>
      </rPr>
      <t>m</t>
    </r>
    <r>
      <rPr>
        <b/>
        <sz val="10"/>
        <rFont val="Tahoma"/>
        <family val="2"/>
      </rPr>
      <t xml:space="preserve"> (L</t>
    </r>
    <r>
      <rPr>
        <b/>
        <vertAlign val="subscript"/>
        <sz val="10"/>
        <rFont val="Tahoma"/>
        <family val="2"/>
      </rPr>
      <t>o</t>
    </r>
    <r>
      <rPr>
        <b/>
        <sz val="10"/>
        <rFont val="Tahoma"/>
        <family val="2"/>
      </rPr>
      <t>)</t>
    </r>
  </si>
  <si>
    <r>
      <t>NH3</t>
    </r>
    <r>
      <rPr>
        <b/>
        <vertAlign val="subscript"/>
        <sz val="10"/>
        <rFont val="Tahoma"/>
        <family val="2"/>
      </rPr>
      <t>m</t>
    </r>
  </si>
  <si>
    <r>
      <t>Norg</t>
    </r>
    <r>
      <rPr>
        <b/>
        <vertAlign val="subscript"/>
        <sz val="10"/>
        <rFont val="Tahoma"/>
        <family val="2"/>
      </rPr>
      <t>m</t>
    </r>
  </si>
  <si>
    <t>Organic N</t>
  </si>
  <si>
    <t>NH3-N</t>
  </si>
  <si>
    <t>Nitrite</t>
  </si>
  <si>
    <t>Nitrate</t>
  </si>
  <si>
    <t>River Only</t>
  </si>
  <si>
    <t>River+Source</t>
  </si>
  <si>
    <t>DO Deficit</t>
  </si>
  <si>
    <r>
      <t>NH</t>
    </r>
    <r>
      <rPr>
        <vertAlign val="subscript"/>
        <sz val="10"/>
        <rFont val="Tahoma"/>
        <family val="2"/>
      </rPr>
      <t>3</t>
    </r>
    <r>
      <rPr>
        <sz val="10"/>
        <rFont val="Tahoma"/>
        <family val="2"/>
      </rPr>
      <t xml:space="preserve"> to NO</t>
    </r>
    <r>
      <rPr>
        <vertAlign val="subscript"/>
        <sz val="10"/>
        <rFont val="Tahoma"/>
        <family val="2"/>
      </rPr>
      <t xml:space="preserve">2 </t>
    </r>
    <r>
      <rPr>
        <sz val="10"/>
        <rFont val="Tahoma"/>
        <family val="2"/>
      </rPr>
      <t>conversion rate (/day)</t>
    </r>
  </si>
  <si>
    <r>
      <t>NO</t>
    </r>
    <r>
      <rPr>
        <vertAlign val="subscript"/>
        <sz val="10"/>
        <rFont val="Tahoma"/>
        <family val="2"/>
      </rPr>
      <t>2</t>
    </r>
    <r>
      <rPr>
        <sz val="10"/>
        <rFont val="Tahoma"/>
        <family val="2"/>
      </rPr>
      <t xml:space="preserve"> to NO</t>
    </r>
    <r>
      <rPr>
        <vertAlign val="subscript"/>
        <sz val="10"/>
        <rFont val="Tahoma"/>
        <family val="2"/>
      </rPr>
      <t>3</t>
    </r>
    <r>
      <rPr>
        <sz val="10"/>
        <rFont val="Tahoma"/>
        <family val="2"/>
      </rPr>
      <t xml:space="preserve"> conversion rate (/day)</t>
    </r>
  </si>
  <si>
    <r>
      <t>Organic to NH</t>
    </r>
    <r>
      <rPr>
        <vertAlign val="subscript"/>
        <sz val="10"/>
        <rFont val="Tahoma"/>
        <family val="2"/>
      </rPr>
      <t>3</t>
    </r>
    <r>
      <rPr>
        <sz val="10"/>
        <rFont val="Tahoma"/>
        <family val="2"/>
      </rPr>
      <t xml:space="preserve"> conversion rate (/day)</t>
    </r>
  </si>
  <si>
    <r>
      <t>K</t>
    </r>
    <r>
      <rPr>
        <vertAlign val="subscript"/>
        <sz val="10"/>
        <rFont val="Tahoma"/>
        <family val="2"/>
      </rPr>
      <t>d</t>
    </r>
    <r>
      <rPr>
        <sz val="10"/>
        <rFont val="Tahoma"/>
        <family val="2"/>
      </rPr>
      <t>+K</t>
    </r>
    <r>
      <rPr>
        <vertAlign val="subscript"/>
        <sz val="10"/>
        <rFont val="Tahoma"/>
        <family val="2"/>
      </rPr>
      <t>s</t>
    </r>
    <r>
      <rPr>
        <sz val="10"/>
        <rFont val="Tahoma"/>
        <family val="2"/>
      </rPr>
      <t xml:space="preserve"> (/day)</t>
    </r>
  </si>
  <si>
    <t>Total Kjeldahl Nitrogen (mg/L)</t>
  </si>
  <si>
    <t>Note:</t>
  </si>
  <si>
    <t>Temperature (degrees C)</t>
  </si>
  <si>
    <t>Dissolved Oxygen (mg/L)</t>
  </si>
  <si>
    <r>
      <t>CBOD</t>
    </r>
    <r>
      <rPr>
        <b/>
        <vertAlign val="subscript"/>
        <sz val="10"/>
        <rFont val="Tahoma"/>
        <family val="2"/>
      </rPr>
      <t>5</t>
    </r>
    <r>
      <rPr>
        <b/>
        <sz val="10"/>
        <rFont val="Tahoma"/>
        <family val="2"/>
      </rPr>
      <t>(mg/L)</t>
    </r>
  </si>
  <si>
    <t>CBOD5</t>
  </si>
  <si>
    <t>5-day CBOD (mg/L)</t>
  </si>
  <si>
    <r>
      <t>NH</t>
    </r>
    <r>
      <rPr>
        <b/>
        <vertAlign val="subscript"/>
        <sz val="10"/>
        <rFont val="Tahoma"/>
        <family val="2"/>
      </rPr>
      <t>3</t>
    </r>
    <r>
      <rPr>
        <b/>
        <sz val="10"/>
        <rFont val="Tahoma"/>
        <family val="2"/>
      </rPr>
      <t>-N</t>
    </r>
  </si>
  <si>
    <t>ammonia as N (mg/L)</t>
  </si>
  <si>
    <t>effluent flow (mgd)</t>
  </si>
  <si>
    <t>ambient flow (cfs)</t>
  </si>
  <si>
    <r>
      <t>Q</t>
    </r>
    <r>
      <rPr>
        <b/>
        <vertAlign val="subscript"/>
        <sz val="10"/>
        <rFont val="Tahoma"/>
        <family val="2"/>
      </rPr>
      <t>e</t>
    </r>
    <r>
      <rPr>
        <b/>
        <sz val="10"/>
        <rFont val="Tahoma"/>
        <family val="2"/>
      </rPr>
      <t xml:space="preserve"> (mgd)</t>
    </r>
  </si>
  <si>
    <t>Qr (cfs)</t>
  </si>
  <si>
    <t>CBOD reaction rate (bottle rate /day)</t>
  </si>
  <si>
    <t>Depth</t>
  </si>
  <si>
    <t>Average stream depth (ft)</t>
  </si>
  <si>
    <t>Width</t>
  </si>
  <si>
    <t>Average stream width (ft)</t>
  </si>
  <si>
    <r>
      <t>Sediment Oxygen Demand g O</t>
    </r>
    <r>
      <rPr>
        <vertAlign val="subscript"/>
        <sz val="10"/>
        <rFont val="Tahoma"/>
        <family val="2"/>
      </rPr>
      <t>2</t>
    </r>
    <r>
      <rPr>
        <sz val="10"/>
        <rFont val="Tahoma"/>
        <family val="2"/>
      </rPr>
      <t>/m</t>
    </r>
    <r>
      <rPr>
        <vertAlign val="superscript"/>
        <sz val="10"/>
        <rFont val="Tahoma"/>
        <family val="2"/>
      </rPr>
      <t>2</t>
    </r>
    <r>
      <rPr>
        <sz val="10"/>
        <rFont val="Tahoma"/>
        <family val="2"/>
      </rPr>
      <t xml:space="preserve"> day</t>
    </r>
  </si>
  <si>
    <t>Ultimate effluent CBOD (mg/L)</t>
  </si>
  <si>
    <t>Ultimate river CBOD (mg/L)</t>
  </si>
  <si>
    <t>Ultimate CBOD mixed (mg/L)</t>
  </si>
  <si>
    <t>Ammonia mixed (mg/L)</t>
  </si>
  <si>
    <t>Temperature mixed (deg C)</t>
  </si>
  <si>
    <t>Organic nitrogen mixed (mg/L)</t>
  </si>
  <si>
    <t>DO saturation mixed (mg/L)</t>
  </si>
  <si>
    <r>
      <t>DO</t>
    </r>
    <r>
      <rPr>
        <b/>
        <vertAlign val="subscript"/>
        <sz val="10"/>
        <rFont val="Tahoma"/>
        <family val="2"/>
      </rPr>
      <t xml:space="preserve">sat </t>
    </r>
    <r>
      <rPr>
        <b/>
        <sz val="10"/>
        <rFont val="Tahoma"/>
        <family val="2"/>
      </rPr>
      <t>mix</t>
    </r>
  </si>
  <si>
    <r>
      <t>CBOD</t>
    </r>
    <r>
      <rPr>
        <b/>
        <vertAlign val="subscript"/>
        <sz val="10"/>
        <rFont val="Tahoma"/>
        <family val="2"/>
      </rPr>
      <t>5</t>
    </r>
  </si>
  <si>
    <r>
      <t>K</t>
    </r>
    <r>
      <rPr>
        <b/>
        <vertAlign val="subscript"/>
        <sz val="12"/>
        <rFont val="Tahoma"/>
        <family val="2"/>
      </rPr>
      <t>d</t>
    </r>
    <r>
      <rPr>
        <b/>
        <sz val="12"/>
        <rFont val="Tahoma"/>
        <family val="2"/>
      </rPr>
      <t xml:space="preserve"> Equations</t>
    </r>
  </si>
  <si>
    <r>
      <t>K</t>
    </r>
    <r>
      <rPr>
        <b/>
        <vertAlign val="subscript"/>
        <sz val="10"/>
        <rFont val="Tahoma"/>
        <family val="2"/>
      </rPr>
      <t>d</t>
    </r>
    <r>
      <rPr>
        <b/>
        <sz val="10"/>
        <rFont val="Tahoma"/>
        <family val="2"/>
      </rPr>
      <t xml:space="preserve"> (10.3Q</t>
    </r>
    <r>
      <rPr>
        <b/>
        <vertAlign val="superscript"/>
        <sz val="10"/>
        <rFont val="Tahoma"/>
        <family val="2"/>
      </rPr>
      <t>-.49</t>
    </r>
    <r>
      <rPr>
        <b/>
        <sz val="10"/>
        <rFont val="Tahoma"/>
        <family val="2"/>
      </rPr>
      <t>)</t>
    </r>
  </si>
  <si>
    <r>
      <t>K</t>
    </r>
    <r>
      <rPr>
        <b/>
        <vertAlign val="subscript"/>
        <sz val="10"/>
        <rFont val="Tahoma"/>
        <family val="2"/>
      </rPr>
      <t>d</t>
    </r>
    <r>
      <rPr>
        <b/>
        <sz val="10"/>
        <rFont val="Tahoma"/>
        <family val="2"/>
      </rPr>
      <t xml:space="preserve"> (39.6Q</t>
    </r>
    <r>
      <rPr>
        <b/>
        <vertAlign val="superscript"/>
        <sz val="10"/>
        <rFont val="Tahoma"/>
        <family val="2"/>
      </rPr>
      <t>-.84</t>
    </r>
    <r>
      <rPr>
        <b/>
        <sz val="10"/>
        <rFont val="Tahoma"/>
        <family val="2"/>
      </rPr>
      <t>)</t>
    </r>
  </si>
  <si>
    <t>Streeter-Phelps Dissolved Oxygen Model:  Effects on Ambient Condition</t>
  </si>
  <si>
    <t xml:space="preserve"> No Data Entry is Required on this Sheet</t>
  </si>
  <si>
    <t>State of Oregon Department of Environmental 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</si>
</sst>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0000"/>
    <numFmt numFmtId="165" formatCode="0.0000"/>
    <numFmt numFmtId="166" formatCode="0.000"/>
    <numFmt numFmtId="167" formatCode="0.0"/>
  </numFmts>
  <fonts count="31" x14ac:knownFonts="1">
    <font>
      <sz val="10"/>
      <name val="Times New Roman"/>
    </font>
    <font>
      <sz val="10"/>
      <name val="Times New Roman"/>
    </font>
    <font>
      <b/>
      <sz val="14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indexed="12"/>
      <name val="Tahoma"/>
      <family val="2"/>
    </font>
    <font>
      <b/>
      <vertAlign val="subscript"/>
      <sz val="1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0"/>
      <color indexed="12"/>
      <name val="Tahoma"/>
      <family val="2"/>
    </font>
    <font>
      <vertAlign val="superscript"/>
      <sz val="10"/>
      <name val="Tahoma"/>
      <family val="2"/>
    </font>
    <font>
      <vertAlign val="subscript"/>
      <sz val="10"/>
      <name val="Tahoma"/>
      <family val="2"/>
    </font>
    <font>
      <sz val="8"/>
      <color indexed="81"/>
      <name val="Tahoma"/>
    </font>
    <font>
      <b/>
      <sz val="8"/>
      <color indexed="81"/>
      <name val="Tahoma"/>
    </font>
    <font>
      <sz val="7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Times New Roman"/>
    </font>
    <font>
      <sz val="10"/>
      <color indexed="12"/>
      <name val="Times New Roman"/>
    </font>
    <font>
      <sz val="10"/>
      <name val="Arial"/>
      <family val="2"/>
    </font>
    <font>
      <b/>
      <sz val="8"/>
      <name val="Tahoma"/>
      <family val="2"/>
    </font>
    <font>
      <sz val="8"/>
      <color indexed="81"/>
      <name val="Tahoma"/>
      <family val="2"/>
    </font>
    <font>
      <b/>
      <vertAlign val="superscript"/>
      <sz val="10"/>
      <name val="Tahoma"/>
      <family val="2"/>
    </font>
    <font>
      <b/>
      <vertAlign val="subscript"/>
      <sz val="12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7">
    <xf numFmtId="0" fontId="0" fillId="0" borderId="0" xfId="0"/>
    <xf numFmtId="0" fontId="4" fillId="0" borderId="0" xfId="0" applyFont="1"/>
    <xf numFmtId="165" fontId="4" fillId="0" borderId="0" xfId="0" applyNumberFormat="1" applyFont="1"/>
    <xf numFmtId="0" fontId="3" fillId="0" borderId="0" xfId="0" applyNumberFormat="1" applyFont="1" applyBorder="1"/>
    <xf numFmtId="2" fontId="5" fillId="0" borderId="0" xfId="0" applyNumberFormat="1" applyFont="1" applyBorder="1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8" fillId="0" borderId="0" xfId="0" applyNumberFormat="1" applyFont="1" applyProtection="1"/>
    <xf numFmtId="0" fontId="7" fillId="2" borderId="1" xfId="0" applyNumberFormat="1" applyFont="1" applyFill="1" applyBorder="1" applyAlignment="1" applyProtection="1">
      <alignment horizontal="center"/>
    </xf>
    <xf numFmtId="0" fontId="7" fillId="2" borderId="2" xfId="0" applyNumberFormat="1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8" fillId="0" borderId="0" xfId="0" applyFont="1" applyProtection="1"/>
    <xf numFmtId="167" fontId="5" fillId="0" borderId="4" xfId="0" applyNumberFormat="1" applyFont="1" applyBorder="1" applyProtection="1"/>
    <xf numFmtId="0" fontId="4" fillId="0" borderId="0" xfId="0" applyNumberFormat="1" applyFont="1" applyProtection="1"/>
    <xf numFmtId="2" fontId="5" fillId="0" borderId="5" xfId="0" applyNumberFormat="1" applyFont="1" applyBorder="1" applyProtection="1"/>
    <xf numFmtId="165" fontId="4" fillId="0" borderId="0" xfId="0" applyNumberFormat="1" applyFont="1" applyProtection="1"/>
    <xf numFmtId="166" fontId="5" fillId="0" borderId="4" xfId="0" applyNumberFormat="1" applyFont="1" applyBorder="1" applyProtection="1"/>
    <xf numFmtId="2" fontId="5" fillId="0" borderId="4" xfId="0" applyNumberFormat="1" applyFont="1" applyBorder="1" applyProtection="1"/>
    <xf numFmtId="0" fontId="4" fillId="2" borderId="3" xfId="0" applyFont="1" applyFill="1" applyBorder="1" applyProtection="1"/>
    <xf numFmtId="0" fontId="4" fillId="0" borderId="7" xfId="0" applyFont="1" applyBorder="1" applyProtection="1"/>
    <xf numFmtId="2" fontId="5" fillId="0" borderId="6" xfId="0" applyNumberFormat="1" applyFont="1" applyBorder="1" applyProtection="1"/>
    <xf numFmtId="0" fontId="4" fillId="0" borderId="5" xfId="0" applyFont="1" applyBorder="1" applyProtection="1"/>
    <xf numFmtId="0" fontId="3" fillId="0" borderId="0" xfId="0" applyNumberFormat="1" applyFont="1" applyBorder="1" applyProtection="1"/>
    <xf numFmtId="167" fontId="5" fillId="0" borderId="0" xfId="0" applyNumberFormat="1" applyFont="1" applyBorder="1" applyProtection="1"/>
    <xf numFmtId="2" fontId="5" fillId="0" borderId="0" xfId="0" applyNumberFormat="1" applyFont="1" applyBorder="1" applyProtection="1"/>
    <xf numFmtId="0" fontId="4" fillId="0" borderId="6" xfId="0" applyFont="1" applyBorder="1" applyProtection="1"/>
    <xf numFmtId="0" fontId="4" fillId="0" borderId="4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166" fontId="4" fillId="0" borderId="4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3" fillId="0" borderId="9" xfId="0" applyFont="1" applyFill="1" applyBorder="1" applyAlignment="1" applyProtection="1">
      <alignment horizontal="left"/>
      <protection locked="0"/>
    </xf>
    <xf numFmtId="0" fontId="3" fillId="0" borderId="10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0" xfId="0" applyFont="1" applyAlignment="1" applyProtection="1">
      <alignment horizontal="center"/>
    </xf>
    <xf numFmtId="166" fontId="5" fillId="0" borderId="5" xfId="0" applyNumberFormat="1" applyFont="1" applyBorder="1" applyProtection="1"/>
    <xf numFmtId="166" fontId="5" fillId="0" borderId="6" xfId="0" applyNumberFormat="1" applyFont="1" applyBorder="1" applyProtection="1"/>
    <xf numFmtId="0" fontId="3" fillId="0" borderId="12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7" fillId="2" borderId="14" xfId="0" applyFont="1" applyFill="1" applyBorder="1" applyAlignment="1" applyProtection="1">
      <alignment horizontal="centerContinuous"/>
      <protection locked="0"/>
    </xf>
    <xf numFmtId="0" fontId="8" fillId="2" borderId="15" xfId="0" applyFont="1" applyFill="1" applyBorder="1" applyAlignment="1" applyProtection="1">
      <alignment horizontal="centerContinuous"/>
    </xf>
    <xf numFmtId="0" fontId="8" fillId="2" borderId="16" xfId="0" applyFont="1" applyFill="1" applyBorder="1" applyAlignment="1" applyProtection="1">
      <alignment horizontal="centerContinuous"/>
    </xf>
    <xf numFmtId="167" fontId="5" fillId="0" borderId="13" xfId="0" applyNumberFormat="1" applyFont="1" applyBorder="1" applyProtection="1"/>
    <xf numFmtId="0" fontId="8" fillId="2" borderId="16" xfId="0" applyNumberFormat="1" applyFont="1" applyFill="1" applyBorder="1" applyAlignment="1" applyProtection="1">
      <alignment horizontal="centerContinuous"/>
    </xf>
    <xf numFmtId="166" fontId="4" fillId="0" borderId="0" xfId="0" applyNumberFormat="1" applyFont="1" applyBorder="1" applyProtection="1"/>
    <xf numFmtId="167" fontId="5" fillId="0" borderId="7" xfId="0" applyNumberFormat="1" applyFont="1" applyBorder="1" applyProtection="1"/>
    <xf numFmtId="0" fontId="4" fillId="0" borderId="5" xfId="0" applyNumberFormat="1" applyFont="1" applyBorder="1" applyProtection="1"/>
    <xf numFmtId="2" fontId="4" fillId="0" borderId="5" xfId="0" applyNumberFormat="1" applyFont="1" applyBorder="1" applyProtection="1"/>
    <xf numFmtId="0" fontId="4" fillId="0" borderId="6" xfId="0" applyNumberFormat="1" applyFont="1" applyBorder="1" applyProtection="1"/>
    <xf numFmtId="0" fontId="4" fillId="0" borderId="17" xfId="0" applyFont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4" fillId="0" borderId="18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3" fillId="0" borderId="12" xfId="1" applyNumberFormat="1" applyFont="1" applyFill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22" xfId="0" applyFont="1" applyBorder="1" applyProtection="1">
      <protection locked="0"/>
    </xf>
    <xf numFmtId="0" fontId="7" fillId="2" borderId="23" xfId="0" applyFont="1" applyFill="1" applyBorder="1" applyProtection="1">
      <protection locked="0"/>
    </xf>
    <xf numFmtId="0" fontId="8" fillId="2" borderId="24" xfId="0" applyFont="1" applyFill="1" applyBorder="1" applyProtection="1">
      <protection locked="0"/>
    </xf>
    <xf numFmtId="0" fontId="4" fillId="2" borderId="25" xfId="0" applyFont="1" applyFill="1" applyBorder="1" applyProtection="1">
      <protection locked="0"/>
    </xf>
    <xf numFmtId="0" fontId="7" fillId="2" borderId="26" xfId="0" applyNumberFormat="1" applyFont="1" applyFill="1" applyBorder="1" applyAlignment="1" applyProtection="1">
      <alignment horizontal="center"/>
    </xf>
    <xf numFmtId="0" fontId="4" fillId="0" borderId="14" xfId="0" applyFont="1" applyBorder="1"/>
    <xf numFmtId="0" fontId="3" fillId="0" borderId="9" xfId="0" quotePrefix="1" applyFont="1" applyBorder="1" applyAlignment="1" applyProtection="1">
      <alignment horizontal="left"/>
      <protection locked="0"/>
    </xf>
    <xf numFmtId="0" fontId="4" fillId="0" borderId="16" xfId="0" applyFont="1" applyBorder="1" applyProtection="1">
      <protection locked="0"/>
    </xf>
    <xf numFmtId="0" fontId="3" fillId="3" borderId="27" xfId="0" applyFont="1" applyFill="1" applyBorder="1" applyProtection="1">
      <protection locked="0"/>
    </xf>
    <xf numFmtId="0" fontId="3" fillId="3" borderId="2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3" fillId="3" borderId="28" xfId="0" quotePrefix="1" applyFont="1" applyFill="1" applyBorder="1" applyAlignment="1" applyProtection="1">
      <alignment horizontal="left"/>
      <protection locked="0"/>
    </xf>
    <xf numFmtId="0" fontId="9" fillId="3" borderId="29" xfId="0" quotePrefix="1" applyFont="1" applyFill="1" applyBorder="1" applyAlignment="1" applyProtection="1">
      <alignment horizontal="left"/>
      <protection locked="0"/>
    </xf>
    <xf numFmtId="0" fontId="3" fillId="0" borderId="0" xfId="0" applyFont="1" applyFill="1" applyBorder="1" applyProtection="1">
      <protection locked="0"/>
    </xf>
    <xf numFmtId="0" fontId="3" fillId="0" borderId="10" xfId="0" applyFont="1" applyBorder="1" applyProtection="1"/>
    <xf numFmtId="0" fontId="3" fillId="0" borderId="9" xfId="0" quotePrefix="1" applyFont="1" applyFill="1" applyBorder="1" applyAlignment="1" applyProtection="1">
      <alignment horizontal="left"/>
      <protection locked="0"/>
    </xf>
    <xf numFmtId="0" fontId="4" fillId="0" borderId="11" xfId="0" quotePrefix="1" applyFont="1" applyBorder="1" applyAlignment="1" applyProtection="1">
      <alignment horizontal="left"/>
      <protection locked="0"/>
    </xf>
    <xf numFmtId="0" fontId="16" fillId="0" borderId="0" xfId="0" applyFont="1"/>
    <xf numFmtId="2" fontId="5" fillId="0" borderId="9" xfId="0" applyNumberFormat="1" applyFont="1" applyBorder="1" applyProtection="1"/>
    <xf numFmtId="2" fontId="5" fillId="0" borderId="10" xfId="0" applyNumberFormat="1" applyFont="1" applyBorder="1" applyProtection="1"/>
    <xf numFmtId="0" fontId="7" fillId="2" borderId="30" xfId="0" applyFont="1" applyFill="1" applyBorder="1" applyProtection="1">
      <protection locked="0"/>
    </xf>
    <xf numFmtId="0" fontId="4" fillId="2" borderId="31" xfId="0" applyFont="1" applyFill="1" applyBorder="1" applyProtection="1"/>
    <xf numFmtId="0" fontId="4" fillId="2" borderId="32" xfId="0" applyFont="1" applyFill="1" applyBorder="1" applyProtection="1"/>
    <xf numFmtId="0" fontId="3" fillId="0" borderId="1" xfId="0" applyFont="1" applyFill="1" applyBorder="1" applyAlignment="1" applyProtection="1">
      <alignment horizontal="left"/>
      <protection locked="0"/>
    </xf>
    <xf numFmtId="0" fontId="4" fillId="0" borderId="3" xfId="0" applyFont="1" applyBorder="1" applyProtection="1"/>
    <xf numFmtId="2" fontId="5" fillId="0" borderId="8" xfId="0" applyNumberFormat="1" applyFont="1" applyBorder="1" applyProtection="1"/>
    <xf numFmtId="0" fontId="17" fillId="0" borderId="0" xfId="0" applyFont="1"/>
    <xf numFmtId="0" fontId="18" fillId="4" borderId="1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8" fillId="4" borderId="33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center"/>
    </xf>
    <xf numFmtId="0" fontId="18" fillId="4" borderId="18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9" fillId="0" borderId="34" xfId="0" applyFont="1" applyBorder="1"/>
    <xf numFmtId="0" fontId="19" fillId="0" borderId="35" xfId="0" applyFont="1" applyBorder="1"/>
    <xf numFmtId="0" fontId="19" fillId="0" borderId="36" xfId="0" applyFont="1" applyBorder="1"/>
    <xf numFmtId="2" fontId="0" fillId="0" borderId="37" xfId="0" applyNumberFormat="1" applyBorder="1"/>
    <xf numFmtId="0" fontId="18" fillId="0" borderId="0" xfId="0" applyFont="1" applyFill="1" applyBorder="1"/>
    <xf numFmtId="0" fontId="19" fillId="0" borderId="0" xfId="0" applyFont="1" applyFill="1" applyBorder="1"/>
    <xf numFmtId="2" fontId="0" fillId="0" borderId="0" xfId="0" applyNumberFormat="1" applyFill="1" applyBorder="1"/>
    <xf numFmtId="0" fontId="0" fillId="0" borderId="0" xfId="0" applyBorder="1"/>
    <xf numFmtId="0" fontId="20" fillId="0" borderId="0" xfId="0" applyFont="1" applyFill="1" applyBorder="1"/>
    <xf numFmtId="0" fontId="0" fillId="0" borderId="0" xfId="0" applyFill="1" applyBorder="1"/>
    <xf numFmtId="0" fontId="18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1" fontId="0" fillId="0" borderId="0" xfId="0" applyNumberFormat="1" applyFill="1" applyBorder="1" applyAlignment="1">
      <alignment horizontal="center"/>
    </xf>
    <xf numFmtId="2" fontId="9" fillId="0" borderId="9" xfId="0" applyNumberFormat="1" applyFont="1" applyBorder="1" applyProtection="1"/>
    <xf numFmtId="2" fontId="9" fillId="0" borderId="38" xfId="0" applyNumberFormat="1" applyFont="1" applyBorder="1" applyProtection="1"/>
    <xf numFmtId="2" fontId="9" fillId="0" borderId="10" xfId="0" applyNumberFormat="1" applyFont="1" applyBorder="1" applyProtection="1"/>
    <xf numFmtId="2" fontId="23" fillId="0" borderId="39" xfId="0" applyNumberFormat="1" applyFont="1" applyBorder="1"/>
    <xf numFmtId="167" fontId="9" fillId="0" borderId="0" xfId="0" applyNumberFormat="1" applyFont="1" applyBorder="1" applyProtection="1"/>
    <xf numFmtId="9" fontId="9" fillId="0" borderId="0" xfId="2" applyFont="1" applyBorder="1"/>
    <xf numFmtId="9" fontId="9" fillId="0" borderId="0" xfId="2" applyNumberFormat="1" applyFont="1" applyBorder="1"/>
    <xf numFmtId="0" fontId="7" fillId="2" borderId="24" xfId="0" applyFont="1" applyFill="1" applyBorder="1" applyAlignment="1" applyProtection="1">
      <alignment horizontal="center"/>
    </xf>
    <xf numFmtId="0" fontId="7" fillId="2" borderId="25" xfId="0" applyFont="1" applyFill="1" applyBorder="1" applyAlignment="1" applyProtection="1">
      <alignment horizontal="center"/>
    </xf>
    <xf numFmtId="1" fontId="0" fillId="0" borderId="0" xfId="0" applyNumberFormat="1"/>
    <xf numFmtId="166" fontId="0" fillId="0" borderId="0" xfId="0" applyNumberFormat="1"/>
    <xf numFmtId="2" fontId="0" fillId="0" borderId="0" xfId="0" applyNumberFormat="1"/>
    <xf numFmtId="0" fontId="3" fillId="0" borderId="9" xfId="0" applyFont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7" fillId="2" borderId="23" xfId="0" applyFont="1" applyFill="1" applyBorder="1" applyAlignment="1" applyProtection="1"/>
    <xf numFmtId="0" fontId="7" fillId="2" borderId="24" xfId="0" applyFont="1" applyFill="1" applyBorder="1" applyAlignment="1" applyProtection="1"/>
    <xf numFmtId="2" fontId="4" fillId="0" borderId="4" xfId="0" applyNumberFormat="1" applyFont="1" applyBorder="1" applyProtection="1">
      <protection locked="0"/>
    </xf>
    <xf numFmtId="0" fontId="4" fillId="0" borderId="40" xfId="0" applyFont="1" applyBorder="1"/>
    <xf numFmtId="0" fontId="3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2" fontId="4" fillId="0" borderId="8" xfId="0" applyNumberFormat="1" applyFont="1" applyBorder="1" applyProtection="1">
      <protection locked="0"/>
    </xf>
    <xf numFmtId="165" fontId="5" fillId="0" borderId="6" xfId="0" applyNumberFormat="1" applyFont="1" applyBorder="1" applyProtection="1"/>
    <xf numFmtId="0" fontId="5" fillId="0" borderId="3" xfId="0" applyFont="1" applyBorder="1"/>
    <xf numFmtId="0" fontId="5" fillId="0" borderId="5" xfId="0" applyFont="1" applyBorder="1"/>
    <xf numFmtId="0" fontId="23" fillId="0" borderId="5" xfId="0" applyFont="1" applyBorder="1"/>
    <xf numFmtId="0" fontId="23" fillId="0" borderId="6" xfId="0" applyFont="1" applyBorder="1"/>
    <xf numFmtId="2" fontId="9" fillId="0" borderId="8" xfId="0" applyNumberFormat="1" applyFont="1" applyBorder="1" applyProtection="1"/>
    <xf numFmtId="0" fontId="15" fillId="2" borderId="4" xfId="0" applyFont="1" applyFill="1" applyBorder="1" applyAlignment="1" applyProtection="1">
      <alignment horizontal="center"/>
    </xf>
    <xf numFmtId="0" fontId="15" fillId="2" borderId="41" xfId="0" quotePrefix="1" applyFont="1" applyFill="1" applyBorder="1" applyAlignment="1" applyProtection="1">
      <alignment horizontal="center"/>
    </xf>
    <xf numFmtId="2" fontId="5" fillId="0" borderId="1" xfId="0" applyNumberFormat="1" applyFont="1" applyBorder="1" applyProtection="1"/>
    <xf numFmtId="0" fontId="15" fillId="2" borderId="5" xfId="0" applyFont="1" applyFill="1" applyBorder="1" applyAlignment="1" applyProtection="1">
      <alignment horizontal="center"/>
    </xf>
    <xf numFmtId="166" fontId="23" fillId="0" borderId="2" xfId="0" applyNumberFormat="1" applyFont="1" applyBorder="1"/>
    <xf numFmtId="2" fontId="23" fillId="0" borderId="2" xfId="0" applyNumberFormat="1" applyFont="1" applyBorder="1"/>
    <xf numFmtId="166" fontId="23" fillId="0" borderId="4" xfId="0" applyNumberFormat="1" applyFont="1" applyBorder="1"/>
    <xf numFmtId="2" fontId="23" fillId="0" borderId="4" xfId="0" applyNumberFormat="1" applyFont="1" applyBorder="1"/>
    <xf numFmtId="2" fontId="23" fillId="0" borderId="5" xfId="0" applyNumberFormat="1" applyFont="1" applyBorder="1"/>
    <xf numFmtId="166" fontId="23" fillId="0" borderId="8" xfId="0" applyNumberFormat="1" applyFont="1" applyBorder="1"/>
    <xf numFmtId="2" fontId="23" fillId="0" borderId="8" xfId="0" applyNumberFormat="1" applyFont="1" applyBorder="1"/>
    <xf numFmtId="2" fontId="23" fillId="0" borderId="6" xfId="0" applyNumberFormat="1" applyFont="1" applyBorder="1"/>
    <xf numFmtId="2" fontId="5" fillId="0" borderId="42" xfId="0" applyNumberFormat="1" applyFont="1" applyBorder="1" applyProtection="1"/>
    <xf numFmtId="0" fontId="7" fillId="2" borderId="33" xfId="0" applyNumberFormat="1" applyFont="1" applyFill="1" applyBorder="1" applyAlignment="1" applyProtection="1">
      <alignment horizontal="center"/>
    </xf>
    <xf numFmtId="0" fontId="3" fillId="2" borderId="34" xfId="0" applyNumberFormat="1" applyFont="1" applyFill="1" applyBorder="1" applyAlignment="1" applyProtection="1">
      <alignment horizontal="center"/>
    </xf>
    <xf numFmtId="0" fontId="3" fillId="2" borderId="43" xfId="0" applyNumberFormat="1" applyFont="1" applyFill="1" applyBorder="1" applyAlignment="1" applyProtection="1">
      <alignment horizontal="center"/>
    </xf>
    <xf numFmtId="0" fontId="3" fillId="2" borderId="44" xfId="0" applyNumberFormat="1" applyFont="1" applyFill="1" applyBorder="1" applyAlignment="1" applyProtection="1">
      <alignment horizontal="center"/>
    </xf>
    <xf numFmtId="0" fontId="3" fillId="2" borderId="36" xfId="0" applyNumberFormat="1" applyFont="1" applyFill="1" applyBorder="1" applyAlignment="1" applyProtection="1">
      <alignment horizontal="center"/>
    </xf>
    <xf numFmtId="0" fontId="3" fillId="2" borderId="37" xfId="0" applyFont="1" applyFill="1" applyBorder="1" applyAlignment="1" applyProtection="1">
      <alignment horizontal="center"/>
    </xf>
    <xf numFmtId="2" fontId="9" fillId="0" borderId="1" xfId="0" applyNumberFormat="1" applyFont="1" applyBorder="1" applyProtection="1"/>
    <xf numFmtId="2" fontId="9" fillId="0" borderId="26" xfId="0" applyNumberFormat="1" applyFont="1" applyBorder="1" applyProtection="1"/>
    <xf numFmtId="2" fontId="5" fillId="0" borderId="2" xfId="0" applyNumberFormat="1" applyFont="1" applyBorder="1" applyProtection="1"/>
    <xf numFmtId="2" fontId="5" fillId="0" borderId="33" xfId="0" applyNumberFormat="1" applyFont="1" applyBorder="1" applyProtection="1"/>
    <xf numFmtId="2" fontId="5" fillId="0" borderId="3" xfId="0" applyNumberFormat="1" applyFont="1" applyBorder="1" applyProtection="1"/>
    <xf numFmtId="2" fontId="5" fillId="0" borderId="36" xfId="0" applyNumberFormat="1" applyFont="1" applyBorder="1" applyProtection="1"/>
    <xf numFmtId="2" fontId="5" fillId="0" borderId="27" xfId="0" applyNumberFormat="1" applyFont="1" applyBorder="1" applyProtection="1"/>
    <xf numFmtId="2" fontId="5" fillId="0" borderId="22" xfId="0" applyNumberFormat="1" applyFont="1" applyBorder="1" applyProtection="1"/>
    <xf numFmtId="2" fontId="5" fillId="0" borderId="45" xfId="0" applyNumberFormat="1" applyFont="1" applyBorder="1" applyProtection="1"/>
    <xf numFmtId="2" fontId="5" fillId="0" borderId="13" xfId="0" applyNumberFormat="1" applyFont="1" applyBorder="1" applyProtection="1"/>
    <xf numFmtId="2" fontId="5" fillId="0" borderId="44" xfId="0" applyNumberFormat="1" applyFont="1" applyBorder="1" applyProtection="1"/>
    <xf numFmtId="2" fontId="4" fillId="0" borderId="0" xfId="0" applyNumberFormat="1" applyFont="1" applyProtection="1"/>
    <xf numFmtId="0" fontId="3" fillId="2" borderId="36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3" fillId="2" borderId="45" xfId="0" applyFont="1" applyFill="1" applyBorder="1" applyAlignment="1" applyProtection="1">
      <alignment horizontal="center"/>
    </xf>
    <xf numFmtId="0" fontId="7" fillId="2" borderId="46" xfId="0" applyNumberFormat="1" applyFont="1" applyFill="1" applyBorder="1" applyAlignment="1" applyProtection="1">
      <alignment horizontal="center"/>
    </xf>
    <xf numFmtId="0" fontId="7" fillId="2" borderId="13" xfId="0" applyNumberFormat="1" applyFont="1" applyFill="1" applyBorder="1" applyAlignment="1" applyProtection="1">
      <alignment horizontal="center"/>
    </xf>
    <xf numFmtId="0" fontId="7" fillId="2" borderId="42" xfId="0" applyNumberFormat="1" applyFont="1" applyFill="1" applyBorder="1" applyAlignment="1" applyProtection="1">
      <alignment horizontal="center"/>
    </xf>
    <xf numFmtId="0" fontId="25" fillId="2" borderId="42" xfId="0" applyFont="1" applyFill="1" applyBorder="1" applyAlignment="1" applyProtection="1">
      <alignment horizontal="center"/>
    </xf>
    <xf numFmtId="0" fontId="25" fillId="2" borderId="13" xfId="0" applyFont="1" applyFill="1" applyBorder="1" applyAlignment="1" applyProtection="1">
      <alignment horizontal="center"/>
    </xf>
    <xf numFmtId="0" fontId="25" fillId="2" borderId="22" xfId="0" applyFont="1" applyFill="1" applyBorder="1" applyAlignment="1" applyProtection="1">
      <alignment horizontal="center"/>
    </xf>
    <xf numFmtId="0" fontId="7" fillId="0" borderId="35" xfId="0" applyFont="1" applyFill="1" applyBorder="1" applyAlignment="1" applyProtection="1"/>
    <xf numFmtId="0" fontId="7" fillId="0" borderId="35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/>
    <xf numFmtId="2" fontId="23" fillId="0" borderId="7" xfId="0" applyNumberFormat="1" applyFont="1" applyBorder="1"/>
    <xf numFmtId="0" fontId="15" fillId="2" borderId="6" xfId="0" applyFont="1" applyFill="1" applyBorder="1" applyAlignment="1" applyProtection="1">
      <alignment horizontal="center"/>
    </xf>
    <xf numFmtId="0" fontId="24" fillId="0" borderId="39" xfId="0" applyFont="1" applyBorder="1" applyProtection="1">
      <protection locked="0"/>
    </xf>
    <xf numFmtId="0" fontId="5" fillId="0" borderId="2" xfId="0" applyFont="1" applyFill="1" applyBorder="1" applyAlignment="1" applyProtection="1">
      <alignment horizontal="right"/>
    </xf>
    <xf numFmtId="0" fontId="5" fillId="0" borderId="4" xfId="0" applyFont="1" applyFill="1" applyBorder="1" applyAlignment="1" applyProtection="1">
      <alignment horizontal="right"/>
    </xf>
    <xf numFmtId="0" fontId="5" fillId="0" borderId="4" xfId="0" applyFont="1" applyBorder="1" applyProtection="1"/>
    <xf numFmtId="0" fontId="5" fillId="0" borderId="8" xfId="0" applyFont="1" applyBorder="1" applyProtection="1"/>
    <xf numFmtId="0" fontId="7" fillId="4" borderId="48" xfId="0" quotePrefix="1" applyFont="1" applyFill="1" applyBorder="1" applyAlignment="1" applyProtection="1">
      <alignment horizontal="left"/>
      <protection locked="0"/>
    </xf>
    <xf numFmtId="0" fontId="4" fillId="4" borderId="49" xfId="0" applyFont="1" applyFill="1" applyBorder="1" applyProtection="1">
      <protection locked="0"/>
    </xf>
    <xf numFmtId="0" fontId="21" fillId="2" borderId="50" xfId="0" applyFont="1" applyFill="1" applyBorder="1" applyAlignment="1">
      <alignment horizontal="center"/>
    </xf>
    <xf numFmtId="0" fontId="18" fillId="2" borderId="51" xfId="0" applyFont="1" applyFill="1" applyBorder="1" applyAlignment="1">
      <alignment horizontal="center"/>
    </xf>
    <xf numFmtId="0" fontId="7" fillId="2" borderId="48" xfId="0" applyFont="1" applyFill="1" applyBorder="1" applyProtection="1">
      <protection locked="0"/>
    </xf>
    <xf numFmtId="0" fontId="8" fillId="2" borderId="52" xfId="0" applyFont="1" applyFill="1" applyBorder="1" applyProtection="1">
      <protection locked="0"/>
    </xf>
    <xf numFmtId="0" fontId="4" fillId="2" borderId="49" xfId="0" applyFont="1" applyFill="1" applyBorder="1" applyProtection="1">
      <protection locked="0"/>
    </xf>
    <xf numFmtId="0" fontId="4" fillId="0" borderId="9" xfId="0" applyFont="1" applyBorder="1" applyProtection="1"/>
    <xf numFmtId="0" fontId="4" fillId="0" borderId="53" xfId="0" applyFont="1" applyBorder="1" applyProtection="1">
      <protection locked="0"/>
    </xf>
    <xf numFmtId="0" fontId="4" fillId="0" borderId="54" xfId="0" applyFont="1" applyBorder="1" applyProtection="1">
      <protection locked="0"/>
    </xf>
    <xf numFmtId="0" fontId="4" fillId="0" borderId="54" xfId="0" applyFont="1" applyBorder="1" applyProtection="1"/>
    <xf numFmtId="0" fontId="4" fillId="0" borderId="11" xfId="0" applyFont="1" applyBorder="1" applyProtection="1"/>
    <xf numFmtId="0" fontId="4" fillId="0" borderId="17" xfId="0" applyFont="1" applyBorder="1" applyProtection="1"/>
    <xf numFmtId="0" fontId="4" fillId="0" borderId="54" xfId="0" applyFont="1" applyBorder="1"/>
    <xf numFmtId="0" fontId="4" fillId="0" borderId="11" xfId="0" applyFont="1" applyBorder="1"/>
    <xf numFmtId="0" fontId="4" fillId="0" borderId="11" xfId="0" applyFont="1" applyFill="1" applyBorder="1" applyProtection="1">
      <protection locked="0"/>
    </xf>
    <xf numFmtId="0" fontId="4" fillId="0" borderId="20" xfId="0" applyFont="1" applyBorder="1" applyProtection="1"/>
    <xf numFmtId="0" fontId="3" fillId="0" borderId="9" xfId="0" applyFont="1" applyBorder="1" applyProtection="1"/>
    <xf numFmtId="0" fontId="4" fillId="0" borderId="18" xfId="0" applyFont="1" applyBorder="1"/>
    <xf numFmtId="0" fontId="4" fillId="0" borderId="33" xfId="0" applyFont="1" applyBorder="1"/>
    <xf numFmtId="0" fontId="4" fillId="0" borderId="19" xfId="0" applyFont="1" applyBorder="1"/>
    <xf numFmtId="0" fontId="4" fillId="0" borderId="53" xfId="0" applyFont="1" applyBorder="1"/>
    <xf numFmtId="0" fontId="4" fillId="0" borderId="19" xfId="0" applyFont="1" applyFill="1" applyBorder="1" applyProtection="1">
      <protection locked="0"/>
    </xf>
    <xf numFmtId="0" fontId="4" fillId="0" borderId="27" xfId="0" applyFont="1" applyBorder="1" applyProtection="1"/>
    <xf numFmtId="0" fontId="3" fillId="0" borderId="10" xfId="0" applyFont="1" applyBorder="1"/>
    <xf numFmtId="0" fontId="3" fillId="0" borderId="9" xfId="0" applyFont="1" applyBorder="1"/>
    <xf numFmtId="167" fontId="5" fillId="0" borderId="2" xfId="0" applyNumberFormat="1" applyFont="1" applyBorder="1" applyProtection="1"/>
    <xf numFmtId="167" fontId="5" fillId="0" borderId="3" xfId="0" applyNumberFormat="1" applyFont="1" applyBorder="1" applyProtection="1"/>
    <xf numFmtId="0" fontId="3" fillId="0" borderId="55" xfId="0" applyFont="1" applyBorder="1" applyProtection="1"/>
    <xf numFmtId="0" fontId="4" fillId="2" borderId="49" xfId="0" applyFont="1" applyFill="1" applyBorder="1"/>
    <xf numFmtId="0" fontId="3" fillId="0" borderId="1" xfId="0" applyFont="1" applyBorder="1"/>
    <xf numFmtId="165" fontId="4" fillId="0" borderId="3" xfId="0" applyNumberFormat="1" applyFont="1" applyBorder="1"/>
    <xf numFmtId="0" fontId="4" fillId="0" borderId="6" xfId="0" applyFont="1" applyBorder="1"/>
    <xf numFmtId="0" fontId="7" fillId="2" borderId="14" xfId="0" applyFont="1" applyFill="1" applyBorder="1" applyAlignment="1" applyProtection="1">
      <alignment horizontal="centerContinuous"/>
    </xf>
    <xf numFmtId="0" fontId="4" fillId="0" borderId="0" xfId="0" quotePrefix="1" applyFont="1" applyAlignment="1" applyProtection="1">
      <alignment horizontal="left"/>
    </xf>
    <xf numFmtId="0" fontId="3" fillId="0" borderId="1" xfId="0" applyFont="1" applyBorder="1" applyProtection="1"/>
    <xf numFmtId="0" fontId="3" fillId="3" borderId="28" xfId="0" quotePrefix="1" applyFont="1" applyFill="1" applyBorder="1" applyAlignment="1" applyProtection="1">
      <alignment horizontal="left"/>
    </xf>
    <xf numFmtId="0" fontId="3" fillId="3" borderId="27" xfId="0" applyFont="1" applyFill="1" applyBorder="1" applyProtection="1"/>
    <xf numFmtId="0" fontId="3" fillId="0" borderId="0" xfId="0" applyFont="1" applyFill="1" applyBorder="1" applyProtection="1"/>
    <xf numFmtId="0" fontId="9" fillId="3" borderId="29" xfId="0" quotePrefix="1" applyFont="1" applyFill="1" applyBorder="1" applyAlignment="1" applyProtection="1">
      <alignment horizontal="left"/>
    </xf>
    <xf numFmtId="0" fontId="3" fillId="3" borderId="20" xfId="0" applyFont="1" applyFill="1" applyBorder="1" applyProtection="1"/>
    <xf numFmtId="166" fontId="23" fillId="0" borderId="2" xfId="0" applyNumberFormat="1" applyFont="1" applyBorder="1" applyProtection="1"/>
    <xf numFmtId="2" fontId="23" fillId="0" borderId="2" xfId="0" applyNumberFormat="1" applyFont="1" applyBorder="1" applyProtection="1"/>
    <xf numFmtId="2" fontId="23" fillId="0" borderId="3" xfId="0" applyNumberFormat="1" applyFont="1" applyBorder="1" applyProtection="1"/>
    <xf numFmtId="0" fontId="4" fillId="0" borderId="14" xfId="0" applyFont="1" applyBorder="1" applyProtection="1"/>
    <xf numFmtId="166" fontId="23" fillId="0" borderId="4" xfId="0" applyNumberFormat="1" applyFont="1" applyBorder="1" applyProtection="1"/>
    <xf numFmtId="2" fontId="23" fillId="0" borderId="4" xfId="0" applyNumberFormat="1" applyFont="1" applyBorder="1" applyProtection="1"/>
    <xf numFmtId="2" fontId="23" fillId="0" borderId="5" xfId="0" applyNumberFormat="1" applyFont="1" applyBorder="1" applyProtection="1"/>
    <xf numFmtId="0" fontId="4" fillId="0" borderId="40" xfId="0" applyFont="1" applyBorder="1" applyProtection="1"/>
    <xf numFmtId="0" fontId="3" fillId="0" borderId="12" xfId="0" applyFont="1" applyBorder="1" applyProtection="1"/>
    <xf numFmtId="0" fontId="3" fillId="0" borderId="9" xfId="0" quotePrefix="1" applyFont="1" applyBorder="1" applyAlignment="1" applyProtection="1">
      <alignment horizontal="left"/>
    </xf>
    <xf numFmtId="0" fontId="3" fillId="0" borderId="9" xfId="0" applyFont="1" applyBorder="1" applyAlignment="1" applyProtection="1">
      <alignment horizontal="left"/>
    </xf>
    <xf numFmtId="0" fontId="3" fillId="0" borderId="9" xfId="0" applyFont="1" applyFill="1" applyBorder="1" applyAlignment="1" applyProtection="1">
      <alignment horizontal="left"/>
    </xf>
    <xf numFmtId="0" fontId="3" fillId="2" borderId="1" xfId="0" applyFont="1" applyFill="1" applyBorder="1" applyProtection="1"/>
    <xf numFmtId="0" fontId="4" fillId="0" borderId="10" xfId="0" applyFont="1" applyBorder="1" applyProtection="1"/>
    <xf numFmtId="0" fontId="21" fillId="4" borderId="50" xfId="0" applyFont="1" applyFill="1" applyBorder="1" applyAlignment="1" applyProtection="1">
      <alignment horizontal="center"/>
    </xf>
    <xf numFmtId="166" fontId="23" fillId="0" borderId="8" xfId="0" applyNumberFormat="1" applyFont="1" applyBorder="1" applyProtection="1"/>
    <xf numFmtId="2" fontId="23" fillId="0" borderId="8" xfId="0" applyNumberFormat="1" applyFont="1" applyBorder="1" applyProtection="1"/>
    <xf numFmtId="2" fontId="23" fillId="0" borderId="6" xfId="0" applyNumberFormat="1" applyFont="1" applyBorder="1" applyProtection="1"/>
    <xf numFmtId="0" fontId="7" fillId="2" borderId="30" xfId="0" applyFont="1" applyFill="1" applyBorder="1" applyProtection="1"/>
    <xf numFmtId="0" fontId="3" fillId="0" borderId="1" xfId="0" applyFont="1" applyFill="1" applyBorder="1" applyAlignment="1" applyProtection="1">
      <alignment horizontal="left"/>
    </xf>
    <xf numFmtId="9" fontId="9" fillId="0" borderId="0" xfId="2" applyFont="1" applyBorder="1" applyProtection="1"/>
    <xf numFmtId="9" fontId="9" fillId="0" borderId="0" xfId="2" applyNumberFormat="1" applyFont="1" applyBorder="1" applyProtection="1"/>
    <xf numFmtId="0" fontId="5" fillId="0" borderId="3" xfId="0" applyFont="1" applyBorder="1" applyProtection="1"/>
    <xf numFmtId="0" fontId="5" fillId="0" borderId="5" xfId="0" applyFont="1" applyBorder="1" applyProtection="1"/>
    <xf numFmtId="0" fontId="23" fillId="0" borderId="5" xfId="0" applyFont="1" applyBorder="1" applyProtection="1"/>
    <xf numFmtId="0" fontId="0" fillId="0" borderId="0" xfId="0" applyProtection="1"/>
    <xf numFmtId="1" fontId="0" fillId="0" borderId="0" xfId="0" applyNumberFormat="1" applyProtection="1"/>
    <xf numFmtId="2" fontId="0" fillId="0" borderId="0" xfId="0" applyNumberFormat="1" applyProtection="1"/>
    <xf numFmtId="166" fontId="0" fillId="0" borderId="0" xfId="0" applyNumberFormat="1" applyProtection="1"/>
    <xf numFmtId="0" fontId="23" fillId="0" borderId="6" xfId="0" applyFont="1" applyBorder="1" applyProtection="1"/>
    <xf numFmtId="165" fontId="5" fillId="0" borderId="20" xfId="0" applyNumberFormat="1" applyFont="1" applyBorder="1" applyProtection="1"/>
    <xf numFmtId="166" fontId="5" fillId="0" borderId="8" xfId="0" applyNumberFormat="1" applyFont="1" applyBorder="1" applyProtection="1"/>
    <xf numFmtId="1" fontId="5" fillId="0" borderId="8" xfId="0" applyNumberFormat="1" applyFont="1" applyBorder="1" applyProtection="1"/>
    <xf numFmtId="1" fontId="5" fillId="0" borderId="4" xfId="0" applyNumberFormat="1" applyFont="1" applyBorder="1" applyProtection="1"/>
    <xf numFmtId="166" fontId="5" fillId="0" borderId="2" xfId="0" applyNumberFormat="1" applyFont="1" applyBorder="1" applyProtection="1"/>
    <xf numFmtId="1" fontId="5" fillId="0" borderId="2" xfId="0" applyNumberFormat="1" applyFont="1" applyBorder="1" applyProtection="1"/>
    <xf numFmtId="1" fontId="5" fillId="0" borderId="16" xfId="0" applyNumberFormat="1" applyFont="1" applyBorder="1" applyProtection="1"/>
    <xf numFmtId="0" fontId="18" fillId="4" borderId="56" xfId="0" applyFont="1" applyFill="1" applyBorder="1" applyAlignment="1" applyProtection="1">
      <alignment horizontal="center"/>
    </xf>
    <xf numFmtId="2" fontId="23" fillId="0" borderId="57" xfId="0" applyNumberFormat="1" applyFont="1" applyBorder="1" applyProtection="1"/>
    <xf numFmtId="1" fontId="5" fillId="0" borderId="57" xfId="0" applyNumberFormat="1" applyFont="1" applyBorder="1" applyProtection="1"/>
    <xf numFmtId="1" fontId="5" fillId="0" borderId="51" xfId="0" applyNumberFormat="1" applyFont="1" applyBorder="1" applyProtection="1"/>
    <xf numFmtId="0" fontId="2" fillId="5" borderId="23" xfId="0" applyFont="1" applyFill="1" applyBorder="1" applyProtection="1"/>
    <xf numFmtId="167" fontId="9" fillId="5" borderId="24" xfId="0" applyNumberFormat="1" applyFont="1" applyFill="1" applyBorder="1" applyProtection="1"/>
    <xf numFmtId="167" fontId="5" fillId="5" borderId="24" xfId="0" applyNumberFormat="1" applyFont="1" applyFill="1" applyBorder="1" applyProtection="1"/>
    <xf numFmtId="2" fontId="5" fillId="5" borderId="24" xfId="0" applyNumberFormat="1" applyFont="1" applyFill="1" applyBorder="1" applyProtection="1"/>
    <xf numFmtId="165" fontId="4" fillId="5" borderId="25" xfId="0" applyNumberFormat="1" applyFont="1" applyFill="1" applyBorder="1" applyProtection="1"/>
    <xf numFmtId="0" fontId="15" fillId="2" borderId="47" xfId="0" applyFont="1" applyFill="1" applyBorder="1" applyAlignment="1" applyProtection="1">
      <alignment horizontal="center"/>
    </xf>
    <xf numFmtId="0" fontId="15" fillId="2" borderId="21" xfId="0" applyFont="1" applyFill="1" applyBorder="1" applyAlignment="1" applyProtection="1">
      <alignment horizontal="center"/>
    </xf>
    <xf numFmtId="0" fontId="15" fillId="2" borderId="22" xfId="0" applyFont="1" applyFill="1" applyBorder="1" applyAlignment="1" applyProtection="1">
      <alignment horizontal="center"/>
    </xf>
    <xf numFmtId="0" fontId="18" fillId="0" borderId="0" xfId="0" applyFont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Dissolved Oxygen Sag</a:t>
            </a:r>
          </a:p>
        </c:rich>
      </c:tx>
      <c:layout>
        <c:manualLayout>
          <c:xMode val="edge"/>
          <c:yMode val="edge"/>
          <c:x val="0.36101423834493046"/>
          <c:y val="3.38585574593256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8543044375254"/>
          <c:y val="0.15698058458414646"/>
          <c:w val="0.81398493362677693"/>
          <c:h val="0.6987175039333569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'Ambient results-with discharge'!$W$6</c:f>
              <c:strCache>
                <c:ptCount val="1"/>
                <c:pt idx="0">
                  <c:v>River+Source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'Ambient results-with discharge'!$V$7:$V$32</c:f>
              <c:numCache>
                <c:formatCode>General</c:formatCode>
                <c:ptCount val="2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</c:numCache>
            </c:numRef>
          </c:xVal>
          <c:yVal>
            <c:numRef>
              <c:f>'Ambient results-with discharge'!$W$7:$W$32</c:f>
              <c:numCache>
                <c:formatCode>General</c:formatCode>
                <c:ptCount val="26"/>
                <c:pt idx="0">
                  <c:v>11.071824186971607</c:v>
                </c:pt>
                <c:pt idx="1">
                  <c:v>11.016895078308753</c:v>
                </c:pt>
                <c:pt idx="2">
                  <c:v>10.971264155192943</c:v>
                </c:pt>
                <c:pt idx="3">
                  <c:v>10.933377242321463</c:v>
                </c:pt>
                <c:pt idx="4">
                  <c:v>10.901939827552482</c:v>
                </c:pt>
                <c:pt idx="5">
                  <c:v>10.875873679466725</c:v>
                </c:pt>
                <c:pt idx="6">
                  <c:v>10.854280712915058</c:v>
                </c:pt>
                <c:pt idx="7">
                  <c:v>10.836412891617339</c:v>
                </c:pt>
                <c:pt idx="8">
                  <c:v>10.821647159190958</c:v>
                </c:pt>
                <c:pt idx="9">
                  <c:v>10.809464558499844</c:v>
                </c:pt>
                <c:pt idx="10">
                  <c:v>10.799432839573363</c:v>
                </c:pt>
                <c:pt idx="11">
                  <c:v>10.791191973253131</c:v>
                </c:pt>
                <c:pt idx="12">
                  <c:v>10.784442085102304</c:v>
                </c:pt>
                <c:pt idx="13">
                  <c:v>10.778933405219536</c:v>
                </c:pt>
                <c:pt idx="14">
                  <c:v>10.774457897156616</c:v>
                </c:pt>
                <c:pt idx="15">
                  <c:v>10.770842285408733</c:v>
                </c:pt>
                <c:pt idx="16">
                  <c:v>10.767942247815252</c:v>
                </c:pt>
                <c:pt idx="17">
                  <c:v>10.765637578247157</c:v>
                </c:pt>
                <c:pt idx="18">
                  <c:v>10.763828157473565</c:v>
                </c:pt>
                <c:pt idx="19">
                  <c:v>10.762430597183304</c:v>
                </c:pt>
                <c:pt idx="20">
                  <c:v>10.761375444696261</c:v>
                </c:pt>
                <c:pt idx="21">
                  <c:v>10.760604854689012</c:v>
                </c:pt>
                <c:pt idx="22">
                  <c:v>10.760070649909768</c:v>
                </c:pt>
                <c:pt idx="23">
                  <c:v>10.759732705893455</c:v>
                </c:pt>
                <c:pt idx="24">
                  <c:v>10.759557605545641</c:v>
                </c:pt>
                <c:pt idx="25">
                  <c:v>10.759517518507765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'Ambient results-with discharge'!$X$6</c:f>
              <c:strCache>
                <c:ptCount val="1"/>
                <c:pt idx="0">
                  <c:v>River Only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'Ambient results-with discharge'!$V$7:$V$32</c:f>
              <c:numCache>
                <c:formatCode>General</c:formatCode>
                <c:ptCount val="2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</c:numCache>
            </c:numRef>
          </c:xVal>
          <c:yVal>
            <c:numRef>
              <c:f>'Ambient results-with discharge'!$X$7:$X$32</c:f>
              <c:numCache>
                <c:formatCode>General</c:formatCode>
                <c:ptCount val="26"/>
                <c:pt idx="0">
                  <c:v>11.14</c:v>
                </c:pt>
                <c:pt idx="1">
                  <c:v>11.084787456297738</c:v>
                </c:pt>
                <c:pt idx="2">
                  <c:v>11.038858074115165</c:v>
                </c:pt>
                <c:pt idx="3">
                  <c:v>11.000662169826528</c:v>
                </c:pt>
                <c:pt idx="4">
                  <c:v>10.96890869124532</c:v>
                </c:pt>
                <c:pt idx="5">
                  <c:v>10.94252205421256</c:v>
                </c:pt>
                <c:pt idx="6">
                  <c:v>10.920606182793207</c:v>
                </c:pt>
                <c:pt idx="7">
                  <c:v>10.902414550859447</c:v>
                </c:pt>
                <c:pt idx="8">
                  <c:v>10.887325223480225</c:v>
                </c:pt>
                <c:pt idx="9">
                  <c:v>10.87482006369166</c:v>
                </c:pt>
                <c:pt idx="10">
                  <c:v>10.864467409481543</c:v>
                </c:pt>
                <c:pt idx="11">
                  <c:v>10.855907641838565</c:v>
                </c:pt>
                <c:pt idx="12">
                  <c:v>10.848841161372031</c:v>
                </c:pt>
                <c:pt idx="13">
                  <c:v>10.843018371532045</c:v>
                </c:pt>
                <c:pt idx="14">
                  <c:v>10.838231333545538</c:v>
                </c:pt>
                <c:pt idx="15">
                  <c:v>10.834306814072905</c:v>
                </c:pt>
                <c:pt idx="16">
                  <c:v>10.831100493151958</c:v>
                </c:pt>
                <c:pt idx="17">
                  <c:v>10.828492138787109</c:v>
                </c:pt>
                <c:pt idx="18">
                  <c:v>10.826381586858821</c:v>
                </c:pt>
                <c:pt idx="19">
                  <c:v>10.824685391952226</c:v>
                </c:pt>
                <c:pt idx="20">
                  <c:v>10.823334037134176</c:v>
                </c:pt>
                <c:pt idx="21">
                  <c:v>10.822269609394944</c:v>
                </c:pt>
                <c:pt idx="22">
                  <c:v>10.82144386303912</c:v>
                </c:pt>
                <c:pt idx="23">
                  <c:v>10.820816606280228</c:v>
                </c:pt>
                <c:pt idx="24">
                  <c:v>10.820354357099136</c:v>
                </c:pt>
                <c:pt idx="25">
                  <c:v>10.820029223428367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833672"/>
        <c:axId val="312834064"/>
      </c:scatterChart>
      <c:valAx>
        <c:axId val="312833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2834064"/>
        <c:crosses val="autoZero"/>
        <c:crossBetween val="midCat"/>
      </c:valAx>
      <c:valAx>
        <c:axId val="31283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28336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2108658930919149"/>
          <c:y val="0.27702456103084699"/>
          <c:w val="0.19242740062725061"/>
          <c:h val="0.132356179159182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Nitrification Simulation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'Ambient results-with discharge'!$AA$6</c:f>
              <c:strCache>
                <c:ptCount val="1"/>
                <c:pt idx="0">
                  <c:v>Organic 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'Ambient results-with discharge'!$Z$7:$Z$32</c:f>
              <c:numCache>
                <c:formatCode>General</c:formatCode>
                <c:ptCount val="2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</c:numCache>
            </c:numRef>
          </c:xVal>
          <c:yVal>
            <c:numRef>
              <c:f>'Ambient results-with discharge'!$AA$7:$AA$32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'Ambient results-with discharge'!$AB$6</c:f>
              <c:strCache>
                <c:ptCount val="1"/>
                <c:pt idx="0">
                  <c:v>NH3-N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'Ambient results-with discharge'!$Z$7:$Z$32</c:f>
              <c:numCache>
                <c:formatCode>General</c:formatCode>
                <c:ptCount val="2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</c:numCache>
            </c:numRef>
          </c:xVal>
          <c:yVal>
            <c:numRef>
              <c:f>'Ambient results-with discharge'!$AB$7:$AB$32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'Ambient results-with discharge'!$AC$6</c:f>
              <c:strCache>
                <c:ptCount val="1"/>
                <c:pt idx="0">
                  <c:v>Nitrite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'Ambient results-with discharge'!$Z$7:$Z$32</c:f>
              <c:numCache>
                <c:formatCode>General</c:formatCode>
                <c:ptCount val="2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</c:numCache>
            </c:numRef>
          </c:xVal>
          <c:yVal>
            <c:numRef>
              <c:f>'Ambient results-with discharge'!$AC$7:$AC$32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'Ambient results-with discharge'!$AD$6</c:f>
              <c:strCache>
                <c:ptCount val="1"/>
                <c:pt idx="0">
                  <c:v>Nitrate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'Ambient results-with discharge'!$Z$7:$Z$32</c:f>
              <c:numCache>
                <c:formatCode>General</c:formatCode>
                <c:ptCount val="2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</c:numCache>
            </c:numRef>
          </c:xVal>
          <c:yVal>
            <c:numRef>
              <c:f>'Ambient results-with discharge'!$AD$7:$AD$32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834848"/>
        <c:axId val="312835240"/>
      </c:scatterChart>
      <c:valAx>
        <c:axId val="312834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River Mile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2835240"/>
        <c:crosses val="autoZero"/>
        <c:crossBetween val="midCat"/>
      </c:valAx>
      <c:valAx>
        <c:axId val="31283524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Nitrogen Species (mg/L)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28348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619125</xdr:colOff>
      <xdr:row>3</xdr:row>
      <xdr:rowOff>38100</xdr:rowOff>
    </xdr:from>
    <xdr:to>
      <xdr:col>29</xdr:col>
      <xdr:colOff>219075</xdr:colOff>
      <xdr:row>20</xdr:row>
      <xdr:rowOff>47625</xdr:rowOff>
    </xdr:to>
    <xdr:graphicFrame macro="">
      <xdr:nvGraphicFramePr>
        <xdr:cNvPr id="2592" name="Chart 5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19050</xdr:colOff>
      <xdr:row>19</xdr:row>
      <xdr:rowOff>133350</xdr:rowOff>
    </xdr:from>
    <xdr:to>
      <xdr:col>29</xdr:col>
      <xdr:colOff>238125</xdr:colOff>
      <xdr:row>37</xdr:row>
      <xdr:rowOff>9525</xdr:rowOff>
    </xdr:to>
    <xdr:graphicFrame macro="">
      <xdr:nvGraphicFramePr>
        <xdr:cNvPr id="2593" name="Chart 5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48</xdr:row>
          <xdr:rowOff>123825</xdr:rowOff>
        </xdr:from>
        <xdr:to>
          <xdr:col>29</xdr:col>
          <xdr:colOff>0</xdr:colOff>
          <xdr:row>53</xdr:row>
          <xdr:rowOff>180975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319405</xdr:colOff>
      <xdr:row>0</xdr:row>
      <xdr:rowOff>731520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9405" cy="731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38</xdr:row>
          <xdr:rowOff>152400</xdr:rowOff>
        </xdr:from>
        <xdr:to>
          <xdr:col>33</xdr:col>
          <xdr:colOff>133350</xdr:colOff>
          <xdr:row>52</xdr:row>
          <xdr:rowOff>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68"/>
  <sheetViews>
    <sheetView tabSelected="1" zoomScale="85" workbookViewId="0">
      <selection activeCell="F1" sqref="F1"/>
    </sheetView>
  </sheetViews>
  <sheetFormatPr defaultColWidth="9.33203125" defaultRowHeight="12.75" x14ac:dyDescent="0.2"/>
  <cols>
    <col min="1" max="1" width="15.5" style="1" customWidth="1"/>
    <col min="2" max="2" width="9.33203125" style="1"/>
    <col min="3" max="3" width="10.1640625" style="1" customWidth="1"/>
    <col min="4" max="4" width="5.33203125" style="1" customWidth="1"/>
    <col min="5" max="5" width="16.5" style="1" customWidth="1"/>
    <col min="6" max="6" width="11.83203125" style="1" customWidth="1"/>
    <col min="7" max="7" width="8.83203125" style="1" customWidth="1"/>
    <col min="8" max="8" width="3.33203125" style="1" customWidth="1"/>
    <col min="9" max="9" width="17" style="1" customWidth="1"/>
    <col min="10" max="10" width="8.83203125" style="1" bestFit="1" customWidth="1"/>
    <col min="11" max="11" width="8.83203125" style="1" customWidth="1"/>
    <col min="12" max="12" width="9.33203125" style="1"/>
    <col min="13" max="13" width="12" style="1" bestFit="1" customWidth="1"/>
    <col min="14" max="14" width="15" style="1" bestFit="1" customWidth="1"/>
    <col min="15" max="15" width="18" style="1" bestFit="1" customWidth="1"/>
    <col min="16" max="16" width="17.1640625" style="1" customWidth="1"/>
    <col min="17" max="17" width="12.6640625" style="1" bestFit="1" customWidth="1"/>
    <col min="18" max="23" width="12.1640625" style="1" customWidth="1"/>
    <col min="24" max="24" width="16" style="1" bestFit="1" customWidth="1"/>
    <col min="25" max="25" width="16" style="1" customWidth="1"/>
    <col min="26" max="26" width="18" style="1" bestFit="1" customWidth="1"/>
    <col min="27" max="27" width="18" style="1" customWidth="1"/>
    <col min="28" max="32" width="12.1640625" style="1" customWidth="1"/>
    <col min="33" max="33" width="4.1640625" style="1" customWidth="1"/>
    <col min="34" max="16384" width="9.33203125" style="1"/>
  </cols>
  <sheetData>
    <row r="1" spans="1:34" ht="63" customHeight="1" x14ac:dyDescent="0.2">
      <c r="B1" s="276" t="s">
        <v>164</v>
      </c>
    </row>
    <row r="2" spans="1:34" ht="18" x14ac:dyDescent="0.25">
      <c r="A2" s="5" t="s">
        <v>0</v>
      </c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6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7.5" customHeight="1" thickBot="1" x14ac:dyDescent="0.25">
      <c r="A3" s="7"/>
      <c r="B3" s="7"/>
      <c r="C3" s="7"/>
      <c r="D3" s="7"/>
      <c r="E3" s="7"/>
      <c r="F3" s="7"/>
      <c r="G3" s="7"/>
      <c r="H3" s="7"/>
      <c r="I3" s="7"/>
      <c r="AG3" s="7"/>
      <c r="AH3" s="7"/>
    </row>
    <row r="4" spans="1:34" ht="15.75" thickBot="1" x14ac:dyDescent="0.25">
      <c r="A4" s="43" t="s">
        <v>1</v>
      </c>
      <c r="B4" s="44"/>
      <c r="C4" s="45"/>
      <c r="D4" s="38"/>
      <c r="E4" s="186" t="s">
        <v>132</v>
      </c>
      <c r="F4" s="187"/>
      <c r="G4" s="31"/>
      <c r="H4" s="8"/>
      <c r="J4" s="176"/>
      <c r="K4" s="176"/>
      <c r="L4" s="176"/>
      <c r="M4" s="176"/>
      <c r="N4" s="177"/>
      <c r="O4" s="177"/>
      <c r="P4" s="176"/>
      <c r="Q4" s="176"/>
      <c r="R4" s="177"/>
      <c r="S4" s="177"/>
      <c r="T4" s="177"/>
      <c r="U4" s="177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"/>
      <c r="AH4" s="7"/>
    </row>
    <row r="5" spans="1:34" ht="15" x14ac:dyDescent="0.2">
      <c r="A5" s="127" t="s">
        <v>8</v>
      </c>
      <c r="B5" s="128">
        <v>15</v>
      </c>
      <c r="C5" s="84"/>
      <c r="D5" s="38"/>
      <c r="E5" s="71" t="s">
        <v>72</v>
      </c>
      <c r="F5" s="68"/>
      <c r="G5" s="73"/>
      <c r="H5" s="14"/>
      <c r="I5" s="9" t="s">
        <v>4</v>
      </c>
      <c r="J5" s="170" t="s">
        <v>64</v>
      </c>
      <c r="K5" s="171" t="s">
        <v>5</v>
      </c>
      <c r="L5" s="172" t="s">
        <v>5</v>
      </c>
      <c r="M5" s="173" t="s">
        <v>124</v>
      </c>
      <c r="N5" s="174" t="s">
        <v>125</v>
      </c>
      <c r="O5" s="175" t="s">
        <v>69</v>
      </c>
      <c r="P5" s="273" t="s">
        <v>80</v>
      </c>
      <c r="Q5" s="274"/>
      <c r="R5" s="274"/>
      <c r="S5" s="274"/>
      <c r="T5" s="275"/>
      <c r="U5" s="122"/>
      <c r="W5" s="122" t="s">
        <v>6</v>
      </c>
      <c r="X5" s="122" t="s">
        <v>6</v>
      </c>
      <c r="Y5" s="122" t="str">
        <f t="shared" ref="Y5:Y20" si="0">O5</f>
        <v>Source-Ambient</v>
      </c>
      <c r="Z5" s="122"/>
      <c r="AA5" s="178"/>
      <c r="AB5" s="178"/>
      <c r="AC5" s="178"/>
      <c r="AD5" s="178"/>
      <c r="AE5" s="178" t="str">
        <f t="shared" ref="AE5:AE32" si="1">P5</f>
        <v xml:space="preserve">Remaining </v>
      </c>
      <c r="AF5" s="7"/>
      <c r="AG5" s="7"/>
    </row>
    <row r="6" spans="1:34" ht="13.5" thickBot="1" x14ac:dyDescent="0.25">
      <c r="A6" s="29" t="s">
        <v>33</v>
      </c>
      <c r="B6" s="27">
        <v>5</v>
      </c>
      <c r="C6" s="22"/>
      <c r="D6" s="38"/>
      <c r="E6" s="72" t="s">
        <v>75</v>
      </c>
      <c r="F6" s="69"/>
      <c r="G6" s="73"/>
      <c r="H6" s="7"/>
      <c r="I6" s="150" t="s">
        <v>66</v>
      </c>
      <c r="J6" s="151" t="s">
        <v>67</v>
      </c>
      <c r="K6" s="152" t="s">
        <v>82</v>
      </c>
      <c r="L6" s="153" t="s">
        <v>81</v>
      </c>
      <c r="M6" s="167" t="s">
        <v>6</v>
      </c>
      <c r="N6" s="168" t="s">
        <v>6</v>
      </c>
      <c r="O6" s="169" t="s">
        <v>126</v>
      </c>
      <c r="P6" s="137" t="s">
        <v>82</v>
      </c>
      <c r="Q6" s="136" t="s">
        <v>120</v>
      </c>
      <c r="R6" s="136" t="s">
        <v>121</v>
      </c>
      <c r="S6" s="136" t="s">
        <v>122</v>
      </c>
      <c r="T6" s="180" t="s">
        <v>123</v>
      </c>
      <c r="U6" s="122"/>
      <c r="V6" s="122" t="str">
        <f>I5</f>
        <v>RM</v>
      </c>
      <c r="W6" s="122" t="s">
        <v>125</v>
      </c>
      <c r="X6" s="122" t="s">
        <v>124</v>
      </c>
      <c r="Y6" s="122" t="str">
        <f t="shared" si="0"/>
        <v>DO Deficit</v>
      </c>
      <c r="Z6" s="122" t="str">
        <f t="shared" ref="Z6:Z32" si="2">V6</f>
        <v>RM</v>
      </c>
      <c r="AA6" s="122" t="str">
        <f t="shared" ref="AA6:AA20" si="3">Q6</f>
        <v>Organic N</v>
      </c>
      <c r="AB6" s="122" t="str">
        <f t="shared" ref="AB6:AB32" si="4">R6</f>
        <v>NH3-N</v>
      </c>
      <c r="AC6" s="122" t="str">
        <f t="shared" ref="AC6:AC32" si="5">S6</f>
        <v>Nitrite</v>
      </c>
      <c r="AD6" s="122" t="str">
        <f t="shared" ref="AD6:AD32" si="6">T6</f>
        <v>Nitrate</v>
      </c>
      <c r="AE6" s="122" t="str">
        <f t="shared" si="1"/>
        <v>CBOD</v>
      </c>
      <c r="AF6" s="16"/>
      <c r="AG6" s="7"/>
    </row>
    <row r="7" spans="1:34" ht="15" thickBot="1" x14ac:dyDescent="0.3">
      <c r="A7" s="29" t="s">
        <v>135</v>
      </c>
      <c r="B7" s="27">
        <v>45</v>
      </c>
      <c r="C7" s="22"/>
      <c r="D7" s="38"/>
      <c r="H7" s="48"/>
      <c r="I7" s="155">
        <v>0</v>
      </c>
      <c r="J7" s="156">
        <f t="shared" ref="J7:J32" si="7">I7/$B$28</f>
        <v>0</v>
      </c>
      <c r="K7" s="157">
        <f t="shared" ref="K7:K32" si="8">IF($B$29="na",$C$19/($C$30-$B$24)*(EXP(-$B$24*I7/$B$28)-EXP(-$C$30*I7/$B$28))*$F$15+$F$20*EXP(-$C$30*I7/$B$28)+(1-EXP(-$C$30*I7/$B$28))*$C$31/($B$25/3.2808)/$C$30,$C$19/($C$29-$B$24)*(EXP(-$B$24*I7/$B$28)-EXP(-$C$29*I7/$B$28))*$F$15+$F$20*EXP(-$C$29*I7/$B$28)+(1-EXP(-$C$29*I7/$B$28))*$C$31/($B$25/3.2808)/$C$29)</f>
        <v>5.127680293018777E-2</v>
      </c>
      <c r="L7" s="157">
        <f t="shared" ref="L7:L32" si="9">IF(B$29="na",B$48/(C$30-C$21)*(EXP(-C$21*J7)-EXP(-C$30*J7))+B$49/(C$30-C$20)*(EXP(-C$20*J7)-EXP(-C$30*J7))+B$50/(C$30-C$22)*(EXP(-C$22*J7)-EXP(-C$30*J7)),B$48/(C$29-C$21)*(EXP(-C$21*J7)-EXP(-C$29*J7))+B$49/(C$29-C$20)*(EXP(-C$20*J7)-EXP(-C$29*J7))+B$50/(C$29-C$22)*(EXP(-C$22*J7)-EXP(-C$29*J7)))</f>
        <v>0</v>
      </c>
      <c r="M7" s="157">
        <f>'Ambient results-no discharge'!M10</f>
        <v>11.14</v>
      </c>
      <c r="N7" s="157">
        <f t="shared" ref="N7:N32" si="10">$F$18-$K7-$L7</f>
        <v>11.071824186971607</v>
      </c>
      <c r="O7" s="161">
        <f>M7-N7</f>
        <v>6.8175813028393151E-2</v>
      </c>
      <c r="P7" s="138">
        <f t="shared" ref="P7:P32" si="11">F$15*EXP(-B$24*I7/B$28)</f>
        <v>3.8538544817461853</v>
      </c>
      <c r="Q7" s="140">
        <f t="shared" ref="Q7:Q32" si="12">F$17*EXP(-C$20*J7)</f>
        <v>0</v>
      </c>
      <c r="R7" s="141">
        <f t="shared" ref="R7:R32" si="13">F$16*EXP(-C$21*J7)+C$20*F$17/(C$21-C$20)*(EXP(-C$20*J7)-EXP(-C$21*J7))</f>
        <v>0</v>
      </c>
      <c r="S7" s="141">
        <f t="shared" ref="S7:S32" si="14">C$21*F$16/(C$22-C$21)*(EXP(-C$21*J7)-EXP(-C$22*J7))+C$21*C$20*F$17/(C$21-C$20)*((EXP(-C$20*J7)-EXP(-C$22*J7))/(C$22-C$20)-(EXP(-C$21*J7)-EXP(-C$22*J7))/(C$22-C$21))</f>
        <v>0</v>
      </c>
      <c r="T7" s="179">
        <f t="shared" ref="T7:T32" si="15">F$17+F$16-Q7-F$16*EXP(-C$21*J7)-C$20*F$17/(C$21-C$20)*(EXP(-C$20*J7)-EXP(-C$21*J7))-C$21*F$16/(C$22-C$21)*(EXP(-C$21*J7)-EXP(-C$22*J7))-C$21*C$20*F$17/(C$21-C$20)*((EXP(-C$20*J7)-EXP(-C$22*J7))/(C$22-C$20)-(EXP(-C$21*J7)-EXP(-C$22*J7))/(C$22-C$21))</f>
        <v>0</v>
      </c>
      <c r="U7" s="119"/>
      <c r="V7" s="122">
        <f t="shared" ref="V7:V32" si="16">I7</f>
        <v>0</v>
      </c>
      <c r="W7" s="122">
        <f t="shared" ref="W7:W32" si="17">N7</f>
        <v>11.071824186971607</v>
      </c>
      <c r="X7" s="122">
        <f t="shared" ref="X7:X32" si="18">M7</f>
        <v>11.14</v>
      </c>
      <c r="Y7" s="122">
        <f t="shared" si="0"/>
        <v>6.8175813028393151E-2</v>
      </c>
      <c r="Z7" s="122">
        <f t="shared" si="2"/>
        <v>0</v>
      </c>
      <c r="AA7" s="122">
        <f t="shared" si="3"/>
        <v>0</v>
      </c>
      <c r="AB7" s="122">
        <f t="shared" si="4"/>
        <v>0</v>
      </c>
      <c r="AC7" s="122">
        <f t="shared" si="5"/>
        <v>0</v>
      </c>
      <c r="AD7" s="122">
        <f t="shared" si="6"/>
        <v>0</v>
      </c>
      <c r="AE7" s="122">
        <f t="shared" si="1"/>
        <v>3.8538544817461853</v>
      </c>
      <c r="AF7" s="16"/>
      <c r="AG7" s="7"/>
    </row>
    <row r="8" spans="1:34" ht="15" thickBot="1" x14ac:dyDescent="0.3">
      <c r="A8" s="29" t="s">
        <v>43</v>
      </c>
      <c r="B8" s="27">
        <v>0</v>
      </c>
      <c r="C8" s="22"/>
      <c r="D8" s="38"/>
      <c r="E8" s="65" t="s">
        <v>74</v>
      </c>
      <c r="F8" s="67">
        <v>5</v>
      </c>
      <c r="H8" s="14"/>
      <c r="I8" s="108">
        <f t="shared" ref="I8:I32" si="19">I7+F$8</f>
        <v>5</v>
      </c>
      <c r="J8" s="109">
        <f t="shared" si="7"/>
        <v>6.4981248036347902E-2</v>
      </c>
      <c r="K8" s="18">
        <f t="shared" si="8"/>
        <v>0.10620591159304116</v>
      </c>
      <c r="L8" s="164">
        <f t="shared" si="9"/>
        <v>0</v>
      </c>
      <c r="M8" s="164">
        <f>'Ambient results-no discharge'!M11</f>
        <v>11.084787456297738</v>
      </c>
      <c r="N8" s="18">
        <f t="shared" si="10"/>
        <v>11.016895078308753</v>
      </c>
      <c r="O8" s="162">
        <f t="shared" ref="O8:O32" si="20">M8-N8</f>
        <v>6.789237798898462E-2</v>
      </c>
      <c r="P8" s="78">
        <f t="shared" si="11"/>
        <v>3.8312579603679091</v>
      </c>
      <c r="Q8" s="142">
        <f t="shared" si="12"/>
        <v>0</v>
      </c>
      <c r="R8" s="143">
        <f t="shared" si="13"/>
        <v>0</v>
      </c>
      <c r="S8" s="143">
        <f t="shared" si="14"/>
        <v>0</v>
      </c>
      <c r="T8" s="144">
        <f t="shared" si="15"/>
        <v>0</v>
      </c>
      <c r="U8" s="25"/>
      <c r="V8" s="122">
        <f t="shared" si="16"/>
        <v>5</v>
      </c>
      <c r="W8" s="122">
        <f t="shared" si="17"/>
        <v>11.016895078308753</v>
      </c>
      <c r="X8" s="122">
        <f t="shared" si="18"/>
        <v>11.084787456297738</v>
      </c>
      <c r="Y8" s="122">
        <f t="shared" si="0"/>
        <v>6.789237798898462E-2</v>
      </c>
      <c r="Z8" s="122">
        <f t="shared" si="2"/>
        <v>5</v>
      </c>
      <c r="AA8" s="122">
        <f t="shared" si="3"/>
        <v>0</v>
      </c>
      <c r="AB8" s="122">
        <f t="shared" si="4"/>
        <v>0</v>
      </c>
      <c r="AC8" s="122">
        <f t="shared" si="5"/>
        <v>0</v>
      </c>
      <c r="AD8" s="122">
        <f t="shared" si="6"/>
        <v>0</v>
      </c>
      <c r="AE8" s="122">
        <f t="shared" si="1"/>
        <v>3.8312579603679091</v>
      </c>
      <c r="AF8" s="16"/>
      <c r="AG8" s="7"/>
    </row>
    <row r="9" spans="1:34" x14ac:dyDescent="0.2">
      <c r="A9" s="29" t="s">
        <v>108</v>
      </c>
      <c r="B9" s="27">
        <v>0</v>
      </c>
      <c r="C9" s="126"/>
      <c r="D9" s="38"/>
      <c r="H9" s="14"/>
      <c r="I9" s="108">
        <f t="shared" si="19"/>
        <v>10</v>
      </c>
      <c r="J9" s="109">
        <f t="shared" si="7"/>
        <v>0.1299624960726958</v>
      </c>
      <c r="K9" s="18">
        <f t="shared" si="8"/>
        <v>0.15183683470885334</v>
      </c>
      <c r="L9" s="164">
        <f t="shared" si="9"/>
        <v>0</v>
      </c>
      <c r="M9" s="164">
        <f>'Ambient results-no discharge'!M12</f>
        <v>11.038858074115165</v>
      </c>
      <c r="N9" s="18">
        <f t="shared" si="10"/>
        <v>10.971264155192943</v>
      </c>
      <c r="O9" s="162">
        <f t="shared" si="20"/>
        <v>6.7593918922222329E-2</v>
      </c>
      <c r="P9" s="78">
        <f t="shared" si="11"/>
        <v>3.8087939304422345</v>
      </c>
      <c r="Q9" s="142">
        <f t="shared" si="12"/>
        <v>0</v>
      </c>
      <c r="R9" s="143">
        <f t="shared" si="13"/>
        <v>0</v>
      </c>
      <c r="S9" s="143">
        <f t="shared" si="14"/>
        <v>0</v>
      </c>
      <c r="T9" s="144">
        <f t="shared" si="15"/>
        <v>0</v>
      </c>
      <c r="U9" s="25"/>
      <c r="V9" s="122">
        <f t="shared" si="16"/>
        <v>10</v>
      </c>
      <c r="W9" s="122">
        <f t="shared" si="17"/>
        <v>10.971264155192943</v>
      </c>
      <c r="X9" s="122">
        <f t="shared" si="18"/>
        <v>11.038858074115165</v>
      </c>
      <c r="Y9" s="122">
        <f t="shared" si="0"/>
        <v>6.7593918922222329E-2</v>
      </c>
      <c r="Z9" s="122">
        <f t="shared" si="2"/>
        <v>10</v>
      </c>
      <c r="AA9" s="122">
        <f t="shared" si="3"/>
        <v>0</v>
      </c>
      <c r="AB9" s="122">
        <f t="shared" si="4"/>
        <v>0</v>
      </c>
      <c r="AC9" s="122">
        <f t="shared" si="5"/>
        <v>0</v>
      </c>
      <c r="AD9" s="122">
        <f t="shared" si="6"/>
        <v>0</v>
      </c>
      <c r="AE9" s="122">
        <f t="shared" si="1"/>
        <v>3.8087939304422345</v>
      </c>
      <c r="AF9" s="16"/>
      <c r="AG9" s="7"/>
    </row>
    <row r="10" spans="1:34" ht="15" thickBot="1" x14ac:dyDescent="0.3">
      <c r="A10" s="29" t="s">
        <v>142</v>
      </c>
      <c r="B10" s="125">
        <v>67.5</v>
      </c>
      <c r="C10" s="22"/>
      <c r="D10" s="38"/>
      <c r="H10" s="14"/>
      <c r="I10" s="108">
        <f t="shared" si="19"/>
        <v>15</v>
      </c>
      <c r="J10" s="109">
        <f t="shared" si="7"/>
        <v>0.19494374410904372</v>
      </c>
      <c r="K10" s="18">
        <f t="shared" si="8"/>
        <v>0.18972374758033272</v>
      </c>
      <c r="L10" s="164">
        <f t="shared" si="9"/>
        <v>0</v>
      </c>
      <c r="M10" s="164">
        <f>'Ambient results-no discharge'!M13</f>
        <v>11.000662169826528</v>
      </c>
      <c r="N10" s="18">
        <f t="shared" si="10"/>
        <v>10.933377242321463</v>
      </c>
      <c r="O10" s="162">
        <f t="shared" si="20"/>
        <v>6.7284927505065539E-2</v>
      </c>
      <c r="P10" s="78">
        <f t="shared" si="11"/>
        <v>3.7864616151245869</v>
      </c>
      <c r="Q10" s="142">
        <f t="shared" si="12"/>
        <v>0</v>
      </c>
      <c r="R10" s="143">
        <f t="shared" si="13"/>
        <v>0</v>
      </c>
      <c r="S10" s="143">
        <f t="shared" si="14"/>
        <v>0</v>
      </c>
      <c r="T10" s="144">
        <f t="shared" si="15"/>
        <v>0</v>
      </c>
      <c r="U10" s="25"/>
      <c r="V10" s="122">
        <f t="shared" si="16"/>
        <v>15</v>
      </c>
      <c r="W10" s="122">
        <f t="shared" si="17"/>
        <v>10.933377242321463</v>
      </c>
      <c r="X10" s="122">
        <f t="shared" si="18"/>
        <v>11.000662169826528</v>
      </c>
      <c r="Y10" s="122">
        <f t="shared" si="0"/>
        <v>6.7284927505065539E-2</v>
      </c>
      <c r="Z10" s="122">
        <f t="shared" si="2"/>
        <v>15</v>
      </c>
      <c r="AA10" s="122">
        <f t="shared" si="3"/>
        <v>0</v>
      </c>
      <c r="AB10" s="122">
        <f t="shared" si="4"/>
        <v>0</v>
      </c>
      <c r="AC10" s="122">
        <f t="shared" si="5"/>
        <v>0</v>
      </c>
      <c r="AD10" s="122">
        <f t="shared" si="6"/>
        <v>0</v>
      </c>
      <c r="AE10" s="122">
        <f t="shared" si="1"/>
        <v>3.7864616151245869</v>
      </c>
      <c r="AF10" s="16"/>
      <c r="AG10" s="7"/>
    </row>
    <row r="11" spans="1:34" ht="16.5" thickBot="1" x14ac:dyDescent="0.3">
      <c r="A11" s="33" t="s">
        <v>38</v>
      </c>
      <c r="B11" s="129">
        <v>7.0000000000000007E-2</v>
      </c>
      <c r="C11" s="130">
        <f>$B$11*1.04^(B5-20)</f>
        <v>5.7534897473154614E-2</v>
      </c>
      <c r="D11" s="38"/>
      <c r="E11" s="43" t="s">
        <v>3</v>
      </c>
      <c r="F11" s="44"/>
      <c r="G11" s="47"/>
      <c r="H11" s="14"/>
      <c r="I11" s="108">
        <f t="shared" si="19"/>
        <v>20</v>
      </c>
      <c r="J11" s="109">
        <f t="shared" si="7"/>
        <v>0.25992499214539161</v>
      </c>
      <c r="K11" s="18">
        <f t="shared" si="8"/>
        <v>0.22116116234931221</v>
      </c>
      <c r="L11" s="164">
        <f t="shared" si="9"/>
        <v>0</v>
      </c>
      <c r="M11" s="164">
        <f>'Ambient results-no discharge'!M14</f>
        <v>10.96890869124532</v>
      </c>
      <c r="N11" s="18">
        <f t="shared" si="10"/>
        <v>10.901939827552482</v>
      </c>
      <c r="O11" s="162">
        <f t="shared" si="20"/>
        <v>6.6968863692837388E-2</v>
      </c>
      <c r="P11" s="78">
        <f t="shared" si="11"/>
        <v>3.7642602421253097</v>
      </c>
      <c r="Q11" s="142">
        <f t="shared" si="12"/>
        <v>0</v>
      </c>
      <c r="R11" s="143">
        <f t="shared" si="13"/>
        <v>0</v>
      </c>
      <c r="S11" s="143">
        <f t="shared" si="14"/>
        <v>0</v>
      </c>
      <c r="T11" s="144">
        <f t="shared" si="15"/>
        <v>0</v>
      </c>
      <c r="U11" s="25"/>
      <c r="V11" s="122">
        <f t="shared" si="16"/>
        <v>20</v>
      </c>
      <c r="W11" s="122">
        <f t="shared" si="17"/>
        <v>10.901939827552482</v>
      </c>
      <c r="X11" s="122">
        <f t="shared" si="18"/>
        <v>10.96890869124532</v>
      </c>
      <c r="Y11" s="122">
        <f t="shared" si="0"/>
        <v>6.6968863692837388E-2</v>
      </c>
      <c r="Z11" s="122">
        <f t="shared" si="2"/>
        <v>20</v>
      </c>
      <c r="AA11" s="122">
        <f t="shared" si="3"/>
        <v>0</v>
      </c>
      <c r="AB11" s="122">
        <f t="shared" si="4"/>
        <v>0</v>
      </c>
      <c r="AC11" s="122">
        <f t="shared" si="5"/>
        <v>0</v>
      </c>
      <c r="AD11" s="122">
        <f t="shared" si="6"/>
        <v>0</v>
      </c>
      <c r="AE11" s="122">
        <f t="shared" si="1"/>
        <v>3.7642602421253097</v>
      </c>
      <c r="AF11" s="16"/>
      <c r="AG11" s="7"/>
    </row>
    <row r="12" spans="1:34" ht="15.75" thickBot="1" x14ac:dyDescent="0.25">
      <c r="A12" s="43" t="s">
        <v>2</v>
      </c>
      <c r="B12" s="44"/>
      <c r="C12" s="45"/>
      <c r="D12" s="38"/>
      <c r="E12" s="127" t="s">
        <v>18</v>
      </c>
      <c r="F12" s="212">
        <f>($B$5*$B$10*1.547+$B$13*$B$18)/($B$10*1.547+$B$18)</f>
        <v>10.549965986747191</v>
      </c>
      <c r="G12" s="213">
        <f>273.15+$F$12</f>
        <v>283.69996598674715</v>
      </c>
      <c r="H12" s="14"/>
      <c r="I12" s="108">
        <f t="shared" si="19"/>
        <v>25</v>
      </c>
      <c r="J12" s="109">
        <f t="shared" si="7"/>
        <v>0.32490624018173953</v>
      </c>
      <c r="K12" s="18">
        <f t="shared" si="8"/>
        <v>0.24722731043507071</v>
      </c>
      <c r="L12" s="164">
        <f t="shared" si="9"/>
        <v>0</v>
      </c>
      <c r="M12" s="164">
        <f>'Ambient results-no discharge'!M15</f>
        <v>10.94252205421256</v>
      </c>
      <c r="N12" s="18">
        <f t="shared" si="10"/>
        <v>10.875873679466725</v>
      </c>
      <c r="O12" s="162">
        <f t="shared" si="20"/>
        <v>6.6648374745835071E-2</v>
      </c>
      <c r="P12" s="78">
        <f t="shared" si="11"/>
        <v>3.7421890436829548</v>
      </c>
      <c r="Q12" s="142">
        <f t="shared" si="12"/>
        <v>0</v>
      </c>
      <c r="R12" s="143">
        <f t="shared" si="13"/>
        <v>0</v>
      </c>
      <c r="S12" s="143">
        <f t="shared" si="14"/>
        <v>0</v>
      </c>
      <c r="T12" s="144">
        <f t="shared" si="15"/>
        <v>0</v>
      </c>
      <c r="U12" s="25"/>
      <c r="V12" s="122">
        <f t="shared" si="16"/>
        <v>25</v>
      </c>
      <c r="W12" s="122">
        <f t="shared" si="17"/>
        <v>10.875873679466725</v>
      </c>
      <c r="X12" s="122">
        <f t="shared" si="18"/>
        <v>10.94252205421256</v>
      </c>
      <c r="Y12" s="122">
        <f t="shared" si="0"/>
        <v>6.6648374745835071E-2</v>
      </c>
      <c r="Z12" s="122">
        <f t="shared" si="2"/>
        <v>25</v>
      </c>
      <c r="AA12" s="122">
        <f t="shared" si="3"/>
        <v>0</v>
      </c>
      <c r="AB12" s="122">
        <f t="shared" si="4"/>
        <v>0</v>
      </c>
      <c r="AC12" s="122">
        <f t="shared" si="5"/>
        <v>0</v>
      </c>
      <c r="AD12" s="122">
        <f t="shared" si="6"/>
        <v>0</v>
      </c>
      <c r="AE12" s="122">
        <f t="shared" si="1"/>
        <v>3.7421890436829548</v>
      </c>
      <c r="AF12" s="16"/>
      <c r="AG12" s="7"/>
    </row>
    <row r="13" spans="1:34" x14ac:dyDescent="0.2">
      <c r="A13" s="41" t="s">
        <v>8</v>
      </c>
      <c r="B13" s="42">
        <v>10.5</v>
      </c>
      <c r="C13" s="20"/>
      <c r="D13" s="38"/>
      <c r="E13" s="29" t="s">
        <v>115</v>
      </c>
      <c r="F13" s="13">
        <f>$B$7/(1-EXP(-$B$11*5))</f>
        <v>152.38125667582185</v>
      </c>
      <c r="G13" s="50"/>
      <c r="H13" s="14"/>
      <c r="I13" s="108">
        <f t="shared" si="19"/>
        <v>30</v>
      </c>
      <c r="J13" s="109">
        <f t="shared" si="7"/>
        <v>0.38988748821808744</v>
      </c>
      <c r="K13" s="18">
        <f t="shared" si="8"/>
        <v>0.26882027698673744</v>
      </c>
      <c r="L13" s="164">
        <f t="shared" si="9"/>
        <v>0</v>
      </c>
      <c r="M13" s="164">
        <f>'Ambient results-no discharge'!M16</f>
        <v>10.920606182793207</v>
      </c>
      <c r="N13" s="18">
        <f t="shared" si="10"/>
        <v>10.854280712915058</v>
      </c>
      <c r="O13" s="162">
        <f t="shared" si="20"/>
        <v>6.632546987814969E-2</v>
      </c>
      <c r="P13" s="78">
        <f t="shared" si="11"/>
        <v>3.7202472565377334</v>
      </c>
      <c r="Q13" s="142">
        <f t="shared" si="12"/>
        <v>0</v>
      </c>
      <c r="R13" s="143">
        <f t="shared" si="13"/>
        <v>0</v>
      </c>
      <c r="S13" s="143">
        <f t="shared" si="14"/>
        <v>0</v>
      </c>
      <c r="T13" s="144">
        <f t="shared" si="15"/>
        <v>0</v>
      </c>
      <c r="U13" s="25"/>
      <c r="V13" s="122">
        <f t="shared" si="16"/>
        <v>30</v>
      </c>
      <c r="W13" s="122">
        <f t="shared" si="17"/>
        <v>10.854280712915058</v>
      </c>
      <c r="X13" s="122">
        <f t="shared" si="18"/>
        <v>10.920606182793207</v>
      </c>
      <c r="Y13" s="122">
        <f t="shared" si="0"/>
        <v>6.632546987814969E-2</v>
      </c>
      <c r="Z13" s="122">
        <f t="shared" si="2"/>
        <v>30</v>
      </c>
      <c r="AA13" s="122">
        <f t="shared" si="3"/>
        <v>0</v>
      </c>
      <c r="AB13" s="122">
        <f t="shared" si="4"/>
        <v>0</v>
      </c>
      <c r="AC13" s="122">
        <f t="shared" si="5"/>
        <v>0</v>
      </c>
      <c r="AD13" s="122">
        <f t="shared" si="6"/>
        <v>0</v>
      </c>
      <c r="AE13" s="122">
        <f t="shared" si="1"/>
        <v>3.7202472565377334</v>
      </c>
      <c r="AF13" s="16"/>
      <c r="AG13" s="7"/>
    </row>
    <row r="14" spans="1:34" x14ac:dyDescent="0.2">
      <c r="A14" s="29" t="s">
        <v>6</v>
      </c>
      <c r="B14" s="27">
        <v>11.14</v>
      </c>
      <c r="C14" s="22"/>
      <c r="D14" s="38"/>
      <c r="E14" s="29" t="s">
        <v>116</v>
      </c>
      <c r="F14" s="17">
        <f>$B$15/(1-EXP(-$B$19*5))</f>
        <v>2.1850772499979092</v>
      </c>
      <c r="G14" s="50"/>
      <c r="H14" s="14"/>
      <c r="I14" s="108">
        <f t="shared" si="19"/>
        <v>35</v>
      </c>
      <c r="J14" s="109">
        <f t="shared" si="7"/>
        <v>0.4548687362544353</v>
      </c>
      <c r="K14" s="18">
        <f t="shared" si="8"/>
        <v>0.28668809828445524</v>
      </c>
      <c r="L14" s="164">
        <f t="shared" si="9"/>
        <v>0</v>
      </c>
      <c r="M14" s="164">
        <f>'Ambient results-no discharge'!M17</f>
        <v>10.902414550859447</v>
      </c>
      <c r="N14" s="18">
        <f t="shared" si="10"/>
        <v>10.836412891617339</v>
      </c>
      <c r="O14" s="162">
        <f t="shared" si="20"/>
        <v>6.6001659242107991E-2</v>
      </c>
      <c r="P14" s="78">
        <f t="shared" si="11"/>
        <v>3.6984341219051213</v>
      </c>
      <c r="Q14" s="142">
        <f t="shared" si="12"/>
        <v>0</v>
      </c>
      <c r="R14" s="143">
        <f t="shared" si="13"/>
        <v>0</v>
      </c>
      <c r="S14" s="143">
        <f t="shared" si="14"/>
        <v>0</v>
      </c>
      <c r="T14" s="144">
        <f t="shared" si="15"/>
        <v>0</v>
      </c>
      <c r="U14" s="25"/>
      <c r="V14" s="122">
        <f t="shared" si="16"/>
        <v>35</v>
      </c>
      <c r="W14" s="122">
        <f t="shared" si="17"/>
        <v>10.836412891617339</v>
      </c>
      <c r="X14" s="122">
        <f t="shared" si="18"/>
        <v>10.902414550859447</v>
      </c>
      <c r="Y14" s="122">
        <f t="shared" si="0"/>
        <v>6.6001659242107991E-2</v>
      </c>
      <c r="Z14" s="122">
        <f t="shared" si="2"/>
        <v>35</v>
      </c>
      <c r="AA14" s="122">
        <f t="shared" si="3"/>
        <v>0</v>
      </c>
      <c r="AB14" s="122">
        <f t="shared" si="4"/>
        <v>0</v>
      </c>
      <c r="AC14" s="122">
        <f t="shared" si="5"/>
        <v>0</v>
      </c>
      <c r="AD14" s="122">
        <f t="shared" si="6"/>
        <v>0</v>
      </c>
      <c r="AE14" s="122">
        <f t="shared" si="1"/>
        <v>3.6984341219051213</v>
      </c>
      <c r="AF14" s="16"/>
      <c r="AG14" s="7"/>
    </row>
    <row r="15" spans="1:34" ht="12" customHeight="1" x14ac:dyDescent="0.25">
      <c r="A15" s="29" t="s">
        <v>136</v>
      </c>
      <c r="B15" s="27">
        <v>1.1000000000000001</v>
      </c>
      <c r="C15" s="22"/>
      <c r="D15" s="38"/>
      <c r="E15" s="66" t="s">
        <v>117</v>
      </c>
      <c r="F15" s="18">
        <f>($F13*$B$10*1.548+$F14*$B$18)/($B$10*1.548+$B$18)</f>
        <v>3.8538544817461853</v>
      </c>
      <c r="G15" s="50"/>
      <c r="H15" s="14"/>
      <c r="I15" s="108">
        <f t="shared" si="19"/>
        <v>40</v>
      </c>
      <c r="J15" s="109">
        <f t="shared" si="7"/>
        <v>0.51984998429078322</v>
      </c>
      <c r="K15" s="18">
        <f t="shared" si="8"/>
        <v>0.30145383071083737</v>
      </c>
      <c r="L15" s="164">
        <f t="shared" si="9"/>
        <v>0</v>
      </c>
      <c r="M15" s="164">
        <f>'Ambient results-no discharge'!M18</f>
        <v>10.887325223480225</v>
      </c>
      <c r="N15" s="18">
        <f t="shared" si="10"/>
        <v>10.821647159190958</v>
      </c>
      <c r="O15" s="162">
        <f t="shared" si="20"/>
        <v>6.5678064289267368E-2</v>
      </c>
      <c r="P15" s="78">
        <f t="shared" si="11"/>
        <v>3.6767488854496162</v>
      </c>
      <c r="Q15" s="142">
        <f t="shared" si="12"/>
        <v>0</v>
      </c>
      <c r="R15" s="143">
        <f t="shared" si="13"/>
        <v>0</v>
      </c>
      <c r="S15" s="143">
        <f t="shared" si="14"/>
        <v>0</v>
      </c>
      <c r="T15" s="144">
        <f t="shared" si="15"/>
        <v>0</v>
      </c>
      <c r="U15" s="25"/>
      <c r="V15" s="122">
        <f t="shared" si="16"/>
        <v>40</v>
      </c>
      <c r="W15" s="122">
        <f t="shared" si="17"/>
        <v>10.821647159190958</v>
      </c>
      <c r="X15" s="122">
        <f t="shared" si="18"/>
        <v>10.887325223480225</v>
      </c>
      <c r="Y15" s="122">
        <f t="shared" si="0"/>
        <v>6.5678064289267368E-2</v>
      </c>
      <c r="Z15" s="122">
        <f t="shared" si="2"/>
        <v>40</v>
      </c>
      <c r="AA15" s="122">
        <f t="shared" si="3"/>
        <v>0</v>
      </c>
      <c r="AB15" s="122">
        <f t="shared" si="4"/>
        <v>0</v>
      </c>
      <c r="AC15" s="122">
        <f t="shared" si="5"/>
        <v>0</v>
      </c>
      <c r="AD15" s="122">
        <f t="shared" si="6"/>
        <v>0</v>
      </c>
      <c r="AE15" s="122">
        <f t="shared" si="1"/>
        <v>3.6767488854496162</v>
      </c>
      <c r="AF15" s="16"/>
      <c r="AG15" s="7"/>
    </row>
    <row r="16" spans="1:34" ht="14.25" x14ac:dyDescent="0.25">
      <c r="A16" s="29" t="s">
        <v>13</v>
      </c>
      <c r="B16" s="27">
        <v>0</v>
      </c>
      <c r="C16" s="22"/>
      <c r="D16" s="38"/>
      <c r="E16" s="120" t="s">
        <v>118</v>
      </c>
      <c r="F16" s="18">
        <f>(B8*B10*1.548+B16*B18)/(B10*1.548+B18)</f>
        <v>0</v>
      </c>
      <c r="G16" s="50"/>
      <c r="H16" s="14"/>
      <c r="I16" s="108">
        <f t="shared" si="19"/>
        <v>45</v>
      </c>
      <c r="J16" s="109">
        <f t="shared" si="7"/>
        <v>0.58483123232713108</v>
      </c>
      <c r="K16" s="18">
        <f t="shared" si="8"/>
        <v>0.31363643140195141</v>
      </c>
      <c r="L16" s="164">
        <f t="shared" si="9"/>
        <v>0</v>
      </c>
      <c r="M16" s="164">
        <f>'Ambient results-no discharge'!M19</f>
        <v>10.87482006369166</v>
      </c>
      <c r="N16" s="18">
        <f t="shared" si="10"/>
        <v>10.809464558499844</v>
      </c>
      <c r="O16" s="162">
        <f t="shared" si="20"/>
        <v>6.5355505191815766E-2</v>
      </c>
      <c r="P16" s="78">
        <f t="shared" si="11"/>
        <v>3.6551907972586553</v>
      </c>
      <c r="Q16" s="142">
        <f t="shared" si="12"/>
        <v>0</v>
      </c>
      <c r="R16" s="143">
        <f t="shared" si="13"/>
        <v>0</v>
      </c>
      <c r="S16" s="143">
        <f t="shared" si="14"/>
        <v>0</v>
      </c>
      <c r="T16" s="144">
        <f t="shared" si="15"/>
        <v>0</v>
      </c>
      <c r="U16" s="25"/>
      <c r="V16" s="122">
        <f t="shared" si="16"/>
        <v>45</v>
      </c>
      <c r="W16" s="122">
        <f t="shared" si="17"/>
        <v>10.809464558499844</v>
      </c>
      <c r="X16" s="122">
        <f t="shared" si="18"/>
        <v>10.87482006369166</v>
      </c>
      <c r="Y16" s="122">
        <f t="shared" si="0"/>
        <v>6.5355505191815766E-2</v>
      </c>
      <c r="Z16" s="122">
        <f t="shared" si="2"/>
        <v>45</v>
      </c>
      <c r="AA16" s="122">
        <f t="shared" si="3"/>
        <v>0</v>
      </c>
      <c r="AB16" s="122">
        <f t="shared" si="4"/>
        <v>0</v>
      </c>
      <c r="AC16" s="122">
        <f t="shared" si="5"/>
        <v>0</v>
      </c>
      <c r="AD16" s="122">
        <f t="shared" si="6"/>
        <v>0</v>
      </c>
      <c r="AE16" s="122">
        <f t="shared" si="1"/>
        <v>3.6551907972586553</v>
      </c>
      <c r="AF16" s="16"/>
      <c r="AG16" s="7"/>
    </row>
    <row r="17" spans="1:33" ht="14.25" x14ac:dyDescent="0.25">
      <c r="A17" s="32" t="s">
        <v>107</v>
      </c>
      <c r="B17" s="27">
        <v>0</v>
      </c>
      <c r="C17" s="22"/>
      <c r="D17" s="38"/>
      <c r="E17" s="120" t="s">
        <v>119</v>
      </c>
      <c r="F17" s="18">
        <f>((B9-B8)*B10*1.548+(B17-B16)*B18)/(B10*1.548+B18)</f>
        <v>0</v>
      </c>
      <c r="G17" s="126"/>
      <c r="H17" s="14"/>
      <c r="I17" s="108">
        <f t="shared" si="19"/>
        <v>50</v>
      </c>
      <c r="J17" s="109">
        <f t="shared" si="7"/>
        <v>0.64981248036347905</v>
      </c>
      <c r="K17" s="18">
        <f t="shared" si="8"/>
        <v>0.32366815032843138</v>
      </c>
      <c r="L17" s="164">
        <f t="shared" si="9"/>
        <v>0</v>
      </c>
      <c r="M17" s="164">
        <f>'Ambient results-no discharge'!M20</f>
        <v>10.864467409481543</v>
      </c>
      <c r="N17" s="18">
        <f t="shared" si="10"/>
        <v>10.799432839573363</v>
      </c>
      <c r="O17" s="162">
        <f t="shared" si="20"/>
        <v>6.5034569908180018E-2</v>
      </c>
      <c r="P17" s="78">
        <f t="shared" si="11"/>
        <v>3.6337591118166794</v>
      </c>
      <c r="Q17" s="142">
        <f t="shared" si="12"/>
        <v>0</v>
      </c>
      <c r="R17" s="143">
        <f t="shared" si="13"/>
        <v>0</v>
      </c>
      <c r="S17" s="143">
        <f t="shared" si="14"/>
        <v>0</v>
      </c>
      <c r="T17" s="144">
        <f t="shared" si="15"/>
        <v>0</v>
      </c>
      <c r="U17" s="25"/>
      <c r="V17" s="122">
        <f t="shared" si="16"/>
        <v>50</v>
      </c>
      <c r="W17" s="122">
        <f t="shared" si="17"/>
        <v>10.799432839573363</v>
      </c>
      <c r="X17" s="122">
        <f t="shared" si="18"/>
        <v>10.864467409481543</v>
      </c>
      <c r="Y17" s="122">
        <f t="shared" si="0"/>
        <v>6.5034569908180018E-2</v>
      </c>
      <c r="Z17" s="122">
        <f t="shared" si="2"/>
        <v>50</v>
      </c>
      <c r="AA17" s="122">
        <f t="shared" si="3"/>
        <v>0</v>
      </c>
      <c r="AB17" s="122">
        <f t="shared" si="4"/>
        <v>0</v>
      </c>
      <c r="AC17" s="122">
        <f t="shared" si="5"/>
        <v>0</v>
      </c>
      <c r="AD17" s="122">
        <f t="shared" si="6"/>
        <v>0</v>
      </c>
      <c r="AE17" s="122">
        <f t="shared" si="1"/>
        <v>3.6337591118166794</v>
      </c>
      <c r="AF17" s="16"/>
      <c r="AG17" s="7"/>
    </row>
    <row r="18" spans="1:33" ht="14.25" x14ac:dyDescent="0.25">
      <c r="A18" s="29" t="s">
        <v>143</v>
      </c>
      <c r="B18" s="27">
        <v>9300</v>
      </c>
      <c r="C18" s="22"/>
      <c r="D18" s="38"/>
      <c r="E18" s="214" t="s">
        <v>157</v>
      </c>
      <c r="F18" s="18">
        <f>E32</f>
        <v>11.123100989901795</v>
      </c>
      <c r="G18" s="51"/>
      <c r="H18" s="14"/>
      <c r="I18" s="108">
        <f t="shared" si="19"/>
        <v>55</v>
      </c>
      <c r="J18" s="109">
        <f t="shared" si="7"/>
        <v>0.71479372839982691</v>
      </c>
      <c r="K18" s="18">
        <f t="shared" si="8"/>
        <v>0.33190901664866335</v>
      </c>
      <c r="L18" s="164">
        <f t="shared" si="9"/>
        <v>0</v>
      </c>
      <c r="M18" s="164">
        <f>'Ambient results-no discharge'!M21</f>
        <v>10.855907641838565</v>
      </c>
      <c r="N18" s="18">
        <f t="shared" si="10"/>
        <v>10.791191973253131</v>
      </c>
      <c r="O18" s="162">
        <f t="shared" si="20"/>
        <v>6.4715668585433761E-2</v>
      </c>
      <c r="P18" s="78">
        <f t="shared" si="11"/>
        <v>3.6124530879793535</v>
      </c>
      <c r="Q18" s="142">
        <f t="shared" si="12"/>
        <v>0</v>
      </c>
      <c r="R18" s="143">
        <f t="shared" si="13"/>
        <v>0</v>
      </c>
      <c r="S18" s="143">
        <f t="shared" si="14"/>
        <v>0</v>
      </c>
      <c r="T18" s="144">
        <f t="shared" si="15"/>
        <v>0</v>
      </c>
      <c r="U18" s="25"/>
      <c r="V18" s="122">
        <f t="shared" si="16"/>
        <v>55</v>
      </c>
      <c r="W18" s="122">
        <f t="shared" si="17"/>
        <v>10.791191973253131</v>
      </c>
      <c r="X18" s="122">
        <f t="shared" si="18"/>
        <v>10.855907641838565</v>
      </c>
      <c r="Y18" s="122">
        <f t="shared" si="0"/>
        <v>6.4715668585433761E-2</v>
      </c>
      <c r="Z18" s="122">
        <f t="shared" si="2"/>
        <v>55</v>
      </c>
      <c r="AA18" s="122">
        <f t="shared" si="3"/>
        <v>0</v>
      </c>
      <c r="AB18" s="122">
        <f t="shared" si="4"/>
        <v>0</v>
      </c>
      <c r="AC18" s="122">
        <f t="shared" si="5"/>
        <v>0</v>
      </c>
      <c r="AD18" s="122">
        <f t="shared" si="6"/>
        <v>0</v>
      </c>
      <c r="AE18" s="122">
        <f t="shared" si="1"/>
        <v>3.6124530879793535</v>
      </c>
      <c r="AF18" s="16"/>
      <c r="AG18" s="7"/>
    </row>
    <row r="19" spans="1:33" ht="14.25" x14ac:dyDescent="0.25">
      <c r="A19" s="29" t="s">
        <v>40</v>
      </c>
      <c r="B19" s="27">
        <v>0.14000000000000001</v>
      </c>
      <c r="C19" s="39">
        <f>$B$19*$B$33^($B$13-20)</f>
        <v>9.0497078613361148E-2</v>
      </c>
      <c r="D19" s="38"/>
      <c r="E19" s="29" t="s">
        <v>28</v>
      </c>
      <c r="F19" s="18">
        <f>($B$10*1.547*$B$6+$B$18*$B$14)/($B$10*1.547+$B$18)</f>
        <v>11.071824186971607</v>
      </c>
      <c r="G19" s="50"/>
      <c r="H19" s="14"/>
      <c r="I19" s="108">
        <f t="shared" si="19"/>
        <v>60</v>
      </c>
      <c r="J19" s="109">
        <f t="shared" si="7"/>
        <v>0.77977497643617488</v>
      </c>
      <c r="K19" s="18">
        <f t="shared" si="8"/>
        <v>0.33865890479949112</v>
      </c>
      <c r="L19" s="164">
        <f t="shared" si="9"/>
        <v>0</v>
      </c>
      <c r="M19" s="164">
        <f>'Ambient results-no discharge'!M22</f>
        <v>10.848841161372031</v>
      </c>
      <c r="N19" s="18">
        <f t="shared" si="10"/>
        <v>10.784442085102304</v>
      </c>
      <c r="O19" s="162">
        <f t="shared" si="20"/>
        <v>6.4399076269726407E-2</v>
      </c>
      <c r="P19" s="78">
        <f t="shared" si="11"/>
        <v>3.5912719889479341</v>
      </c>
      <c r="Q19" s="142">
        <f t="shared" si="12"/>
        <v>0</v>
      </c>
      <c r="R19" s="143">
        <f t="shared" si="13"/>
        <v>0</v>
      </c>
      <c r="S19" s="143">
        <f t="shared" si="14"/>
        <v>0</v>
      </c>
      <c r="T19" s="144">
        <f t="shared" si="15"/>
        <v>0</v>
      </c>
      <c r="U19" s="25"/>
      <c r="V19" s="122">
        <f t="shared" si="16"/>
        <v>60</v>
      </c>
      <c r="W19" s="122">
        <f t="shared" si="17"/>
        <v>10.784442085102304</v>
      </c>
      <c r="X19" s="122">
        <f t="shared" si="18"/>
        <v>10.848841161372031</v>
      </c>
      <c r="Y19" s="122">
        <f t="shared" si="0"/>
        <v>6.4399076269726407E-2</v>
      </c>
      <c r="Z19" s="122">
        <f t="shared" si="2"/>
        <v>60</v>
      </c>
      <c r="AA19" s="122">
        <f t="shared" si="3"/>
        <v>0</v>
      </c>
      <c r="AB19" s="122">
        <f t="shared" si="4"/>
        <v>0</v>
      </c>
      <c r="AC19" s="122">
        <f t="shared" si="5"/>
        <v>0</v>
      </c>
      <c r="AD19" s="122">
        <f t="shared" si="6"/>
        <v>0</v>
      </c>
      <c r="AE19" s="122">
        <f t="shared" si="1"/>
        <v>3.5912719889479341</v>
      </c>
      <c r="AF19" s="16"/>
      <c r="AG19" s="7"/>
    </row>
    <row r="20" spans="1:33" ht="15" thickBot="1" x14ac:dyDescent="0.3">
      <c r="A20" s="29" t="s">
        <v>110</v>
      </c>
      <c r="B20" s="27">
        <v>0.70099999999999996</v>
      </c>
      <c r="C20" s="39">
        <f>$B20*$B$36^($B$13-20)</f>
        <v>0.33743671993410201</v>
      </c>
      <c r="D20" s="38"/>
      <c r="E20" s="33" t="s">
        <v>102</v>
      </c>
      <c r="F20" s="85">
        <f>F18-F19</f>
        <v>5.127680293018777E-2</v>
      </c>
      <c r="G20" s="52"/>
      <c r="H20" s="7"/>
      <c r="I20" s="108">
        <f t="shared" si="19"/>
        <v>65</v>
      </c>
      <c r="J20" s="109">
        <f t="shared" si="7"/>
        <v>0.84475622447252274</v>
      </c>
      <c r="K20" s="18">
        <f t="shared" si="8"/>
        <v>0.34416758468225811</v>
      </c>
      <c r="L20" s="164">
        <f t="shared" si="9"/>
        <v>0</v>
      </c>
      <c r="M20" s="164">
        <f>'Ambient results-no discharge'!M23</f>
        <v>10.843018371532045</v>
      </c>
      <c r="N20" s="18">
        <f t="shared" si="10"/>
        <v>10.778933405219536</v>
      </c>
      <c r="O20" s="162">
        <f t="shared" si="20"/>
        <v>6.4084966312508485E-2</v>
      </c>
      <c r="P20" s="78">
        <f t="shared" si="11"/>
        <v>3.5702150822437932</v>
      </c>
      <c r="Q20" s="142">
        <f t="shared" si="12"/>
        <v>0</v>
      </c>
      <c r="R20" s="143">
        <f t="shared" si="13"/>
        <v>0</v>
      </c>
      <c r="S20" s="143">
        <f t="shared" si="14"/>
        <v>0</v>
      </c>
      <c r="T20" s="144">
        <f t="shared" si="15"/>
        <v>0</v>
      </c>
      <c r="U20" s="25"/>
      <c r="V20" s="122">
        <f t="shared" si="16"/>
        <v>65</v>
      </c>
      <c r="W20" s="122">
        <f t="shared" si="17"/>
        <v>10.778933405219536</v>
      </c>
      <c r="X20" s="122">
        <f t="shared" si="18"/>
        <v>10.843018371532045</v>
      </c>
      <c r="Y20" s="122">
        <f t="shared" si="0"/>
        <v>6.4084966312508485E-2</v>
      </c>
      <c r="Z20" s="122">
        <f t="shared" si="2"/>
        <v>65</v>
      </c>
      <c r="AA20" s="122">
        <f t="shared" si="3"/>
        <v>0</v>
      </c>
      <c r="AB20" s="122">
        <f t="shared" si="4"/>
        <v>0</v>
      </c>
      <c r="AC20" s="122">
        <f t="shared" si="5"/>
        <v>0</v>
      </c>
      <c r="AD20" s="122">
        <f t="shared" si="6"/>
        <v>0</v>
      </c>
      <c r="AE20" s="122">
        <f t="shared" si="1"/>
        <v>3.5702150822437932</v>
      </c>
      <c r="AF20" s="16"/>
      <c r="AG20" s="7"/>
    </row>
    <row r="21" spans="1:33" ht="14.25" x14ac:dyDescent="0.25">
      <c r="A21" s="29" t="s">
        <v>109</v>
      </c>
      <c r="B21" s="30">
        <v>0.7</v>
      </c>
      <c r="C21" s="39">
        <f>$B21*$B$36^($B$13-20)</f>
        <v>0.33695535514104341</v>
      </c>
      <c r="D21" s="38"/>
      <c r="H21" s="7"/>
      <c r="I21" s="108">
        <f t="shared" si="19"/>
        <v>70</v>
      </c>
      <c r="J21" s="109">
        <f t="shared" si="7"/>
        <v>0.9097374725088706</v>
      </c>
      <c r="K21" s="18">
        <f t="shared" si="8"/>
        <v>0.34864309274517924</v>
      </c>
      <c r="L21" s="164">
        <f t="shared" si="9"/>
        <v>0</v>
      </c>
      <c r="M21" s="164">
        <f>'Ambient results-no discharge'!M24</f>
        <v>10.838231333545538</v>
      </c>
      <c r="N21" s="18">
        <f t="shared" si="10"/>
        <v>10.774457897156616</v>
      </c>
      <c r="O21" s="162">
        <f t="shared" si="20"/>
        <v>6.3773436388922633E-2</v>
      </c>
      <c r="P21" s="78">
        <f t="shared" si="11"/>
        <v>3.5492816396830844</v>
      </c>
      <c r="Q21" s="142">
        <f t="shared" si="12"/>
        <v>0</v>
      </c>
      <c r="R21" s="143">
        <f t="shared" si="13"/>
        <v>0</v>
      </c>
      <c r="S21" s="143">
        <f t="shared" si="14"/>
        <v>0</v>
      </c>
      <c r="T21" s="144">
        <f t="shared" si="15"/>
        <v>0</v>
      </c>
      <c r="U21" s="25"/>
      <c r="V21" s="122">
        <f t="shared" si="16"/>
        <v>70</v>
      </c>
      <c r="W21" s="122">
        <f t="shared" si="17"/>
        <v>10.774457897156616</v>
      </c>
      <c r="X21" s="122">
        <f t="shared" si="18"/>
        <v>10.838231333545538</v>
      </c>
      <c r="Y21" s="122">
        <f t="shared" ref="Y21:Y32" si="21">O21</f>
        <v>6.3773436388922633E-2</v>
      </c>
      <c r="Z21" s="122">
        <f t="shared" si="2"/>
        <v>70</v>
      </c>
      <c r="AA21" s="122">
        <f t="shared" ref="AA21:AA32" si="22">Q21</f>
        <v>0</v>
      </c>
      <c r="AB21" s="122">
        <f t="shared" si="4"/>
        <v>0</v>
      </c>
      <c r="AC21" s="122">
        <f t="shared" si="5"/>
        <v>0</v>
      </c>
      <c r="AD21" s="122">
        <f t="shared" si="6"/>
        <v>0</v>
      </c>
      <c r="AE21" s="122">
        <f t="shared" si="1"/>
        <v>3.5492816396830844</v>
      </c>
      <c r="AF21" s="16"/>
      <c r="AG21" s="7"/>
    </row>
    <row r="22" spans="1:33" ht="14.25" x14ac:dyDescent="0.25">
      <c r="A22" s="29" t="s">
        <v>111</v>
      </c>
      <c r="B22" s="27">
        <v>0.70199999999999996</v>
      </c>
      <c r="C22" s="39">
        <f>$B22*$B$36^($B$13-20)</f>
        <v>0.33791808472716067</v>
      </c>
      <c r="D22" s="38"/>
      <c r="H22" s="7"/>
      <c r="I22" s="108">
        <f t="shared" si="19"/>
        <v>75</v>
      </c>
      <c r="J22" s="109">
        <f t="shared" si="7"/>
        <v>0.97471872054521858</v>
      </c>
      <c r="K22" s="18">
        <f t="shared" si="8"/>
        <v>0.35225870449306146</v>
      </c>
      <c r="L22" s="164">
        <f t="shared" si="9"/>
        <v>0</v>
      </c>
      <c r="M22" s="164">
        <f>'Ambient results-no discharge'!M25</f>
        <v>10.834306814072905</v>
      </c>
      <c r="N22" s="18">
        <f t="shared" si="10"/>
        <v>10.770842285408733</v>
      </c>
      <c r="O22" s="162">
        <f t="shared" si="20"/>
        <v>6.3464528664171738E-2</v>
      </c>
      <c r="P22" s="78">
        <f t="shared" si="11"/>
        <v>3.5284709373515626</v>
      </c>
      <c r="Q22" s="142">
        <f t="shared" si="12"/>
        <v>0</v>
      </c>
      <c r="R22" s="143">
        <f t="shared" si="13"/>
        <v>0</v>
      </c>
      <c r="S22" s="143">
        <f t="shared" si="14"/>
        <v>0</v>
      </c>
      <c r="T22" s="144">
        <f t="shared" si="15"/>
        <v>0</v>
      </c>
      <c r="U22" s="25"/>
      <c r="V22" s="122">
        <f t="shared" si="16"/>
        <v>75</v>
      </c>
      <c r="W22" s="122">
        <f t="shared" si="17"/>
        <v>10.770842285408733</v>
      </c>
      <c r="X22" s="122">
        <f t="shared" si="18"/>
        <v>10.834306814072905</v>
      </c>
      <c r="Y22" s="122">
        <f t="shared" si="21"/>
        <v>6.3464528664171738E-2</v>
      </c>
      <c r="Z22" s="122">
        <f t="shared" si="2"/>
        <v>75</v>
      </c>
      <c r="AA22" s="122">
        <f t="shared" si="22"/>
        <v>0</v>
      </c>
      <c r="AB22" s="122">
        <f t="shared" si="4"/>
        <v>0</v>
      </c>
      <c r="AC22" s="122">
        <f t="shared" si="5"/>
        <v>0</v>
      </c>
      <c r="AD22" s="122">
        <f t="shared" si="6"/>
        <v>0</v>
      </c>
      <c r="AE22" s="122">
        <f t="shared" si="1"/>
        <v>3.5284709373515626</v>
      </c>
      <c r="AF22" s="16"/>
      <c r="AG22" s="7"/>
    </row>
    <row r="23" spans="1:33" ht="15" thickBot="1" x14ac:dyDescent="0.3">
      <c r="A23" s="29" t="s">
        <v>42</v>
      </c>
      <c r="B23" s="27">
        <v>0</v>
      </c>
      <c r="C23" s="22"/>
      <c r="D23" s="38"/>
      <c r="H23" s="14"/>
      <c r="I23" s="108">
        <f t="shared" si="19"/>
        <v>80</v>
      </c>
      <c r="J23" s="109">
        <f t="shared" si="7"/>
        <v>1.0396999685815664</v>
      </c>
      <c r="K23" s="18">
        <f t="shared" si="8"/>
        <v>0.35515874208654236</v>
      </c>
      <c r="L23" s="164">
        <f t="shared" si="9"/>
        <v>0</v>
      </c>
      <c r="M23" s="164">
        <f>'Ambient results-no discharge'!M26</f>
        <v>10.831100493151958</v>
      </c>
      <c r="N23" s="18">
        <f t="shared" si="10"/>
        <v>10.767942247815252</v>
      </c>
      <c r="O23" s="162">
        <f t="shared" si="20"/>
        <v>6.3158245336705221E-2</v>
      </c>
      <c r="P23" s="78">
        <f t="shared" si="11"/>
        <v>3.5077822555795506</v>
      </c>
      <c r="Q23" s="142">
        <f t="shared" si="12"/>
        <v>0</v>
      </c>
      <c r="R23" s="143">
        <f t="shared" si="13"/>
        <v>0</v>
      </c>
      <c r="S23" s="143">
        <f t="shared" si="14"/>
        <v>0</v>
      </c>
      <c r="T23" s="144">
        <f t="shared" si="15"/>
        <v>0</v>
      </c>
      <c r="U23" s="25"/>
      <c r="V23" s="122">
        <f t="shared" si="16"/>
        <v>80</v>
      </c>
      <c r="W23" s="122">
        <f t="shared" si="17"/>
        <v>10.767942247815252</v>
      </c>
      <c r="X23" s="122">
        <f t="shared" si="18"/>
        <v>10.831100493151958</v>
      </c>
      <c r="Y23" s="122">
        <f t="shared" si="21"/>
        <v>6.3158245336705221E-2</v>
      </c>
      <c r="Z23" s="122">
        <f t="shared" si="2"/>
        <v>80</v>
      </c>
      <c r="AA23" s="122">
        <f t="shared" si="22"/>
        <v>0</v>
      </c>
      <c r="AB23" s="122">
        <f t="shared" si="4"/>
        <v>0</v>
      </c>
      <c r="AC23" s="122">
        <f t="shared" si="5"/>
        <v>0</v>
      </c>
      <c r="AD23" s="122">
        <f t="shared" si="6"/>
        <v>0</v>
      </c>
      <c r="AE23" s="122">
        <f t="shared" si="1"/>
        <v>3.5077822555795506</v>
      </c>
      <c r="AF23" s="16"/>
      <c r="AG23" s="7"/>
    </row>
    <row r="24" spans="1:33" ht="14.25" x14ac:dyDescent="0.25">
      <c r="A24" s="29" t="s">
        <v>37</v>
      </c>
      <c r="B24" s="17">
        <f>C19+B23</f>
        <v>9.0497078613361148E-2</v>
      </c>
      <c r="C24" s="22"/>
      <c r="D24" s="38"/>
      <c r="E24" s="34" t="s">
        <v>62</v>
      </c>
      <c r="F24" s="19"/>
      <c r="G24" s="7"/>
      <c r="H24" s="14"/>
      <c r="I24" s="108">
        <f t="shared" si="19"/>
        <v>85</v>
      </c>
      <c r="J24" s="109">
        <f t="shared" si="7"/>
        <v>1.1046812166179143</v>
      </c>
      <c r="K24" s="18">
        <f t="shared" si="8"/>
        <v>0.35746341165463796</v>
      </c>
      <c r="L24" s="164">
        <f t="shared" si="9"/>
        <v>0</v>
      </c>
      <c r="M24" s="164">
        <f>'Ambient results-no discharge'!M27</f>
        <v>10.828492138787109</v>
      </c>
      <c r="N24" s="18">
        <f t="shared" si="10"/>
        <v>10.765637578247157</v>
      </c>
      <c r="O24" s="162">
        <f t="shared" si="20"/>
        <v>6.2854560539951976E-2</v>
      </c>
      <c r="P24" s="78">
        <f t="shared" si="11"/>
        <v>3.4872148789170501</v>
      </c>
      <c r="Q24" s="142">
        <f t="shared" si="12"/>
        <v>0</v>
      </c>
      <c r="R24" s="143">
        <f t="shared" si="13"/>
        <v>0</v>
      </c>
      <c r="S24" s="143">
        <f t="shared" si="14"/>
        <v>0</v>
      </c>
      <c r="T24" s="144">
        <f t="shared" si="15"/>
        <v>0</v>
      </c>
      <c r="U24" s="25"/>
      <c r="V24" s="122">
        <f t="shared" si="16"/>
        <v>85</v>
      </c>
      <c r="W24" s="122">
        <f t="shared" si="17"/>
        <v>10.765637578247157</v>
      </c>
      <c r="X24" s="122">
        <f t="shared" si="18"/>
        <v>10.828492138787109</v>
      </c>
      <c r="Y24" s="122">
        <f t="shared" si="21"/>
        <v>6.2854560539951976E-2</v>
      </c>
      <c r="Z24" s="122">
        <f t="shared" si="2"/>
        <v>85</v>
      </c>
      <c r="AA24" s="122">
        <f t="shared" si="22"/>
        <v>0</v>
      </c>
      <c r="AB24" s="122">
        <f t="shared" si="4"/>
        <v>0</v>
      </c>
      <c r="AC24" s="122">
        <f t="shared" si="5"/>
        <v>0</v>
      </c>
      <c r="AD24" s="122">
        <f t="shared" si="6"/>
        <v>0</v>
      </c>
      <c r="AE24" s="122">
        <f t="shared" si="1"/>
        <v>3.4872148789170501</v>
      </c>
      <c r="AF24" s="16"/>
      <c r="AG24" s="7"/>
    </row>
    <row r="25" spans="1:33" x14ac:dyDescent="0.2">
      <c r="A25" s="29" t="s">
        <v>34</v>
      </c>
      <c r="B25" s="27">
        <v>5</v>
      </c>
      <c r="C25" s="22"/>
      <c r="D25" s="38"/>
      <c r="E25" s="35" t="s">
        <v>59</v>
      </c>
      <c r="F25" s="39">
        <f>12.9*B27^0.5/B25^1.5</f>
        <v>2.5019911656318863</v>
      </c>
      <c r="G25" s="7"/>
      <c r="H25" s="7"/>
      <c r="I25" s="108">
        <f t="shared" si="19"/>
        <v>90</v>
      </c>
      <c r="J25" s="109">
        <f t="shared" si="7"/>
        <v>1.1696624646542622</v>
      </c>
      <c r="K25" s="18">
        <f t="shared" si="8"/>
        <v>0.35927283242823038</v>
      </c>
      <c r="L25" s="164">
        <f t="shared" si="9"/>
        <v>0</v>
      </c>
      <c r="M25" s="164">
        <f>'Ambient results-no discharge'!M28</f>
        <v>10.826381586858821</v>
      </c>
      <c r="N25" s="18">
        <f t="shared" si="10"/>
        <v>10.763828157473565</v>
      </c>
      <c r="O25" s="162">
        <f t="shared" si="20"/>
        <v>6.2553429385255654E-2</v>
      </c>
      <c r="P25" s="78">
        <f t="shared" si="11"/>
        <v>3.4667680961090008</v>
      </c>
      <c r="Q25" s="142">
        <f t="shared" si="12"/>
        <v>0</v>
      </c>
      <c r="R25" s="143">
        <f t="shared" si="13"/>
        <v>0</v>
      </c>
      <c r="S25" s="143">
        <f t="shared" si="14"/>
        <v>0</v>
      </c>
      <c r="T25" s="144">
        <f t="shared" si="15"/>
        <v>0</v>
      </c>
      <c r="U25" s="25"/>
      <c r="V25" s="122">
        <f t="shared" si="16"/>
        <v>90</v>
      </c>
      <c r="W25" s="122">
        <f t="shared" si="17"/>
        <v>10.763828157473565</v>
      </c>
      <c r="X25" s="122">
        <f t="shared" si="18"/>
        <v>10.826381586858821</v>
      </c>
      <c r="Y25" s="122">
        <f t="shared" si="21"/>
        <v>6.2553429385255654E-2</v>
      </c>
      <c r="Z25" s="122">
        <f t="shared" si="2"/>
        <v>90</v>
      </c>
      <c r="AA25" s="122">
        <f t="shared" si="22"/>
        <v>0</v>
      </c>
      <c r="AB25" s="122">
        <f t="shared" si="4"/>
        <v>0</v>
      </c>
      <c r="AC25" s="122">
        <f t="shared" si="5"/>
        <v>0</v>
      </c>
      <c r="AD25" s="122">
        <f t="shared" si="6"/>
        <v>0</v>
      </c>
      <c r="AE25" s="122">
        <f t="shared" si="1"/>
        <v>3.4667680961090008</v>
      </c>
      <c r="AF25" s="16"/>
      <c r="AG25" s="7"/>
    </row>
    <row r="26" spans="1:33" x14ac:dyDescent="0.2">
      <c r="A26" s="29" t="s">
        <v>84</v>
      </c>
      <c r="B26" s="27">
        <v>400</v>
      </c>
      <c r="C26" s="22"/>
      <c r="D26" s="38"/>
      <c r="E26" s="35" t="s">
        <v>60</v>
      </c>
      <c r="F26" s="39">
        <f>11.6*B27^0.969/B25^1.673</f>
        <v>3.5199941519412663</v>
      </c>
      <c r="G26" s="7"/>
      <c r="H26" s="7"/>
      <c r="I26" s="108">
        <f t="shared" si="19"/>
        <v>95</v>
      </c>
      <c r="J26" s="109">
        <f t="shared" si="7"/>
        <v>1.2346437126906102</v>
      </c>
      <c r="K26" s="18">
        <f t="shared" si="8"/>
        <v>0.36067039271849172</v>
      </c>
      <c r="L26" s="164">
        <f t="shared" si="9"/>
        <v>0</v>
      </c>
      <c r="M26" s="164">
        <f>'Ambient results-no discharge'!M29</f>
        <v>10.824685391952226</v>
      </c>
      <c r="N26" s="18">
        <f t="shared" si="10"/>
        <v>10.762430597183304</v>
      </c>
      <c r="O26" s="162">
        <f t="shared" si="20"/>
        <v>6.2254794768922039E-2</v>
      </c>
      <c r="P26" s="78">
        <f t="shared" si="11"/>
        <v>3.446441200070685</v>
      </c>
      <c r="Q26" s="142">
        <f t="shared" si="12"/>
        <v>0</v>
      </c>
      <c r="R26" s="143">
        <f t="shared" si="13"/>
        <v>0</v>
      </c>
      <c r="S26" s="143">
        <f t="shared" si="14"/>
        <v>0</v>
      </c>
      <c r="T26" s="144">
        <f t="shared" si="15"/>
        <v>0</v>
      </c>
      <c r="U26" s="25"/>
      <c r="V26" s="122">
        <f t="shared" si="16"/>
        <v>95</v>
      </c>
      <c r="W26" s="122">
        <f t="shared" si="17"/>
        <v>10.762430597183304</v>
      </c>
      <c r="X26" s="122">
        <f t="shared" si="18"/>
        <v>10.824685391952226</v>
      </c>
      <c r="Y26" s="122">
        <f t="shared" si="21"/>
        <v>6.2254794768922039E-2</v>
      </c>
      <c r="Z26" s="122">
        <f t="shared" si="2"/>
        <v>95</v>
      </c>
      <c r="AA26" s="122">
        <f t="shared" si="22"/>
        <v>0</v>
      </c>
      <c r="AB26" s="122">
        <f t="shared" si="4"/>
        <v>0</v>
      </c>
      <c r="AC26" s="122">
        <f t="shared" si="5"/>
        <v>0</v>
      </c>
      <c r="AD26" s="122">
        <f t="shared" si="6"/>
        <v>0</v>
      </c>
      <c r="AE26" s="122">
        <f t="shared" si="1"/>
        <v>3.446441200070685</v>
      </c>
      <c r="AF26" s="16"/>
      <c r="AG26" s="7"/>
    </row>
    <row r="27" spans="1:33" ht="13.5" thickBot="1" x14ac:dyDescent="0.25">
      <c r="A27" s="29" t="s">
        <v>22</v>
      </c>
      <c r="B27" s="125">
        <f>((B10*1.547)+B18)/(B25*B26)</f>
        <v>4.7022112500000004</v>
      </c>
      <c r="C27" s="22"/>
      <c r="D27" s="38"/>
      <c r="E27" s="36" t="s">
        <v>61</v>
      </c>
      <c r="F27" s="40">
        <f>21.7*B27^0.67/B25^1.85</f>
        <v>3.1175085775842462</v>
      </c>
      <c r="G27" s="7"/>
      <c r="H27" s="7"/>
      <c r="I27" s="108">
        <f t="shared" si="19"/>
        <v>100</v>
      </c>
      <c r="J27" s="109">
        <f t="shared" si="7"/>
        <v>1.2996249607269581</v>
      </c>
      <c r="K27" s="18">
        <f t="shared" si="8"/>
        <v>0.36172554520553424</v>
      </c>
      <c r="L27" s="164">
        <f t="shared" si="9"/>
        <v>0</v>
      </c>
      <c r="M27" s="164">
        <f>'Ambient results-no discharge'!M30</f>
        <v>10.823334037134176</v>
      </c>
      <c r="N27" s="18">
        <f t="shared" si="10"/>
        <v>10.761375444696261</v>
      </c>
      <c r="O27" s="162">
        <f t="shared" si="20"/>
        <v>6.1958592437914461E-2</v>
      </c>
      <c r="P27" s="78">
        <f t="shared" si="11"/>
        <v>3.4262334878632741</v>
      </c>
      <c r="Q27" s="142">
        <f t="shared" si="12"/>
        <v>0</v>
      </c>
      <c r="R27" s="143">
        <f t="shared" si="13"/>
        <v>0</v>
      </c>
      <c r="S27" s="143">
        <f t="shared" si="14"/>
        <v>0</v>
      </c>
      <c r="T27" s="144">
        <f t="shared" si="15"/>
        <v>0</v>
      </c>
      <c r="U27" s="25"/>
      <c r="V27" s="122">
        <f t="shared" si="16"/>
        <v>100</v>
      </c>
      <c r="W27" s="122">
        <f t="shared" si="17"/>
        <v>10.761375444696261</v>
      </c>
      <c r="X27" s="122">
        <f t="shared" si="18"/>
        <v>10.823334037134176</v>
      </c>
      <c r="Y27" s="122">
        <f t="shared" si="21"/>
        <v>6.1958592437914461E-2</v>
      </c>
      <c r="Z27" s="122">
        <f t="shared" si="2"/>
        <v>100</v>
      </c>
      <c r="AA27" s="122">
        <f t="shared" si="22"/>
        <v>0</v>
      </c>
      <c r="AB27" s="122">
        <f t="shared" si="4"/>
        <v>0</v>
      </c>
      <c r="AC27" s="122">
        <f t="shared" si="5"/>
        <v>0</v>
      </c>
      <c r="AD27" s="122">
        <f t="shared" si="6"/>
        <v>0</v>
      </c>
      <c r="AE27" s="122">
        <f t="shared" si="1"/>
        <v>3.4262334878632741</v>
      </c>
      <c r="AF27" s="16"/>
      <c r="AG27" s="7"/>
    </row>
    <row r="28" spans="1:33" x14ac:dyDescent="0.2">
      <c r="A28" s="29" t="s">
        <v>24</v>
      </c>
      <c r="B28" s="18">
        <f>$B$27*86400/5280</f>
        <v>76.945275000000009</v>
      </c>
      <c r="C28" s="15"/>
      <c r="D28" s="7"/>
      <c r="G28" s="7"/>
      <c r="H28" s="7"/>
      <c r="I28" s="108">
        <f t="shared" si="19"/>
        <v>105</v>
      </c>
      <c r="J28" s="109">
        <f t="shared" si="7"/>
        <v>1.364606208763306</v>
      </c>
      <c r="K28" s="18">
        <f t="shared" si="8"/>
        <v>0.36249613521278284</v>
      </c>
      <c r="L28" s="164">
        <f t="shared" si="9"/>
        <v>0</v>
      </c>
      <c r="M28" s="164">
        <f>'Ambient results-no discharge'!M31</f>
        <v>10.822269609394944</v>
      </c>
      <c r="N28" s="18">
        <f t="shared" si="10"/>
        <v>10.760604854689012</v>
      </c>
      <c r="O28" s="162">
        <f t="shared" si="20"/>
        <v>6.1664754705931912E-2</v>
      </c>
      <c r="P28" s="78">
        <f t="shared" si="11"/>
        <v>3.40614426066952</v>
      </c>
      <c r="Q28" s="142">
        <f t="shared" si="12"/>
        <v>0</v>
      </c>
      <c r="R28" s="143">
        <f t="shared" si="13"/>
        <v>0</v>
      </c>
      <c r="S28" s="143">
        <f t="shared" si="14"/>
        <v>0</v>
      </c>
      <c r="T28" s="144">
        <f t="shared" si="15"/>
        <v>0</v>
      </c>
      <c r="U28" s="25"/>
      <c r="V28" s="122">
        <f t="shared" si="16"/>
        <v>105</v>
      </c>
      <c r="W28" s="122">
        <f t="shared" si="17"/>
        <v>10.760604854689012</v>
      </c>
      <c r="X28" s="122">
        <f t="shared" si="18"/>
        <v>10.822269609394944</v>
      </c>
      <c r="Y28" s="122">
        <f t="shared" si="21"/>
        <v>6.1664754705931912E-2</v>
      </c>
      <c r="Z28" s="122">
        <f t="shared" si="2"/>
        <v>105</v>
      </c>
      <c r="AA28" s="122">
        <f t="shared" si="22"/>
        <v>0</v>
      </c>
      <c r="AB28" s="122">
        <f t="shared" si="4"/>
        <v>0</v>
      </c>
      <c r="AC28" s="122">
        <f t="shared" si="5"/>
        <v>0</v>
      </c>
      <c r="AD28" s="122">
        <f t="shared" si="6"/>
        <v>0</v>
      </c>
      <c r="AE28" s="122">
        <f t="shared" si="1"/>
        <v>3.40614426066952</v>
      </c>
      <c r="AF28" s="16"/>
      <c r="AG28" s="7"/>
    </row>
    <row r="29" spans="1:33" ht="15" thickBot="1" x14ac:dyDescent="0.3">
      <c r="A29" s="29" t="s">
        <v>63</v>
      </c>
      <c r="B29" s="30" t="s">
        <v>114</v>
      </c>
      <c r="C29" s="39" t="str">
        <f>IF(B29="na","na",$B29*$B$34^($F$12-20))</f>
        <v>na</v>
      </c>
      <c r="D29" s="7"/>
      <c r="E29" s="7"/>
      <c r="F29" s="7"/>
      <c r="G29" s="7"/>
      <c r="H29" s="7"/>
      <c r="I29" s="108">
        <f t="shared" si="19"/>
        <v>110</v>
      </c>
      <c r="J29" s="109">
        <f t="shared" si="7"/>
        <v>1.4295874567996538</v>
      </c>
      <c r="K29" s="18">
        <f t="shared" si="8"/>
        <v>0.36303033999202827</v>
      </c>
      <c r="L29" s="164">
        <f t="shared" si="9"/>
        <v>0</v>
      </c>
      <c r="M29" s="164">
        <f>'Ambient results-no discharge'!M32</f>
        <v>10.82144386303912</v>
      </c>
      <c r="N29" s="18">
        <f t="shared" si="10"/>
        <v>10.760070649909768</v>
      </c>
      <c r="O29" s="162">
        <f t="shared" si="20"/>
        <v>6.1373213129352067E-2</v>
      </c>
      <c r="P29" s="78">
        <f t="shared" si="11"/>
        <v>3.3861728237695887</v>
      </c>
      <c r="Q29" s="142">
        <f t="shared" si="12"/>
        <v>0</v>
      </c>
      <c r="R29" s="143">
        <f t="shared" si="13"/>
        <v>0</v>
      </c>
      <c r="S29" s="143">
        <f t="shared" si="14"/>
        <v>0</v>
      </c>
      <c r="T29" s="144">
        <f t="shared" si="15"/>
        <v>0</v>
      </c>
      <c r="U29" s="25"/>
      <c r="V29" s="122">
        <f t="shared" si="16"/>
        <v>110</v>
      </c>
      <c r="W29" s="122">
        <f t="shared" si="17"/>
        <v>10.760070649909768</v>
      </c>
      <c r="X29" s="122">
        <f t="shared" si="18"/>
        <v>10.82144386303912</v>
      </c>
      <c r="Y29" s="122">
        <f t="shared" si="21"/>
        <v>6.1373213129352067E-2</v>
      </c>
      <c r="Z29" s="122">
        <f t="shared" si="2"/>
        <v>110</v>
      </c>
      <c r="AA29" s="122">
        <f t="shared" si="22"/>
        <v>0</v>
      </c>
      <c r="AB29" s="122">
        <f t="shared" si="4"/>
        <v>0</v>
      </c>
      <c r="AC29" s="122">
        <f t="shared" si="5"/>
        <v>0</v>
      </c>
      <c r="AD29" s="122">
        <f t="shared" si="6"/>
        <v>0</v>
      </c>
      <c r="AE29" s="122">
        <f t="shared" si="1"/>
        <v>3.3861728237695887</v>
      </c>
      <c r="AF29" s="16"/>
      <c r="AG29" s="7"/>
    </row>
    <row r="30" spans="1:33" ht="14.25" x14ac:dyDescent="0.25">
      <c r="A30" s="29" t="s">
        <v>63</v>
      </c>
      <c r="B30" s="17">
        <f>IF(B25/3.28&lt;0.61,F27,IF(B25/3.28&gt;3.45*B27^2.5,F25,F26))</f>
        <v>3.5199941519412663</v>
      </c>
      <c r="C30" s="39">
        <f>$B30*$B$34^($F$12-20)</f>
        <v>2.8132414093898745</v>
      </c>
      <c r="D30" s="7"/>
      <c r="E30" s="188" t="s">
        <v>88</v>
      </c>
      <c r="G30" s="7"/>
      <c r="H30" s="7"/>
      <c r="I30" s="108">
        <f t="shared" si="19"/>
        <v>115</v>
      </c>
      <c r="J30" s="109">
        <f t="shared" si="7"/>
        <v>1.4945687048360017</v>
      </c>
      <c r="K30" s="18">
        <f t="shared" si="8"/>
        <v>0.36336828400833998</v>
      </c>
      <c r="L30" s="164">
        <f t="shared" si="9"/>
        <v>0</v>
      </c>
      <c r="M30" s="164">
        <f>'Ambient results-no discharge'!M33</f>
        <v>10.820816606280228</v>
      </c>
      <c r="N30" s="18">
        <f t="shared" si="10"/>
        <v>10.759732705893455</v>
      </c>
      <c r="O30" s="162">
        <f t="shared" si="20"/>
        <v>6.1083900386773138E-2</v>
      </c>
      <c r="P30" s="78">
        <f t="shared" si="11"/>
        <v>3.3663184865170375</v>
      </c>
      <c r="Q30" s="142">
        <f t="shared" si="12"/>
        <v>0</v>
      </c>
      <c r="R30" s="143">
        <f t="shared" si="13"/>
        <v>0</v>
      </c>
      <c r="S30" s="143">
        <f t="shared" si="14"/>
        <v>0</v>
      </c>
      <c r="T30" s="144">
        <f t="shared" si="15"/>
        <v>0</v>
      </c>
      <c r="U30" s="25"/>
      <c r="V30" s="122">
        <f t="shared" si="16"/>
        <v>115</v>
      </c>
      <c r="W30" s="122">
        <f t="shared" si="17"/>
        <v>10.759732705893455</v>
      </c>
      <c r="X30" s="122">
        <f t="shared" si="18"/>
        <v>10.820816606280228</v>
      </c>
      <c r="Y30" s="122">
        <f t="shared" si="21"/>
        <v>6.1083900386773138E-2</v>
      </c>
      <c r="Z30" s="122">
        <f t="shared" si="2"/>
        <v>115</v>
      </c>
      <c r="AA30" s="122">
        <f t="shared" si="22"/>
        <v>0</v>
      </c>
      <c r="AB30" s="122">
        <f t="shared" si="4"/>
        <v>0</v>
      </c>
      <c r="AC30" s="122">
        <f t="shared" si="5"/>
        <v>0</v>
      </c>
      <c r="AD30" s="122">
        <f t="shared" si="6"/>
        <v>0</v>
      </c>
      <c r="AE30" s="122">
        <f t="shared" si="1"/>
        <v>3.3663184865170375</v>
      </c>
      <c r="AF30" s="16"/>
      <c r="AG30" s="7"/>
    </row>
    <row r="31" spans="1:33" ht="15" thickBot="1" x14ac:dyDescent="0.3">
      <c r="A31" s="33" t="s">
        <v>65</v>
      </c>
      <c r="B31" s="28">
        <v>2</v>
      </c>
      <c r="C31" s="40">
        <f>B31*B35^(B13-20)</f>
        <v>1.0995341482670047</v>
      </c>
      <c r="D31" s="7"/>
      <c r="E31" s="189" t="s">
        <v>92</v>
      </c>
      <c r="H31" s="7"/>
      <c r="I31" s="108">
        <f t="shared" si="19"/>
        <v>120</v>
      </c>
      <c r="J31" s="109">
        <f t="shared" si="7"/>
        <v>1.5595499528723498</v>
      </c>
      <c r="K31" s="18">
        <f t="shared" si="8"/>
        <v>0.36354338435615413</v>
      </c>
      <c r="L31" s="164">
        <f t="shared" si="9"/>
        <v>0</v>
      </c>
      <c r="M31" s="164">
        <f>'Ambient results-no discharge'!M34</f>
        <v>10.820354357099136</v>
      </c>
      <c r="N31" s="18">
        <f t="shared" si="10"/>
        <v>10.759557605545641</v>
      </c>
      <c r="O31" s="162">
        <f t="shared" si="20"/>
        <v>6.0796751553494843E-2</v>
      </c>
      <c r="P31" s="78">
        <f t="shared" si="11"/>
        <v>3.3465805623149278</v>
      </c>
      <c r="Q31" s="142">
        <f t="shared" si="12"/>
        <v>0</v>
      </c>
      <c r="R31" s="143">
        <f t="shared" si="13"/>
        <v>0</v>
      </c>
      <c r="S31" s="143">
        <f t="shared" si="14"/>
        <v>0</v>
      </c>
      <c r="T31" s="144">
        <f t="shared" si="15"/>
        <v>0</v>
      </c>
      <c r="U31" s="25"/>
      <c r="V31" s="122">
        <f t="shared" si="16"/>
        <v>120</v>
      </c>
      <c r="W31" s="122">
        <f t="shared" si="17"/>
        <v>10.759557605545641</v>
      </c>
      <c r="X31" s="122">
        <f t="shared" si="18"/>
        <v>10.820354357099136</v>
      </c>
      <c r="Y31" s="122">
        <f t="shared" si="21"/>
        <v>6.0796751553494843E-2</v>
      </c>
      <c r="Z31" s="122">
        <f t="shared" si="2"/>
        <v>120</v>
      </c>
      <c r="AA31" s="122">
        <f t="shared" si="22"/>
        <v>0</v>
      </c>
      <c r="AB31" s="122">
        <f t="shared" si="4"/>
        <v>0</v>
      </c>
      <c r="AC31" s="122">
        <f t="shared" si="5"/>
        <v>0</v>
      </c>
      <c r="AD31" s="122">
        <f t="shared" si="6"/>
        <v>0</v>
      </c>
      <c r="AE31" s="122">
        <f t="shared" si="1"/>
        <v>3.3465805623149278</v>
      </c>
      <c r="AF31" s="16"/>
      <c r="AG31" s="7"/>
    </row>
    <row r="32" spans="1:33" ht="15.75" thickBot="1" x14ac:dyDescent="0.25">
      <c r="A32" s="80" t="s">
        <v>46</v>
      </c>
      <c r="B32" s="81"/>
      <c r="C32" s="82"/>
      <c r="D32" s="7"/>
      <c r="E32" s="111">
        <f>EXP((-139.34411+157570.1/(F12+273.15)-66423080/(F12+273.15)^2+12438000000/(F12+273.15)^3-862194900000/(F12+273.15)^4)-$E33/1.80655*(0.031929-19.428/(F12+273.15)+3870/(F12+273.15)^2))*(1-0.02255*E34*0.0003048)^5.256</f>
        <v>11.123100989901795</v>
      </c>
      <c r="H32" s="7"/>
      <c r="I32" s="110">
        <f t="shared" si="19"/>
        <v>125</v>
      </c>
      <c r="J32" s="135">
        <f t="shared" si="7"/>
        <v>1.6245312009086976</v>
      </c>
      <c r="K32" s="85">
        <f t="shared" si="8"/>
        <v>0.36358347139403052</v>
      </c>
      <c r="L32" s="85">
        <f t="shared" si="9"/>
        <v>0</v>
      </c>
      <c r="M32" s="165">
        <f>'Ambient results-no discharge'!M35</f>
        <v>10.820029223428367</v>
      </c>
      <c r="N32" s="85">
        <f t="shared" si="10"/>
        <v>10.759517518507765</v>
      </c>
      <c r="O32" s="163">
        <f t="shared" si="20"/>
        <v>6.0511704920601872E-2</v>
      </c>
      <c r="P32" s="79">
        <f t="shared" si="11"/>
        <v>3.3269583685920843</v>
      </c>
      <c r="Q32" s="145">
        <f t="shared" si="12"/>
        <v>0</v>
      </c>
      <c r="R32" s="146">
        <f t="shared" si="13"/>
        <v>0</v>
      </c>
      <c r="S32" s="146">
        <f t="shared" si="14"/>
        <v>0</v>
      </c>
      <c r="T32" s="147">
        <f t="shared" si="15"/>
        <v>0</v>
      </c>
      <c r="U32" s="25"/>
      <c r="V32" s="122">
        <f t="shared" si="16"/>
        <v>125</v>
      </c>
      <c r="W32" s="122">
        <f t="shared" si="17"/>
        <v>10.759517518507765</v>
      </c>
      <c r="X32" s="122">
        <f t="shared" si="18"/>
        <v>10.820029223428367</v>
      </c>
      <c r="Y32" s="122">
        <f t="shared" si="21"/>
        <v>6.0511704920601872E-2</v>
      </c>
      <c r="Z32" s="122">
        <f t="shared" si="2"/>
        <v>125</v>
      </c>
      <c r="AA32" s="122">
        <f t="shared" si="22"/>
        <v>0</v>
      </c>
      <c r="AB32" s="122">
        <f t="shared" si="4"/>
        <v>0</v>
      </c>
      <c r="AC32" s="122">
        <f t="shared" si="5"/>
        <v>0</v>
      </c>
      <c r="AD32" s="122">
        <f t="shared" si="6"/>
        <v>0</v>
      </c>
      <c r="AE32" s="122">
        <f t="shared" si="1"/>
        <v>3.3269583685920843</v>
      </c>
      <c r="AF32" s="16"/>
      <c r="AG32" s="7"/>
    </row>
    <row r="33" spans="1:34" ht="13.5" thickBot="1" x14ac:dyDescent="0.25">
      <c r="A33" s="83" t="s">
        <v>45</v>
      </c>
      <c r="B33" s="182">
        <v>1.0469999999999999</v>
      </c>
      <c r="C33" s="84"/>
      <c r="D33" s="7"/>
      <c r="E33" s="181">
        <v>0</v>
      </c>
      <c r="F33" s="1" t="s">
        <v>86</v>
      </c>
      <c r="H33" s="7"/>
      <c r="J33" s="23"/>
      <c r="K33" s="23"/>
      <c r="L33" s="24"/>
      <c r="M33" s="24"/>
      <c r="N33" s="25"/>
      <c r="O33" s="25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7"/>
    </row>
    <row r="34" spans="1:34" ht="13.5" thickBot="1" x14ac:dyDescent="0.25">
      <c r="A34" s="32" t="s">
        <v>44</v>
      </c>
      <c r="B34" s="183">
        <v>1.024</v>
      </c>
      <c r="C34" s="22"/>
      <c r="E34" s="181">
        <v>50</v>
      </c>
      <c r="F34" s="1" t="s">
        <v>87</v>
      </c>
      <c r="I34" s="7"/>
      <c r="J34" s="23"/>
      <c r="K34" s="112"/>
      <c r="L34" s="24"/>
      <c r="M34" s="24"/>
      <c r="N34" s="25"/>
      <c r="O34" s="25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4" x14ac:dyDescent="0.2">
      <c r="A35" s="29" t="s">
        <v>47</v>
      </c>
      <c r="B35" s="184">
        <v>1.0649999999999999</v>
      </c>
      <c r="C35" s="22"/>
      <c r="J35" s="3"/>
      <c r="K35" s="113"/>
      <c r="L35" s="114"/>
      <c r="M35" s="114"/>
      <c r="N35" s="4"/>
      <c r="O35" s="4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4" ht="13.5" thickBot="1" x14ac:dyDescent="0.25">
      <c r="A36" s="74" t="s">
        <v>83</v>
      </c>
      <c r="B36" s="185">
        <v>1.08</v>
      </c>
      <c r="C36" s="26"/>
    </row>
    <row r="38" spans="1:34" ht="13.5" thickBot="1" x14ac:dyDescent="0.25"/>
    <row r="39" spans="1:34" ht="16.5" thickBot="1" x14ac:dyDescent="0.3">
      <c r="A39" s="83" t="s">
        <v>113</v>
      </c>
      <c r="B39" s="131">
        <v>3.43</v>
      </c>
      <c r="E39" s="190" t="s">
        <v>7</v>
      </c>
      <c r="F39" s="191"/>
      <c r="G39" s="191"/>
      <c r="H39" s="191"/>
      <c r="I39" s="192"/>
    </row>
    <row r="40" spans="1:34" ht="15" x14ac:dyDescent="0.25">
      <c r="A40" s="32" t="s">
        <v>112</v>
      </c>
      <c r="B40" s="132">
        <v>1.1399999999999999</v>
      </c>
      <c r="E40" s="127" t="s">
        <v>158</v>
      </c>
      <c r="F40" s="205" t="s">
        <v>137</v>
      </c>
      <c r="G40" s="207"/>
      <c r="H40" s="194"/>
      <c r="I40" s="209"/>
      <c r="X40" s="77" t="s">
        <v>79</v>
      </c>
    </row>
    <row r="41" spans="1:34" hidden="1" x14ac:dyDescent="0.2">
      <c r="A41" s="29"/>
      <c r="B41" s="132"/>
      <c r="E41" s="211" t="s">
        <v>145</v>
      </c>
      <c r="F41" s="199" t="s">
        <v>146</v>
      </c>
      <c r="G41" s="200"/>
      <c r="H41" s="201"/>
      <c r="I41" s="198"/>
    </row>
    <row r="42" spans="1:34" ht="13.5" hidden="1" thickBot="1" x14ac:dyDescent="0.25">
      <c r="A42" s="74"/>
      <c r="B42" s="132"/>
      <c r="E42" s="203" t="s">
        <v>6</v>
      </c>
      <c r="F42" s="196" t="s">
        <v>134</v>
      </c>
      <c r="G42" s="197"/>
      <c r="H42" s="197"/>
      <c r="I42" s="198"/>
    </row>
    <row r="43" spans="1:34" ht="14.25" hidden="1" x14ac:dyDescent="0.25">
      <c r="A43" s="83"/>
      <c r="B43" s="132"/>
      <c r="E43" s="29" t="s">
        <v>49</v>
      </c>
      <c r="F43" s="195" t="s">
        <v>35</v>
      </c>
      <c r="G43" s="37"/>
      <c r="H43" s="37"/>
      <c r="I43" s="53"/>
    </row>
    <row r="44" spans="1:34" ht="14.25" hidden="1" x14ac:dyDescent="0.25">
      <c r="A44" s="32" t="s">
        <v>93</v>
      </c>
      <c r="B44" s="133">
        <v>2</v>
      </c>
      <c r="C44"/>
      <c r="D44" t="s">
        <v>94</v>
      </c>
      <c r="E44" s="203" t="s">
        <v>157</v>
      </c>
      <c r="F44" s="196" t="s">
        <v>156</v>
      </c>
      <c r="G44" s="197"/>
      <c r="H44" s="197"/>
      <c r="I44" s="198"/>
      <c r="L44" t="s">
        <v>103</v>
      </c>
      <c r="M44"/>
      <c r="N44"/>
      <c r="O44" t="s">
        <v>104</v>
      </c>
      <c r="P44" t="s">
        <v>105</v>
      </c>
      <c r="Q44" t="s">
        <v>106</v>
      </c>
    </row>
    <row r="45" spans="1:34" ht="14.25" hidden="1" x14ac:dyDescent="0.25">
      <c r="A45" s="29" t="s">
        <v>98</v>
      </c>
      <c r="B45" s="133">
        <v>5</v>
      </c>
      <c r="C45"/>
      <c r="D45" s="117" t="e">
        <f>#REF!*B$46*86400/1000</f>
        <v>#REF!</v>
      </c>
      <c r="E45" s="54" t="s">
        <v>36</v>
      </c>
      <c r="F45" s="195" t="s">
        <v>144</v>
      </c>
      <c r="G45" s="37"/>
      <c r="H45" s="37"/>
      <c r="I45" s="53"/>
      <c r="L45">
        <v>3.4</v>
      </c>
      <c r="M45"/>
      <c r="N45"/>
      <c r="O45" t="e">
        <f>#REF!*#REF!/(#REF!-#REF!)*(EXP(-#REF!*#REF!)-EXP(-#REF!*#REF!))</f>
        <v>#REF!</v>
      </c>
      <c r="P45" s="119" t="e">
        <f>#REF!*#REF!/(#REF!-#REF!)*(EXP(-#REF!*#REF!)-EXP(-#REF!*#REF!))</f>
        <v>#REF!</v>
      </c>
      <c r="Q45" s="119" t="e">
        <f>#REF!*#REF!*#REF!/(#REF!-#REF!)*((EXP(-#REF!*#REF!)-EXP(-#REF!*#REF!))/(#REF!-#REF!)-(EXP(-#REF!*#REF!)-EXP(-#REF!*#REF!))/(#REF!-#REF!))</f>
        <v>#REF!</v>
      </c>
    </row>
    <row r="46" spans="1:34" ht="15" hidden="1" thickBot="1" x14ac:dyDescent="0.3">
      <c r="A46" s="74" t="s">
        <v>23</v>
      </c>
      <c r="B46" s="133">
        <v>0.66400000000000003</v>
      </c>
      <c r="C46"/>
      <c r="D46" s="117" t="e">
        <f>#REF!*B$46*86400/1000</f>
        <v>#REF!</v>
      </c>
      <c r="E46" s="29" t="s">
        <v>48</v>
      </c>
      <c r="F46" s="195" t="s">
        <v>14</v>
      </c>
      <c r="G46" s="37"/>
      <c r="H46" s="37"/>
      <c r="I46" s="53"/>
      <c r="J46" s="119" t="e">
        <f>#REF!*#REF!/(#REF!-#REF!)*(EXP(-#REF!*#REF!)-EXP(-#REF!*#REF!))+#REF!*#REF!*#REF!/(#REF!-#REF!)*((EXP(-#REF!*#REF!)-EXP(-#REF!*#REF!))/(#REF!-#REF!)-(EXP(-#REF!*#REF!)-EXP(-#REF!*#REF!))/(#REF!-#REF!))</f>
        <v>#REF!</v>
      </c>
      <c r="K46" s="119" t="e">
        <f>#REF!+#REF!-#REF!-#REF!*EXP(-#REF!*#REF!)-O46-P46-Q46</f>
        <v>#REF!</v>
      </c>
      <c r="L46">
        <v>3.4</v>
      </c>
      <c r="M46"/>
      <c r="N46"/>
      <c r="O46" t="e">
        <f>#REF!*#REF!/(#REF!-#REF!)*(EXP(-#REF!*#REF!)-EXP(-#REF!*#REF!))</f>
        <v>#REF!</v>
      </c>
      <c r="P46" s="119" t="e">
        <f>#REF!*#REF!/(#REF!-#REF!)*(EXP(-#REF!*#REF!)-EXP(-#REF!*#REF!))</f>
        <v>#REF!</v>
      </c>
      <c r="Q46" s="119" t="e">
        <f>#REF!*#REF!*#REF!/(#REF!-#REF!)*((EXP(-#REF!*#REF!)-EXP(-#REF!*#REF!))/(#REF!-#REF!)-(EXP(-#REF!*#REF!)-EXP(-#REF!*#REF!))/(#REF!-#REF!))</f>
        <v>#REF!</v>
      </c>
    </row>
    <row r="47" spans="1:34" ht="14.25" hidden="1" x14ac:dyDescent="0.25">
      <c r="A47" s="83" t="s">
        <v>97</v>
      </c>
      <c r="B47" s="133">
        <v>6</v>
      </c>
      <c r="C47"/>
      <c r="D47" s="117" t="e">
        <f>#REF!*B$46*86400/1000</f>
        <v>#REF!</v>
      </c>
      <c r="E47" s="29" t="s">
        <v>109</v>
      </c>
      <c r="F47" s="195" t="s">
        <v>127</v>
      </c>
      <c r="G47" s="37"/>
      <c r="H47" s="37"/>
      <c r="I47" s="53"/>
      <c r="J47" s="119" t="e">
        <f>#REF!*#REF!/(#REF!-#REF!)*(EXP(-#REF!*#REF!)-EXP(-#REF!*#REF!))+#REF!*#REF!*#REF!/(#REF!-#REF!)*((EXP(-#REF!*#REF!)-EXP(-#REF!*#REF!))/(#REF!-#REF!)-(EXP(-#REF!*#REF!)-EXP(-#REF!*#REF!))/(#REF!-#REF!))</f>
        <v>#REF!</v>
      </c>
      <c r="K47" s="119" t="e">
        <f>#REF!+#REF!-#REF!-#REF!*EXP(-#REF!*#REF!)-O47-P47-Q47</f>
        <v>#REF!</v>
      </c>
      <c r="L47">
        <v>3.4</v>
      </c>
      <c r="M47"/>
      <c r="N47"/>
      <c r="O47" t="e">
        <f>#REF!*#REF!/(#REF!-#REF!)*(EXP(-#REF!*#REF!)-EXP(-#REF!*#REF!))</f>
        <v>#REF!</v>
      </c>
      <c r="P47" s="119" t="e">
        <f>#REF!*#REF!/(#REF!-#REF!)*(EXP(-#REF!*#REF!)-EXP(-#REF!*#REF!))</f>
        <v>#REF!</v>
      </c>
      <c r="Q47" s="119" t="e">
        <f>#REF!*#REF!*#REF!/(#REF!-#REF!)*((EXP(-#REF!*#REF!)-EXP(-#REF!*#REF!))/(#REF!-#REF!)-(EXP(-#REF!*#REF!)-EXP(-#REF!*#REF!))/(#REF!-#REF!))</f>
        <v>#REF!</v>
      </c>
    </row>
    <row r="48" spans="1:34" ht="14.25" x14ac:dyDescent="0.25">
      <c r="A48" s="32" t="s">
        <v>99</v>
      </c>
      <c r="B48" s="133">
        <f>B$39*B$21*F$16-B$39*B$21*(B$20*F$17)/(B$21-B$20)+B$40*B$22*(B$21*F$16)/(B$22-B$21)-B$40*B$22*(B$21*B$20*F$17/((B$21-B$20)*(B$22-B$21)))</f>
        <v>0</v>
      </c>
      <c r="C48"/>
      <c r="D48" s="117"/>
      <c r="E48" s="29" t="s">
        <v>40</v>
      </c>
      <c r="F48" s="195" t="s">
        <v>12</v>
      </c>
      <c r="G48" s="37"/>
      <c r="H48" s="37"/>
      <c r="I48" s="53"/>
      <c r="J48" s="119"/>
      <c r="K48" s="119"/>
      <c r="L48"/>
      <c r="M48"/>
      <c r="N48"/>
      <c r="O48"/>
      <c r="P48" s="119"/>
      <c r="Q48" s="119"/>
    </row>
    <row r="49" spans="1:17" ht="14.25" x14ac:dyDescent="0.25">
      <c r="A49" s="29" t="s">
        <v>100</v>
      </c>
      <c r="B49" s="133">
        <f>B$39*B$21*(B$20*F$17)/(B$21-B$20)+B$40*B$22*(B$21*B$20*F$17/((B$21-B$20)*(B$22-B$20)))</f>
        <v>0</v>
      </c>
      <c r="C49"/>
      <c r="D49" s="117"/>
      <c r="E49" s="29" t="s">
        <v>111</v>
      </c>
      <c r="F49" s="195" t="s">
        <v>128</v>
      </c>
      <c r="G49" s="37"/>
      <c r="H49" s="37"/>
      <c r="I49" s="53"/>
      <c r="J49" s="119"/>
      <c r="K49" s="119"/>
      <c r="L49"/>
      <c r="M49"/>
      <c r="N49"/>
      <c r="O49"/>
      <c r="P49" s="119"/>
      <c r="Q49" s="119"/>
    </row>
    <row r="50" spans="1:17" ht="15" thickBot="1" x14ac:dyDescent="0.3">
      <c r="A50" s="74" t="s">
        <v>101</v>
      </c>
      <c r="B50" s="134">
        <f>B$40*B$22*(B$21*F$16)/(B$21-B$22)-B$40*B$22*(B$21*B$20*F$17/((B$21-B$20)*(B$22-B$20)))+B$40*B$22*(B$21*B$20*F$17/((B$21-B$20)*(B$22-B$21)))</f>
        <v>0</v>
      </c>
      <c r="C50"/>
      <c r="D50" s="117"/>
      <c r="E50" s="66" t="s">
        <v>70</v>
      </c>
      <c r="F50" s="195" t="s">
        <v>71</v>
      </c>
      <c r="G50" s="37"/>
      <c r="H50" s="37"/>
      <c r="I50" s="53"/>
      <c r="J50" s="119"/>
      <c r="K50" s="119"/>
      <c r="L50"/>
      <c r="M50"/>
      <c r="N50"/>
      <c r="O50"/>
      <c r="P50" s="119"/>
      <c r="Q50" s="119"/>
    </row>
    <row r="51" spans="1:17" ht="15" thickBot="1" x14ac:dyDescent="0.3">
      <c r="A51"/>
      <c r="B51"/>
      <c r="C51"/>
      <c r="D51" s="117"/>
      <c r="E51" s="29" t="s">
        <v>110</v>
      </c>
      <c r="F51" s="195" t="s">
        <v>129</v>
      </c>
      <c r="G51" s="37"/>
      <c r="H51" s="37"/>
      <c r="I51" s="53"/>
      <c r="J51" s="119"/>
      <c r="K51" s="119"/>
      <c r="L51"/>
      <c r="M51"/>
      <c r="N51"/>
      <c r="O51"/>
      <c r="P51" s="119"/>
      <c r="Q51" s="119"/>
    </row>
    <row r="52" spans="1:17" ht="18.75" thickBot="1" x14ac:dyDescent="0.35">
      <c r="A52" s="80" t="s">
        <v>159</v>
      </c>
      <c r="B52" s="215"/>
      <c r="E52" s="29" t="s">
        <v>37</v>
      </c>
      <c r="F52" s="195" t="s">
        <v>130</v>
      </c>
      <c r="G52" s="37"/>
      <c r="H52" s="37"/>
      <c r="I52" s="53"/>
      <c r="J52" s="119"/>
      <c r="K52" s="119"/>
      <c r="L52"/>
      <c r="M52"/>
      <c r="N52"/>
      <c r="O52"/>
      <c r="P52" s="119"/>
      <c r="Q52" s="119"/>
    </row>
    <row r="53" spans="1:17" ht="15" x14ac:dyDescent="0.25">
      <c r="A53" s="216" t="s">
        <v>160</v>
      </c>
      <c r="B53" s="217">
        <f>10.3*B18^(-0.49)</f>
        <v>0.11702552008978491</v>
      </c>
      <c r="E53" s="29" t="s">
        <v>42</v>
      </c>
      <c r="F53" s="195" t="s">
        <v>17</v>
      </c>
      <c r="G53" s="37"/>
      <c r="H53" s="37"/>
      <c r="I53" s="53"/>
      <c r="J53" s="119"/>
      <c r="K53" s="119"/>
      <c r="L53"/>
      <c r="M53"/>
      <c r="N53"/>
      <c r="O53"/>
      <c r="P53" s="119"/>
      <c r="Q53" s="119"/>
    </row>
    <row r="54" spans="1:17" ht="15.75" thickBot="1" x14ac:dyDescent="0.3">
      <c r="A54" s="210" t="s">
        <v>161</v>
      </c>
      <c r="B54" s="218">
        <f>39.6*(B26+2*B25)^-0.84</f>
        <v>0.25290461026234801</v>
      </c>
      <c r="E54" s="75" t="s">
        <v>76</v>
      </c>
      <c r="F54" s="195" t="s">
        <v>77</v>
      </c>
      <c r="G54" s="37"/>
      <c r="H54" s="37"/>
      <c r="I54" s="53"/>
      <c r="J54" s="119"/>
      <c r="K54" s="119"/>
      <c r="L54"/>
      <c r="M54"/>
      <c r="N54"/>
      <c r="O54"/>
      <c r="P54" s="119"/>
      <c r="Q54" s="119"/>
    </row>
    <row r="55" spans="1:17" ht="14.25" x14ac:dyDescent="0.25">
      <c r="E55" s="120" t="s">
        <v>118</v>
      </c>
      <c r="F55" s="196" t="s">
        <v>153</v>
      </c>
      <c r="G55" s="197"/>
      <c r="H55" s="197"/>
      <c r="I55" s="198"/>
      <c r="J55" s="119"/>
      <c r="K55" s="119"/>
      <c r="L55"/>
      <c r="M55"/>
      <c r="N55"/>
      <c r="O55"/>
      <c r="P55" s="119"/>
      <c r="Q55" s="119"/>
    </row>
    <row r="56" spans="1:17" ht="14.25" x14ac:dyDescent="0.25">
      <c r="E56" s="54" t="s">
        <v>138</v>
      </c>
      <c r="F56" s="195" t="s">
        <v>139</v>
      </c>
      <c r="G56" s="37"/>
      <c r="H56" s="37"/>
      <c r="I56" s="53"/>
      <c r="J56" s="119"/>
      <c r="K56" s="119"/>
      <c r="L56"/>
      <c r="M56"/>
      <c r="N56"/>
      <c r="O56"/>
      <c r="P56" s="119"/>
      <c r="Q56" s="119"/>
    </row>
    <row r="57" spans="1:17" ht="14.25" x14ac:dyDescent="0.25">
      <c r="E57" s="120" t="s">
        <v>119</v>
      </c>
      <c r="F57" s="196" t="s">
        <v>155</v>
      </c>
      <c r="G57" s="197"/>
      <c r="H57" s="197"/>
      <c r="I57" s="198"/>
      <c r="J57" s="119"/>
      <c r="K57" s="119"/>
      <c r="L57"/>
      <c r="M57"/>
      <c r="N57"/>
      <c r="O57"/>
      <c r="P57" s="119"/>
      <c r="Q57" s="119"/>
    </row>
    <row r="58" spans="1:17" ht="14.25" x14ac:dyDescent="0.25">
      <c r="E58" s="54" t="s">
        <v>53</v>
      </c>
      <c r="F58" s="195" t="s">
        <v>140</v>
      </c>
      <c r="G58" s="37"/>
      <c r="H58" s="37"/>
      <c r="I58" s="53"/>
      <c r="J58" s="119"/>
      <c r="K58" s="119"/>
      <c r="L58"/>
      <c r="M58"/>
      <c r="N58"/>
      <c r="O58"/>
      <c r="P58" s="119"/>
      <c r="Q58" s="119"/>
    </row>
    <row r="59" spans="1:17" ht="14.25" x14ac:dyDescent="0.25">
      <c r="E59" s="54" t="s">
        <v>52</v>
      </c>
      <c r="F59" s="195" t="s">
        <v>141</v>
      </c>
      <c r="G59" s="37"/>
      <c r="H59" s="37"/>
      <c r="I59" s="53"/>
      <c r="J59" s="119"/>
      <c r="K59" s="119"/>
      <c r="L59"/>
      <c r="M59"/>
      <c r="N59"/>
      <c r="O59"/>
      <c r="P59" s="119"/>
      <c r="Q59" s="119"/>
    </row>
    <row r="60" spans="1:17" ht="15" x14ac:dyDescent="0.25">
      <c r="E60" s="29" t="s">
        <v>57</v>
      </c>
      <c r="F60" s="195" t="s">
        <v>149</v>
      </c>
      <c r="G60" s="37"/>
      <c r="H60" s="37"/>
      <c r="I60" s="53"/>
      <c r="J60" s="119"/>
      <c r="K60" s="119"/>
      <c r="L60"/>
      <c r="M60"/>
      <c r="N60"/>
      <c r="O60"/>
      <c r="P60" s="119"/>
      <c r="Q60" s="119"/>
    </row>
    <row r="61" spans="1:17" x14ac:dyDescent="0.2">
      <c r="E61" s="54" t="s">
        <v>30</v>
      </c>
      <c r="F61" s="195" t="s">
        <v>133</v>
      </c>
      <c r="G61" s="37"/>
      <c r="H61" s="37"/>
      <c r="I61" s="53"/>
      <c r="J61" s="119"/>
      <c r="K61" s="119"/>
      <c r="L61"/>
      <c r="M61"/>
      <c r="N61"/>
      <c r="O61"/>
      <c r="P61" s="119"/>
      <c r="Q61" s="119"/>
    </row>
    <row r="62" spans="1:17" x14ac:dyDescent="0.2">
      <c r="E62" s="54" t="s">
        <v>107</v>
      </c>
      <c r="F62" s="195" t="s">
        <v>131</v>
      </c>
      <c r="G62" s="37"/>
      <c r="H62" s="37"/>
      <c r="I62" s="53"/>
      <c r="J62" s="119"/>
      <c r="K62" s="119"/>
      <c r="L62"/>
      <c r="M62"/>
      <c r="N62"/>
      <c r="O62"/>
      <c r="P62" s="119"/>
      <c r="Q62" s="119"/>
    </row>
    <row r="63" spans="1:17" x14ac:dyDescent="0.2">
      <c r="E63" s="29" t="s">
        <v>18</v>
      </c>
      <c r="F63" s="196" t="s">
        <v>154</v>
      </c>
      <c r="G63" s="197"/>
      <c r="H63" s="197"/>
      <c r="I63" s="198"/>
      <c r="J63" s="119"/>
      <c r="K63" s="119"/>
      <c r="L63"/>
      <c r="M63"/>
      <c r="N63"/>
      <c r="O63"/>
      <c r="P63" s="119"/>
      <c r="Q63" s="119"/>
    </row>
    <row r="64" spans="1:17" x14ac:dyDescent="0.2">
      <c r="E64" s="54" t="s">
        <v>23</v>
      </c>
      <c r="F64" s="195" t="s">
        <v>50</v>
      </c>
      <c r="G64" s="37"/>
      <c r="H64" s="37"/>
      <c r="I64" s="53"/>
      <c r="J64" s="119"/>
      <c r="K64" s="119"/>
      <c r="L64"/>
      <c r="M64"/>
      <c r="N64"/>
      <c r="O64"/>
      <c r="P64" s="119"/>
      <c r="Q64" s="119"/>
    </row>
    <row r="65" spans="5:17" x14ac:dyDescent="0.2">
      <c r="E65" s="29" t="s">
        <v>115</v>
      </c>
      <c r="F65" s="196" t="s">
        <v>150</v>
      </c>
      <c r="G65" s="197"/>
      <c r="H65" s="197"/>
      <c r="I65" s="198"/>
      <c r="J65" s="119"/>
      <c r="K65" s="119"/>
      <c r="L65"/>
      <c r="M65"/>
      <c r="N65"/>
      <c r="O65"/>
      <c r="P65" s="119"/>
      <c r="Q65" s="119"/>
    </row>
    <row r="66" spans="5:17" ht="14.25" x14ac:dyDescent="0.25">
      <c r="E66" s="66" t="s">
        <v>117</v>
      </c>
      <c r="F66" s="196" t="s">
        <v>152</v>
      </c>
      <c r="G66" s="197"/>
      <c r="H66" s="197"/>
      <c r="I66" s="198"/>
      <c r="J66" s="119"/>
      <c r="K66" s="119"/>
      <c r="L66" s="119"/>
      <c r="M66" s="119"/>
      <c r="N66"/>
      <c r="O66"/>
      <c r="P66" s="119"/>
      <c r="Q66" s="119"/>
    </row>
    <row r="67" spans="5:17" x14ac:dyDescent="0.2">
      <c r="E67" s="29" t="s">
        <v>116</v>
      </c>
      <c r="F67" s="196" t="s">
        <v>151</v>
      </c>
      <c r="G67" s="197"/>
      <c r="H67" s="197"/>
      <c r="I67" s="198"/>
      <c r="J67" s="119"/>
      <c r="K67" s="119"/>
      <c r="L67" s="119"/>
      <c r="M67" s="119"/>
      <c r="N67"/>
      <c r="O67"/>
      <c r="P67" s="119"/>
      <c r="Q67" s="119"/>
    </row>
    <row r="68" spans="5:17" ht="13.5" thickBot="1" x14ac:dyDescent="0.25">
      <c r="E68" s="210" t="s">
        <v>147</v>
      </c>
      <c r="F68" s="204" t="s">
        <v>148</v>
      </c>
      <c r="G68" s="206"/>
      <c r="H68" s="208"/>
      <c r="I68" s="202"/>
    </row>
  </sheetData>
  <mergeCells count="1">
    <mergeCell ref="P5:T5"/>
  </mergeCells>
  <phoneticPr fontId="22" type="noConversion"/>
  <pageMargins left="0.75" right="0.75" top="1" bottom="1" header="0.5" footer="0.5"/>
  <pageSetup scale="7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2053" r:id="rId4">
          <objectPr defaultSize="0" autoPict="0" r:id="rId5">
            <anchor moveWithCells="1">
              <from>
                <xdr:col>23</xdr:col>
                <xdr:colOff>9525</xdr:colOff>
                <xdr:row>48</xdr:row>
                <xdr:rowOff>123825</xdr:rowOff>
              </from>
              <to>
                <xdr:col>29</xdr:col>
                <xdr:colOff>0</xdr:colOff>
                <xdr:row>53</xdr:row>
                <xdr:rowOff>180975</xdr:rowOff>
              </to>
            </anchor>
          </objectPr>
        </oleObject>
      </mc:Choice>
      <mc:Fallback>
        <oleObject progId="Equation.3" shapeId="205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0"/>
  <sheetViews>
    <sheetView zoomScale="85" workbookViewId="0">
      <selection activeCell="C4" sqref="C4"/>
    </sheetView>
  </sheetViews>
  <sheetFormatPr defaultColWidth="9.33203125" defaultRowHeight="12.75" x14ac:dyDescent="0.2"/>
  <cols>
    <col min="1" max="1" width="15.5" style="1" customWidth="1"/>
    <col min="2" max="2" width="10.33203125" style="1" bestFit="1" customWidth="1"/>
    <col min="3" max="3" width="10.1640625" style="1" customWidth="1"/>
    <col min="4" max="4" width="5.33203125" style="1" customWidth="1"/>
    <col min="5" max="5" width="16.33203125" style="1" customWidth="1"/>
    <col min="6" max="6" width="11.83203125" style="1" customWidth="1"/>
    <col min="7" max="7" width="8.83203125" style="1" customWidth="1"/>
    <col min="8" max="8" width="4.83203125" style="1" customWidth="1"/>
    <col min="9" max="9" width="8.83203125" style="1" bestFit="1" customWidth="1"/>
    <col min="10" max="10" width="8.83203125" style="1" customWidth="1"/>
    <col min="11" max="12" width="9.33203125" style="1"/>
    <col min="13" max="13" width="10.1640625" style="1" bestFit="1" customWidth="1"/>
    <col min="14" max="14" width="12.6640625" style="1" bestFit="1" customWidth="1"/>
    <col min="15" max="22" width="12.1640625" style="1" customWidth="1"/>
    <col min="23" max="23" width="4.1640625" style="1" customWidth="1"/>
    <col min="24" max="26" width="9.33203125" style="1"/>
    <col min="27" max="27" width="7" style="1" customWidth="1"/>
    <col min="28" max="28" width="11" style="1" customWidth="1"/>
    <col min="29" max="16384" width="9.33203125" style="1"/>
  </cols>
  <sheetData>
    <row r="1" spans="1:29" ht="13.5" thickBot="1" x14ac:dyDescent="0.25"/>
    <row r="2" spans="1:29" ht="18.75" thickBot="1" x14ac:dyDescent="0.3">
      <c r="A2" s="268" t="s">
        <v>163</v>
      </c>
      <c r="B2" s="269"/>
      <c r="C2" s="270"/>
      <c r="D2" s="270"/>
      <c r="E2" s="271"/>
      <c r="F2" s="272"/>
    </row>
    <row r="5" spans="1:29" ht="18" x14ac:dyDescent="0.25">
      <c r="A5" s="5" t="s">
        <v>162</v>
      </c>
      <c r="B5" s="6"/>
      <c r="C5" s="6"/>
      <c r="D5" s="6"/>
      <c r="E5" s="6"/>
      <c r="F5" s="7"/>
      <c r="G5" s="7"/>
      <c r="H5" s="7"/>
      <c r="K5" s="7"/>
      <c r="L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7.5" customHeight="1" thickBo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W6" s="7"/>
      <c r="X6" s="7"/>
      <c r="Y6" s="7"/>
      <c r="Z6" s="7"/>
      <c r="AA6" s="7"/>
      <c r="AB6" s="7"/>
      <c r="AC6" s="7"/>
    </row>
    <row r="7" spans="1:29" ht="15.75" thickBot="1" x14ac:dyDescent="0.25">
      <c r="A7" s="219" t="s">
        <v>1</v>
      </c>
      <c r="B7" s="44"/>
      <c r="C7" s="45"/>
      <c r="D7" s="38"/>
      <c r="E7" s="220" t="s">
        <v>39</v>
      </c>
      <c r="F7" s="7"/>
      <c r="G7" s="7"/>
      <c r="H7" s="8"/>
      <c r="I7" s="123"/>
      <c r="J7" s="124"/>
      <c r="K7" s="124" t="s">
        <v>82</v>
      </c>
      <c r="L7" s="124" t="s">
        <v>81</v>
      </c>
      <c r="M7" s="124"/>
      <c r="N7" s="123"/>
      <c r="O7" s="115"/>
      <c r="P7" s="115"/>
      <c r="Q7" s="115"/>
      <c r="R7" s="116"/>
      <c r="S7" s="121"/>
      <c r="T7" s="121"/>
      <c r="U7" s="121"/>
      <c r="V7" s="121"/>
      <c r="W7" s="12"/>
      <c r="X7" s="61" t="s">
        <v>7</v>
      </c>
      <c r="Y7" s="62"/>
      <c r="Z7" s="62"/>
      <c r="AA7" s="62"/>
      <c r="AB7" s="63"/>
      <c r="AC7" s="7"/>
    </row>
    <row r="8" spans="1:29" ht="15.75" x14ac:dyDescent="0.25">
      <c r="A8" s="221" t="s">
        <v>8</v>
      </c>
      <c r="B8" s="262">
        <f>'Ambient results-with discharge'!B5</f>
        <v>15</v>
      </c>
      <c r="C8" s="209"/>
      <c r="D8" s="38"/>
      <c r="E8" s="222" t="s">
        <v>72</v>
      </c>
      <c r="F8" s="223"/>
      <c r="G8" s="224"/>
      <c r="H8" s="14"/>
      <c r="I8" s="9" t="s">
        <v>4</v>
      </c>
      <c r="J8" s="64" t="s">
        <v>64</v>
      </c>
      <c r="K8" s="10" t="s">
        <v>5</v>
      </c>
      <c r="L8" s="149" t="s">
        <v>5</v>
      </c>
      <c r="M8" s="11" t="s">
        <v>6</v>
      </c>
      <c r="N8" s="273" t="s">
        <v>80</v>
      </c>
      <c r="O8" s="274"/>
      <c r="P8" s="274"/>
      <c r="Q8" s="274"/>
      <c r="R8" s="274"/>
      <c r="S8" s="122"/>
      <c r="T8" s="122"/>
      <c r="U8" s="122"/>
      <c r="V8" s="122"/>
      <c r="W8" s="7"/>
      <c r="X8" s="58" t="s">
        <v>54</v>
      </c>
      <c r="Y8" s="59" t="s">
        <v>9</v>
      </c>
      <c r="Z8" s="59"/>
      <c r="AA8" s="59"/>
      <c r="AB8" s="60"/>
      <c r="AC8" s="7"/>
    </row>
    <row r="9" spans="1:29" ht="15" thickBot="1" x14ac:dyDescent="0.3">
      <c r="A9" s="203" t="s">
        <v>33</v>
      </c>
      <c r="B9" s="260">
        <f>'Ambient results-with discharge'!B6</f>
        <v>5</v>
      </c>
      <c r="C9" s="198"/>
      <c r="D9" s="38"/>
      <c r="E9" s="225" t="s">
        <v>75</v>
      </c>
      <c r="F9" s="226"/>
      <c r="G9" s="224"/>
      <c r="H9" s="7"/>
      <c r="I9" s="150" t="s">
        <v>66</v>
      </c>
      <c r="J9" s="151" t="s">
        <v>67</v>
      </c>
      <c r="K9" s="152" t="s">
        <v>68</v>
      </c>
      <c r="L9" s="153" t="s">
        <v>68</v>
      </c>
      <c r="M9" s="154" t="s">
        <v>68</v>
      </c>
      <c r="N9" s="137" t="s">
        <v>82</v>
      </c>
      <c r="O9" s="136" t="s">
        <v>120</v>
      </c>
      <c r="P9" s="136" t="s">
        <v>121</v>
      </c>
      <c r="Q9" s="136" t="s">
        <v>122</v>
      </c>
      <c r="R9" s="139" t="s">
        <v>123</v>
      </c>
      <c r="S9" s="122"/>
      <c r="T9" s="122"/>
      <c r="U9" s="122"/>
      <c r="V9" s="122"/>
      <c r="W9" s="16"/>
      <c r="X9" s="54" t="s">
        <v>55</v>
      </c>
      <c r="Y9" s="37" t="s">
        <v>10</v>
      </c>
      <c r="Z9" s="37"/>
      <c r="AA9" s="37"/>
      <c r="AB9" s="53"/>
      <c r="AC9" s="7"/>
    </row>
    <row r="10" spans="1:29" ht="15" thickBot="1" x14ac:dyDescent="0.3">
      <c r="A10" s="203" t="s">
        <v>41</v>
      </c>
      <c r="B10" s="260">
        <f>'Ambient results-with discharge'!B7</f>
        <v>45</v>
      </c>
      <c r="C10" s="198"/>
      <c r="D10" s="38"/>
      <c r="E10" s="7"/>
      <c r="F10" s="7"/>
      <c r="G10" s="7"/>
      <c r="H10" s="48"/>
      <c r="I10" s="155">
        <v>0</v>
      </c>
      <c r="J10" s="156">
        <f t="shared" ref="J10:J35" si="0">I10/$B$31</f>
        <v>0</v>
      </c>
      <c r="K10" s="157">
        <f t="shared" ref="K10:K35" si="1">IF($B$32="na",$C$22/($C$33-$B$27)*(EXP(-$B$27*I10/$B$31)-EXP(-$C$33*I10/$B$31))*$F$18+$F$23*EXP(-$C$33*I10/$B$31)+(1-EXP(-$C$33*I10/$B$31))*$C$34/($B$28/3.2808)/$C$33,$C$22/($C$32-$B$27)*(EXP(-$B$27*I10/$B$31)-EXP(-$C$32*I10/$B$31))*$F$18+$F$23*EXP(-$C$32*I10/$B$31)+(1-EXP(-$C$32*I10/$B$31))*$C$34/($B$28/3.2808)/$C$32)</f>
        <v>-3.9089557535998409E-3</v>
      </c>
      <c r="L10" s="158">
        <f>IF(B$32="na",B$51/(C$33-C$24)*(EXP(-C$24*J10)-EXP(-C$33*J10))+B$52/(C$33-C$23)*(EXP(-C$23*J10)-EXP(-C$33*J10))+B$53/(C$33-C$25)*(EXP(-C$25*J10)-EXP(-C$33*J10)),B$51/(C$32-C$24)*(EXP(-C$24*J10)-EXP(-C$32*J10))+B$52/(C$32-C$23)*(EXP(-C$23*J10)-EXP(-C$32*J10))+B$53/(C$32-C$25)*(EXP(-C$25*J10)-EXP(-C$32*J10)))</f>
        <v>0</v>
      </c>
      <c r="M10" s="159">
        <f t="shared" ref="M10:M35" si="2">$F$21-$K10-$L10</f>
        <v>11.14</v>
      </c>
      <c r="N10" s="138">
        <f t="shared" ref="N10:N35" si="3">F$18*EXP(-B$27*I10/B$31)</f>
        <v>2.1850772499979092</v>
      </c>
      <c r="O10" s="227">
        <f t="shared" ref="O10:O35" si="4">F$20*EXP(-C$23*J10)</f>
        <v>0</v>
      </c>
      <c r="P10" s="228">
        <f t="shared" ref="P10:P35" si="5">F$19*EXP(-C$24*J10)+C$23*F$20/(C$24-C$23)*(EXP(-C$23*J10)-EXP(-C$24*J10))</f>
        <v>0</v>
      </c>
      <c r="Q10" s="228">
        <f t="shared" ref="Q10:Q35" si="6">C$24*F$19/(C$25-C$24)*(EXP(-C$24*J10)-EXP(-C$25*J10))+C$24*C$23*F$20/(C$24-C$23)*((EXP(-C$23*J10)-EXP(-C$25*J10))/(C$25-C$23)-(EXP(-C$24*J10)-EXP(-C$25*J10))/(C$25-C$24))</f>
        <v>0</v>
      </c>
      <c r="R10" s="229">
        <f t="shared" ref="R10:R35" si="7">F$20+F$19-O10-F$19*EXP(-C$24*J10)-C$23*F$20/(C$24-C$23)*(EXP(-C$23*J10)-EXP(-C$24*J10))-C$24*F$19/(C$25-C$24)*(EXP(-C$24*J10)-EXP(-C$25*J10))-C$24*C$23*F$20/(C$24-C$23)*((EXP(-C$23*J10)-EXP(-C$25*J10))/(C$25-C$23)-(EXP(-C$24*J10)-EXP(-C$25*J10))/(C$25-C$24))</f>
        <v>0</v>
      </c>
      <c r="S10" s="119"/>
      <c r="T10" s="119"/>
      <c r="U10" s="25"/>
      <c r="V10" s="25"/>
      <c r="W10" s="16"/>
      <c r="X10" s="29" t="s">
        <v>40</v>
      </c>
      <c r="Y10" s="37" t="s">
        <v>12</v>
      </c>
      <c r="Z10" s="37"/>
      <c r="AA10" s="37"/>
      <c r="AB10" s="53"/>
      <c r="AC10" s="7"/>
    </row>
    <row r="11" spans="1:29" ht="15" thickBot="1" x14ac:dyDescent="0.3">
      <c r="A11" s="203" t="s">
        <v>43</v>
      </c>
      <c r="B11" s="260">
        <f>'Ambient results-with discharge'!B8</f>
        <v>0</v>
      </c>
      <c r="C11" s="198"/>
      <c r="D11" s="38"/>
      <c r="E11" s="230" t="s">
        <v>74</v>
      </c>
      <c r="F11" s="263">
        <f>'Ambient results-with discharge'!F8</f>
        <v>5</v>
      </c>
      <c r="G11" s="7"/>
      <c r="H11" s="14"/>
      <c r="I11" s="108">
        <f t="shared" ref="I11:I35" si="8">I10+F$11</f>
        <v>5</v>
      </c>
      <c r="J11" s="109">
        <f t="shared" si="0"/>
        <v>6.4981248036347902E-2</v>
      </c>
      <c r="K11" s="18">
        <f t="shared" si="1"/>
        <v>5.1303587948662556E-2</v>
      </c>
      <c r="L11" s="148">
        <f t="shared" ref="L11:L35" si="9">IF(B$32="na",B$51/(C$33-C$24)*(EXP(-C$24*J11)-EXP(-C$33*J11))+B$52/(C$33-C$23)*(EXP(-C$23*J11)-EXP(-C$33*J11))+B$53/(C$33-C$25)*(EXP(-C$25*J11)-EXP(-C$33*J11)),B$51/(C$32-C$24)*(EXP(-C$24*J11)-EXP(-C$32*J11))+B$52/(C$32-C$23)*(EXP(-C$23*J11)-EXP(-C$32*J11))+B$53/(C$32-C$25)*(EXP(-C$25*J11)-EXP(-C$32*J11)))</f>
        <v>0</v>
      </c>
      <c r="M11" s="15">
        <f t="shared" si="2"/>
        <v>11.084787456297738</v>
      </c>
      <c r="N11" s="78">
        <f t="shared" si="3"/>
        <v>2.1722653638650447</v>
      </c>
      <c r="O11" s="231">
        <f t="shared" si="4"/>
        <v>0</v>
      </c>
      <c r="P11" s="232">
        <f t="shared" si="5"/>
        <v>0</v>
      </c>
      <c r="Q11" s="232">
        <f t="shared" si="6"/>
        <v>0</v>
      </c>
      <c r="R11" s="233">
        <f t="shared" si="7"/>
        <v>0</v>
      </c>
      <c r="S11" s="25"/>
      <c r="T11" s="25"/>
      <c r="U11" s="25"/>
      <c r="V11" s="25"/>
      <c r="W11" s="16"/>
      <c r="X11" s="29" t="s">
        <v>48</v>
      </c>
      <c r="Y11" s="37" t="s">
        <v>14</v>
      </c>
      <c r="Z11" s="37"/>
      <c r="AA11" s="37"/>
      <c r="AB11" s="53"/>
      <c r="AC11" s="7"/>
    </row>
    <row r="12" spans="1:29" ht="14.25" x14ac:dyDescent="0.25">
      <c r="A12" s="203" t="s">
        <v>108</v>
      </c>
      <c r="B12" s="260">
        <f>'Ambient results-with discharge'!B9</f>
        <v>0</v>
      </c>
      <c r="C12" s="234"/>
      <c r="D12" s="38"/>
      <c r="E12" s="7"/>
      <c r="F12" s="7"/>
      <c r="G12" s="7"/>
      <c r="H12" s="14"/>
      <c r="I12" s="108">
        <f t="shared" si="8"/>
        <v>10</v>
      </c>
      <c r="J12" s="109">
        <f t="shared" si="0"/>
        <v>0.1299624960726958</v>
      </c>
      <c r="K12" s="18">
        <f t="shared" si="1"/>
        <v>9.7232970131235122E-2</v>
      </c>
      <c r="L12" s="148">
        <f t="shared" si="9"/>
        <v>0</v>
      </c>
      <c r="M12" s="15">
        <f t="shared" si="2"/>
        <v>11.038858074115165</v>
      </c>
      <c r="N12" s="78">
        <f t="shared" si="3"/>
        <v>2.1595285983835355</v>
      </c>
      <c r="O12" s="231">
        <f t="shared" si="4"/>
        <v>0</v>
      </c>
      <c r="P12" s="232">
        <f t="shared" si="5"/>
        <v>0</v>
      </c>
      <c r="Q12" s="232">
        <f t="shared" si="6"/>
        <v>0</v>
      </c>
      <c r="R12" s="233">
        <f t="shared" si="7"/>
        <v>0</v>
      </c>
      <c r="S12" s="25"/>
      <c r="T12" s="25"/>
      <c r="U12" s="25"/>
      <c r="V12" s="25"/>
      <c r="W12" s="16"/>
      <c r="X12" s="29" t="s">
        <v>42</v>
      </c>
      <c r="Y12" s="37" t="s">
        <v>17</v>
      </c>
      <c r="Z12" s="37"/>
      <c r="AA12" s="37"/>
      <c r="AB12" s="53"/>
      <c r="AC12" s="7"/>
    </row>
    <row r="13" spans="1:29" ht="15" thickBot="1" x14ac:dyDescent="0.3">
      <c r="A13" s="203" t="s">
        <v>15</v>
      </c>
      <c r="B13" s="260">
        <v>0</v>
      </c>
      <c r="C13" s="198"/>
      <c r="D13" s="38"/>
      <c r="E13" s="7"/>
      <c r="F13" s="7"/>
      <c r="G13" s="7"/>
      <c r="H13" s="14"/>
      <c r="I13" s="108">
        <f t="shared" si="8"/>
        <v>15</v>
      </c>
      <c r="J13" s="109">
        <f t="shared" si="0"/>
        <v>0.19494374410904372</v>
      </c>
      <c r="K13" s="18">
        <f t="shared" si="1"/>
        <v>0.13542887441987217</v>
      </c>
      <c r="L13" s="148">
        <f t="shared" si="9"/>
        <v>0</v>
      </c>
      <c r="M13" s="15">
        <f t="shared" si="2"/>
        <v>11.000662169826528</v>
      </c>
      <c r="N13" s="78">
        <f t="shared" si="3"/>
        <v>2.1468665130942481</v>
      </c>
      <c r="O13" s="231">
        <f t="shared" si="4"/>
        <v>0</v>
      </c>
      <c r="P13" s="232">
        <f t="shared" si="5"/>
        <v>0</v>
      </c>
      <c r="Q13" s="232">
        <f t="shared" si="6"/>
        <v>0</v>
      </c>
      <c r="R13" s="233">
        <f t="shared" si="7"/>
        <v>0</v>
      </c>
      <c r="S13" s="25"/>
      <c r="T13" s="25"/>
      <c r="U13" s="25"/>
      <c r="V13" s="25"/>
      <c r="W13" s="16"/>
      <c r="X13" s="29" t="s">
        <v>37</v>
      </c>
      <c r="Y13" s="37" t="s">
        <v>19</v>
      </c>
      <c r="Z13" s="37"/>
      <c r="AA13" s="37"/>
      <c r="AB13" s="53"/>
      <c r="AC13" s="7"/>
    </row>
    <row r="14" spans="1:29" ht="16.5" thickBot="1" x14ac:dyDescent="0.3">
      <c r="A14" s="74" t="s">
        <v>38</v>
      </c>
      <c r="B14" s="85">
        <f>'Ambient results-with discharge'!B11</f>
        <v>7.0000000000000007E-2</v>
      </c>
      <c r="C14" s="257">
        <f>$B$14*1.04^(B8-20)</f>
        <v>5.7534897473154614E-2</v>
      </c>
      <c r="D14" s="38"/>
      <c r="E14" s="219" t="s">
        <v>3</v>
      </c>
      <c r="F14" s="44"/>
      <c r="G14" s="47"/>
      <c r="H14" s="14"/>
      <c r="I14" s="108">
        <f t="shared" si="8"/>
        <v>20</v>
      </c>
      <c r="J14" s="109">
        <f t="shared" si="0"/>
        <v>0.25992499214539161</v>
      </c>
      <c r="K14" s="18">
        <f t="shared" si="1"/>
        <v>0.16718235300108186</v>
      </c>
      <c r="L14" s="148">
        <f t="shared" si="9"/>
        <v>0</v>
      </c>
      <c r="M14" s="15">
        <f t="shared" si="2"/>
        <v>10.96890869124532</v>
      </c>
      <c r="N14" s="78">
        <f t="shared" si="3"/>
        <v>2.1342786701206191</v>
      </c>
      <c r="O14" s="231">
        <f t="shared" si="4"/>
        <v>0</v>
      </c>
      <c r="P14" s="232">
        <f t="shared" si="5"/>
        <v>0</v>
      </c>
      <c r="Q14" s="232">
        <f t="shared" si="6"/>
        <v>0</v>
      </c>
      <c r="R14" s="233">
        <f t="shared" si="7"/>
        <v>0</v>
      </c>
      <c r="S14" s="25"/>
      <c r="T14" s="25"/>
      <c r="U14" s="25"/>
      <c r="V14" s="25"/>
      <c r="W14" s="16"/>
      <c r="X14" s="66" t="s">
        <v>70</v>
      </c>
      <c r="Y14" s="37" t="s">
        <v>71</v>
      </c>
      <c r="Z14" s="37"/>
      <c r="AA14" s="37"/>
      <c r="AB14" s="53"/>
      <c r="AC14" s="7"/>
    </row>
    <row r="15" spans="1:29" ht="15.75" thickBot="1" x14ac:dyDescent="0.25">
      <c r="A15" s="219" t="s">
        <v>2</v>
      </c>
      <c r="B15" s="44"/>
      <c r="C15" s="45"/>
      <c r="D15" s="38"/>
      <c r="E15" s="235" t="s">
        <v>18</v>
      </c>
      <c r="F15" s="46">
        <f>($B$8*$B$13*1.547+$B$16*$B$21)/($B$13*1.547+$B$21)</f>
        <v>10.5</v>
      </c>
      <c r="G15" s="49">
        <f>273.15+$F$15</f>
        <v>283.64999999999998</v>
      </c>
      <c r="H15" s="14"/>
      <c r="I15" s="108">
        <f t="shared" si="8"/>
        <v>25</v>
      </c>
      <c r="J15" s="109">
        <f t="shared" si="0"/>
        <v>0.32490624018173953</v>
      </c>
      <c r="K15" s="18">
        <f t="shared" si="1"/>
        <v>0.1935689900338407</v>
      </c>
      <c r="L15" s="148">
        <f t="shared" si="9"/>
        <v>0</v>
      </c>
      <c r="M15" s="15">
        <f t="shared" si="2"/>
        <v>10.94252205421256</v>
      </c>
      <c r="N15" s="78">
        <f t="shared" si="3"/>
        <v>2.121764634153509</v>
      </c>
      <c r="O15" s="231">
        <f t="shared" si="4"/>
        <v>0</v>
      </c>
      <c r="P15" s="232">
        <f t="shared" si="5"/>
        <v>0</v>
      </c>
      <c r="Q15" s="232">
        <f t="shared" si="6"/>
        <v>0</v>
      </c>
      <c r="R15" s="233">
        <f t="shared" si="7"/>
        <v>0</v>
      </c>
      <c r="S15" s="25"/>
      <c r="T15" s="25"/>
      <c r="U15" s="25"/>
      <c r="V15" s="25"/>
      <c r="W15" s="16"/>
      <c r="X15" s="54" t="s">
        <v>20</v>
      </c>
      <c r="Y15" s="37" t="s">
        <v>21</v>
      </c>
      <c r="Z15" s="37"/>
      <c r="AA15" s="37"/>
      <c r="AB15" s="53"/>
      <c r="AC15" s="7"/>
    </row>
    <row r="16" spans="1:29" x14ac:dyDescent="0.2">
      <c r="A16" s="221" t="s">
        <v>8</v>
      </c>
      <c r="B16" s="212">
        <f>'Ambient results-with discharge'!B13</f>
        <v>10.5</v>
      </c>
      <c r="C16" s="84"/>
      <c r="D16" s="38"/>
      <c r="E16" s="203" t="s">
        <v>115</v>
      </c>
      <c r="F16" s="13">
        <f>$B$10/(1-EXP(-$B$14*5))</f>
        <v>152.38125667582185</v>
      </c>
      <c r="G16" s="50"/>
      <c r="H16" s="14"/>
      <c r="I16" s="108">
        <f t="shared" si="8"/>
        <v>30</v>
      </c>
      <c r="J16" s="109">
        <f t="shared" si="0"/>
        <v>0.38988748821808744</v>
      </c>
      <c r="K16" s="18">
        <f t="shared" si="1"/>
        <v>0.21548486145319312</v>
      </c>
      <c r="L16" s="148">
        <f t="shared" si="9"/>
        <v>0</v>
      </c>
      <c r="M16" s="15">
        <f t="shared" si="2"/>
        <v>10.920606182793207</v>
      </c>
      <c r="N16" s="78">
        <f t="shared" si="3"/>
        <v>2.1093239724361537</v>
      </c>
      <c r="O16" s="231">
        <f t="shared" si="4"/>
        <v>0</v>
      </c>
      <c r="P16" s="232">
        <f t="shared" si="5"/>
        <v>0</v>
      </c>
      <c r="Q16" s="232">
        <f t="shared" si="6"/>
        <v>0</v>
      </c>
      <c r="R16" s="233">
        <f t="shared" si="7"/>
        <v>0</v>
      </c>
      <c r="S16" s="25"/>
      <c r="T16" s="25"/>
      <c r="U16" s="25"/>
      <c r="V16" s="25"/>
      <c r="W16" s="16"/>
      <c r="X16" s="54" t="s">
        <v>23</v>
      </c>
      <c r="Y16" s="37" t="s">
        <v>50</v>
      </c>
      <c r="Z16" s="37"/>
      <c r="AA16" s="37"/>
      <c r="AB16" s="53"/>
      <c r="AC16" s="7"/>
    </row>
    <row r="17" spans="1:29" ht="14.25" x14ac:dyDescent="0.25">
      <c r="A17" s="203" t="s">
        <v>6</v>
      </c>
      <c r="B17" s="18">
        <f>'Ambient results-with discharge'!B14</f>
        <v>11.14</v>
      </c>
      <c r="C17" s="22"/>
      <c r="D17" s="38"/>
      <c r="E17" s="203" t="s">
        <v>116</v>
      </c>
      <c r="F17" s="17">
        <f>$B$18/(1-EXP(-$B$22*5))</f>
        <v>2.1850772499979092</v>
      </c>
      <c r="G17" s="50"/>
      <c r="H17" s="14"/>
      <c r="I17" s="108">
        <f t="shared" si="8"/>
        <v>35</v>
      </c>
      <c r="J17" s="109">
        <f t="shared" si="0"/>
        <v>0.4548687362544353</v>
      </c>
      <c r="K17" s="18">
        <f t="shared" si="1"/>
        <v>0.23367649338695271</v>
      </c>
      <c r="L17" s="148">
        <f t="shared" si="9"/>
        <v>0</v>
      </c>
      <c r="M17" s="15">
        <f t="shared" si="2"/>
        <v>10.902414550859447</v>
      </c>
      <c r="N17" s="78">
        <f t="shared" si="3"/>
        <v>2.0969562547491933</v>
      </c>
      <c r="O17" s="231">
        <f t="shared" si="4"/>
        <v>0</v>
      </c>
      <c r="P17" s="232">
        <f t="shared" si="5"/>
        <v>0</v>
      </c>
      <c r="Q17" s="232">
        <f t="shared" si="6"/>
        <v>0</v>
      </c>
      <c r="R17" s="233">
        <f t="shared" si="7"/>
        <v>0</v>
      </c>
      <c r="S17" s="25"/>
      <c r="T17" s="25"/>
      <c r="U17" s="25"/>
      <c r="V17" s="25"/>
      <c r="W17" s="16"/>
      <c r="X17" s="54" t="s">
        <v>51</v>
      </c>
      <c r="Y17" s="76" t="s">
        <v>78</v>
      </c>
      <c r="Z17" s="37"/>
      <c r="AA17" s="37" t="s">
        <v>73</v>
      </c>
      <c r="AB17" s="53"/>
      <c r="AC17" s="7"/>
    </row>
    <row r="18" spans="1:29" ht="12" customHeight="1" x14ac:dyDescent="0.25">
      <c r="A18" s="203" t="s">
        <v>11</v>
      </c>
      <c r="B18" s="13">
        <f>'Ambient results-with discharge'!B15</f>
        <v>1.1000000000000001</v>
      </c>
      <c r="C18" s="22"/>
      <c r="D18" s="38"/>
      <c r="E18" s="236" t="s">
        <v>117</v>
      </c>
      <c r="F18" s="17">
        <f>($F16*$B$13*1.548+$F17*$B$21)/($B$13*1.548+$B$21)</f>
        <v>2.1850772499979092</v>
      </c>
      <c r="G18" s="50"/>
      <c r="H18" s="14"/>
      <c r="I18" s="108">
        <f t="shared" si="8"/>
        <v>40</v>
      </c>
      <c r="J18" s="109">
        <f t="shared" si="0"/>
        <v>0.51984998429078322</v>
      </c>
      <c r="K18" s="18">
        <f t="shared" si="1"/>
        <v>0.24876582076617518</v>
      </c>
      <c r="L18" s="148">
        <f t="shared" si="9"/>
        <v>0</v>
      </c>
      <c r="M18" s="15">
        <f t="shared" si="2"/>
        <v>10.887325223480225</v>
      </c>
      <c r="N18" s="78">
        <f t="shared" si="3"/>
        <v>2.0846610533957994</v>
      </c>
      <c r="O18" s="231">
        <f t="shared" si="4"/>
        <v>0</v>
      </c>
      <c r="P18" s="232">
        <f t="shared" si="5"/>
        <v>0</v>
      </c>
      <c r="Q18" s="232">
        <f t="shared" si="6"/>
        <v>0</v>
      </c>
      <c r="R18" s="233">
        <f t="shared" si="7"/>
        <v>0</v>
      </c>
      <c r="S18" s="25"/>
      <c r="T18" s="25"/>
      <c r="U18" s="25"/>
      <c r="V18" s="25"/>
      <c r="W18" s="16"/>
      <c r="X18" s="75" t="s">
        <v>76</v>
      </c>
      <c r="Y18" s="37" t="s">
        <v>77</v>
      </c>
      <c r="Z18" s="37"/>
      <c r="AA18" s="37"/>
      <c r="AB18" s="53"/>
      <c r="AC18" s="7"/>
    </row>
    <row r="19" spans="1:29" ht="14.25" x14ac:dyDescent="0.25">
      <c r="A19" s="203" t="s">
        <v>13</v>
      </c>
      <c r="B19" s="260">
        <f>'Ambient results-with discharge'!B16</f>
        <v>0</v>
      </c>
      <c r="C19" s="22"/>
      <c r="D19" s="38"/>
      <c r="E19" s="237" t="s">
        <v>118</v>
      </c>
      <c r="F19" s="18">
        <f>(B11*B13*1.548+B19*B21)/(B13*1.548+B21)</f>
        <v>0</v>
      </c>
      <c r="G19" s="50"/>
      <c r="H19" s="14"/>
      <c r="I19" s="108">
        <f t="shared" si="8"/>
        <v>45</v>
      </c>
      <c r="J19" s="109">
        <f t="shared" si="0"/>
        <v>0.58483123232713108</v>
      </c>
      <c r="K19" s="18">
        <f t="shared" si="1"/>
        <v>0.26127098055474102</v>
      </c>
      <c r="L19" s="148">
        <f t="shared" si="9"/>
        <v>0</v>
      </c>
      <c r="M19" s="15">
        <f t="shared" si="2"/>
        <v>10.87482006369166</v>
      </c>
      <c r="N19" s="78">
        <f t="shared" si="3"/>
        <v>2.0724379431868809</v>
      </c>
      <c r="O19" s="231">
        <f t="shared" si="4"/>
        <v>0</v>
      </c>
      <c r="P19" s="232">
        <f t="shared" si="5"/>
        <v>0</v>
      </c>
      <c r="Q19" s="232">
        <f t="shared" si="6"/>
        <v>0</v>
      </c>
      <c r="R19" s="233">
        <f t="shared" si="7"/>
        <v>0</v>
      </c>
      <c r="S19" s="25"/>
      <c r="T19" s="25"/>
      <c r="U19" s="25"/>
      <c r="V19" s="25"/>
      <c r="W19" s="16"/>
      <c r="X19" s="54" t="s">
        <v>52</v>
      </c>
      <c r="Y19" s="37" t="s">
        <v>25</v>
      </c>
      <c r="Z19" s="37"/>
      <c r="AA19" s="37"/>
      <c r="AB19" s="53"/>
      <c r="AC19" s="7"/>
    </row>
    <row r="20" spans="1:29" ht="14.25" x14ac:dyDescent="0.25">
      <c r="A20" s="238" t="s">
        <v>107</v>
      </c>
      <c r="B20" s="260">
        <f>'Ambient results-with discharge'!B17</f>
        <v>0</v>
      </c>
      <c r="C20" s="22"/>
      <c r="D20" s="38"/>
      <c r="E20" s="237" t="s">
        <v>119</v>
      </c>
      <c r="F20" s="18">
        <f>((B12-B11)*B13*1.548+(B20-B19)*B21)/(B13*1.548+B21)</f>
        <v>0</v>
      </c>
      <c r="G20" s="234"/>
      <c r="H20" s="14"/>
      <c r="I20" s="108">
        <f t="shared" si="8"/>
        <v>50</v>
      </c>
      <c r="J20" s="109">
        <f t="shared" si="0"/>
        <v>0.64981248036347905</v>
      </c>
      <c r="K20" s="18">
        <f t="shared" si="1"/>
        <v>0.27162363476485762</v>
      </c>
      <c r="L20" s="148">
        <f t="shared" si="9"/>
        <v>0</v>
      </c>
      <c r="M20" s="15">
        <f t="shared" si="2"/>
        <v>10.864467409481543</v>
      </c>
      <c r="N20" s="78">
        <f t="shared" si="3"/>
        <v>2.0602865014263831</v>
      </c>
      <c r="O20" s="231">
        <f t="shared" si="4"/>
        <v>0</v>
      </c>
      <c r="P20" s="232">
        <f t="shared" si="5"/>
        <v>0</v>
      </c>
      <c r="Q20" s="232">
        <f t="shared" si="6"/>
        <v>0</v>
      </c>
      <c r="R20" s="233">
        <f t="shared" si="7"/>
        <v>0</v>
      </c>
      <c r="S20" s="25"/>
      <c r="T20" s="25"/>
      <c r="U20" s="25"/>
      <c r="V20" s="25"/>
      <c r="W20" s="16"/>
      <c r="X20" s="54" t="s">
        <v>53</v>
      </c>
      <c r="Y20" s="37" t="s">
        <v>27</v>
      </c>
      <c r="Z20" s="37"/>
      <c r="AA20" s="37"/>
      <c r="AB20" s="53"/>
      <c r="AC20" s="7"/>
    </row>
    <row r="21" spans="1:29" ht="14.25" x14ac:dyDescent="0.25">
      <c r="A21" s="203" t="s">
        <v>16</v>
      </c>
      <c r="B21" s="260">
        <f>'Ambient results-with discharge'!B18</f>
        <v>9300</v>
      </c>
      <c r="C21" s="22"/>
      <c r="D21" s="38"/>
      <c r="E21" s="203" t="s">
        <v>26</v>
      </c>
      <c r="F21" s="18">
        <f>E35</f>
        <v>11.136091044246401</v>
      </c>
      <c r="G21" s="51"/>
      <c r="H21" s="14"/>
      <c r="I21" s="108">
        <f t="shared" si="8"/>
        <v>55</v>
      </c>
      <c r="J21" s="109">
        <f t="shared" si="0"/>
        <v>0.71479372839982691</v>
      </c>
      <c r="K21" s="18">
        <f t="shared" si="1"/>
        <v>0.28018340240783574</v>
      </c>
      <c r="L21" s="148">
        <f t="shared" si="9"/>
        <v>0</v>
      </c>
      <c r="M21" s="15">
        <f t="shared" si="2"/>
        <v>10.855907641838565</v>
      </c>
      <c r="N21" s="78">
        <f t="shared" si="3"/>
        <v>2.0482063078966677</v>
      </c>
      <c r="O21" s="231">
        <f t="shared" si="4"/>
        <v>0</v>
      </c>
      <c r="P21" s="232">
        <f t="shared" si="5"/>
        <v>0</v>
      </c>
      <c r="Q21" s="232">
        <f t="shared" si="6"/>
        <v>0</v>
      </c>
      <c r="R21" s="233">
        <f t="shared" si="7"/>
        <v>0</v>
      </c>
      <c r="S21" s="25"/>
      <c r="T21" s="25"/>
      <c r="U21" s="25"/>
      <c r="V21" s="25"/>
      <c r="W21" s="16"/>
      <c r="X21" s="54" t="s">
        <v>56</v>
      </c>
      <c r="Y21" s="37" t="s">
        <v>29</v>
      </c>
      <c r="Z21" s="37"/>
      <c r="AA21" s="37"/>
      <c r="AB21" s="53"/>
      <c r="AC21" s="7"/>
    </row>
    <row r="22" spans="1:29" ht="14.25" x14ac:dyDescent="0.25">
      <c r="A22" s="203" t="s">
        <v>40</v>
      </c>
      <c r="B22" s="18">
        <f>'Ambient results-with discharge'!B19</f>
        <v>0.14000000000000001</v>
      </c>
      <c r="C22" s="39">
        <f>$B$22*$B$37^($B$16-20)</f>
        <v>9.0497078613361148E-2</v>
      </c>
      <c r="D22" s="38"/>
      <c r="E22" s="203" t="s">
        <v>28</v>
      </c>
      <c r="F22" s="18">
        <f>($B$13*1.547*$B$9+$B$21*$B$17)/($B$13*1.547+$B$21)</f>
        <v>11.14</v>
      </c>
      <c r="G22" s="50"/>
      <c r="H22" s="14"/>
      <c r="I22" s="108">
        <f t="shared" si="8"/>
        <v>60</v>
      </c>
      <c r="J22" s="109">
        <f t="shared" si="0"/>
        <v>0.77977497643617488</v>
      </c>
      <c r="K22" s="18">
        <f t="shared" si="1"/>
        <v>0.28724988287437092</v>
      </c>
      <c r="L22" s="148">
        <f t="shared" si="9"/>
        <v>0</v>
      </c>
      <c r="M22" s="15">
        <f t="shared" si="2"/>
        <v>10.848841161372031</v>
      </c>
      <c r="N22" s="78">
        <f t="shared" si="3"/>
        <v>2.0361969448439829</v>
      </c>
      <c r="O22" s="231">
        <f t="shared" si="4"/>
        <v>0</v>
      </c>
      <c r="P22" s="232">
        <f t="shared" si="5"/>
        <v>0</v>
      </c>
      <c r="Q22" s="232">
        <f t="shared" si="6"/>
        <v>0</v>
      </c>
      <c r="R22" s="233">
        <f t="shared" si="7"/>
        <v>0</v>
      </c>
      <c r="S22" s="25"/>
      <c r="T22" s="25"/>
      <c r="U22" s="25"/>
      <c r="V22" s="25"/>
      <c r="W22" s="16"/>
      <c r="X22" s="54" t="s">
        <v>30</v>
      </c>
      <c r="Y22" s="37" t="s">
        <v>31</v>
      </c>
      <c r="Z22" s="37"/>
      <c r="AA22" s="37"/>
      <c r="AB22" s="53"/>
      <c r="AC22" s="7"/>
    </row>
    <row r="23" spans="1:29" ht="15" thickBot="1" x14ac:dyDescent="0.3">
      <c r="A23" s="203" t="s">
        <v>110</v>
      </c>
      <c r="B23" s="13">
        <f>'Ambient results-with discharge'!B20</f>
        <v>0.70099999999999996</v>
      </c>
      <c r="C23" s="39">
        <f>$B23*$B$40^($B$16-20)</f>
        <v>0.33743671993410201</v>
      </c>
      <c r="D23" s="38"/>
      <c r="E23" s="74" t="s">
        <v>102</v>
      </c>
      <c r="F23" s="85">
        <f>F21-F22</f>
        <v>-3.9089557535998409E-3</v>
      </c>
      <c r="G23" s="52"/>
      <c r="H23" s="7"/>
      <c r="I23" s="108">
        <f t="shared" si="8"/>
        <v>65</v>
      </c>
      <c r="J23" s="109">
        <f t="shared" si="0"/>
        <v>0.84475622447252274</v>
      </c>
      <c r="K23" s="18">
        <f t="shared" si="1"/>
        <v>0.29307267271435644</v>
      </c>
      <c r="L23" s="148">
        <f t="shared" si="9"/>
        <v>0</v>
      </c>
      <c r="M23" s="15">
        <f t="shared" si="2"/>
        <v>10.843018371532045</v>
      </c>
      <c r="N23" s="78">
        <f t="shared" si="3"/>
        <v>2.0242579969640158</v>
      </c>
      <c r="O23" s="231">
        <f t="shared" si="4"/>
        <v>0</v>
      </c>
      <c r="P23" s="232">
        <f t="shared" si="5"/>
        <v>0</v>
      </c>
      <c r="Q23" s="232">
        <f t="shared" si="6"/>
        <v>0</v>
      </c>
      <c r="R23" s="233">
        <f t="shared" si="7"/>
        <v>0</v>
      </c>
      <c r="S23" s="25"/>
      <c r="T23" s="25"/>
      <c r="U23" s="25"/>
      <c r="V23" s="25"/>
      <c r="W23" s="16"/>
      <c r="X23" s="54" t="s">
        <v>36</v>
      </c>
      <c r="Y23" s="37" t="s">
        <v>32</v>
      </c>
      <c r="Z23" s="37"/>
      <c r="AA23" s="37"/>
      <c r="AB23" s="53"/>
      <c r="AC23" s="7"/>
    </row>
    <row r="24" spans="1:29" ht="14.25" x14ac:dyDescent="0.25">
      <c r="A24" s="203" t="s">
        <v>109</v>
      </c>
      <c r="B24" s="13">
        <f>'Ambient results-with discharge'!B21</f>
        <v>0.7</v>
      </c>
      <c r="C24" s="39">
        <f>$B24*$B$40^($B$16-20)</f>
        <v>0.33695535514104341</v>
      </c>
      <c r="D24" s="38"/>
      <c r="E24" s="7"/>
      <c r="F24" s="7"/>
      <c r="G24" s="7"/>
      <c r="H24" s="7"/>
      <c r="I24" s="108">
        <f t="shared" si="8"/>
        <v>70</v>
      </c>
      <c r="J24" s="109">
        <f t="shared" si="0"/>
        <v>0.9097374725088706</v>
      </c>
      <c r="K24" s="18">
        <f t="shared" si="1"/>
        <v>0.29785971070086165</v>
      </c>
      <c r="L24" s="148">
        <f t="shared" si="9"/>
        <v>0</v>
      </c>
      <c r="M24" s="15">
        <f t="shared" si="2"/>
        <v>10.838231333545538</v>
      </c>
      <c r="N24" s="78">
        <f t="shared" si="3"/>
        <v>2.0123890513875291</v>
      </c>
      <c r="O24" s="231">
        <f t="shared" si="4"/>
        <v>0</v>
      </c>
      <c r="P24" s="232">
        <f t="shared" si="5"/>
        <v>0</v>
      </c>
      <c r="Q24" s="232">
        <f t="shared" si="6"/>
        <v>0</v>
      </c>
      <c r="R24" s="233">
        <f t="shared" si="7"/>
        <v>0</v>
      </c>
      <c r="S24" s="25"/>
      <c r="T24" s="25"/>
      <c r="U24" s="25"/>
      <c r="V24" s="25"/>
      <c r="W24" s="16"/>
      <c r="X24" s="29" t="s">
        <v>49</v>
      </c>
      <c r="Y24" s="37" t="s">
        <v>35</v>
      </c>
      <c r="Z24" s="37"/>
      <c r="AA24" s="37"/>
      <c r="AB24" s="53"/>
      <c r="AC24" s="7"/>
    </row>
    <row r="25" spans="1:29" ht="15.75" thickBot="1" x14ac:dyDescent="0.3">
      <c r="A25" s="203" t="s">
        <v>111</v>
      </c>
      <c r="B25" s="13">
        <f>'Ambient results-with discharge'!B22</f>
        <v>0.70199999999999996</v>
      </c>
      <c r="C25" s="39">
        <f>$B25*$B$40^($B$16-20)</f>
        <v>0.33791808472716067</v>
      </c>
      <c r="D25" s="38"/>
      <c r="E25" s="7"/>
      <c r="F25" s="7"/>
      <c r="G25" s="7"/>
      <c r="H25" s="7"/>
      <c r="I25" s="108">
        <f t="shared" si="8"/>
        <v>75</v>
      </c>
      <c r="J25" s="109">
        <f t="shared" si="0"/>
        <v>0.97471872054521858</v>
      </c>
      <c r="K25" s="18">
        <f t="shared" si="1"/>
        <v>0.30178423017349615</v>
      </c>
      <c r="L25" s="148">
        <f t="shared" si="9"/>
        <v>0</v>
      </c>
      <c r="M25" s="15">
        <f t="shared" si="2"/>
        <v>10.834306814072905</v>
      </c>
      <c r="N25" s="78">
        <f t="shared" si="3"/>
        <v>2.0005896976660873</v>
      </c>
      <c r="O25" s="231">
        <f t="shared" si="4"/>
        <v>0</v>
      </c>
      <c r="P25" s="232">
        <f t="shared" si="5"/>
        <v>0</v>
      </c>
      <c r="Q25" s="232">
        <f t="shared" si="6"/>
        <v>0</v>
      </c>
      <c r="R25" s="233">
        <f t="shared" si="7"/>
        <v>0</v>
      </c>
      <c r="S25" s="25"/>
      <c r="T25" s="25"/>
      <c r="U25" s="25"/>
      <c r="V25" s="25"/>
      <c r="W25" s="16"/>
      <c r="X25" s="33" t="s">
        <v>57</v>
      </c>
      <c r="Y25" s="55" t="s">
        <v>58</v>
      </c>
      <c r="Z25" s="56"/>
      <c r="AA25" s="56"/>
      <c r="AB25" s="57"/>
      <c r="AC25" s="7"/>
    </row>
    <row r="26" spans="1:29" ht="15" thickBot="1" x14ac:dyDescent="0.3">
      <c r="A26" s="203" t="s">
        <v>42</v>
      </c>
      <c r="B26" s="13">
        <f>'Ambient results-with discharge'!B23</f>
        <v>0</v>
      </c>
      <c r="C26" s="22"/>
      <c r="D26" s="38"/>
      <c r="E26" s="7"/>
      <c r="F26" s="7"/>
      <c r="G26" s="7"/>
      <c r="H26" s="14"/>
      <c r="I26" s="108">
        <f t="shared" si="8"/>
        <v>80</v>
      </c>
      <c r="J26" s="109">
        <f t="shared" si="0"/>
        <v>1.0396999685815664</v>
      </c>
      <c r="K26" s="18">
        <f t="shared" si="1"/>
        <v>0.30499055109444256</v>
      </c>
      <c r="L26" s="148">
        <f t="shared" si="9"/>
        <v>0</v>
      </c>
      <c r="M26" s="15">
        <f t="shared" si="2"/>
        <v>10.831100493151958</v>
      </c>
      <c r="N26" s="78">
        <f t="shared" si="3"/>
        <v>1.9888595277578593</v>
      </c>
      <c r="O26" s="231">
        <f t="shared" si="4"/>
        <v>0</v>
      </c>
      <c r="P26" s="232">
        <f t="shared" si="5"/>
        <v>0</v>
      </c>
      <c r="Q26" s="232">
        <f t="shared" si="6"/>
        <v>0</v>
      </c>
      <c r="R26" s="233">
        <f t="shared" si="7"/>
        <v>0</v>
      </c>
      <c r="S26" s="25"/>
      <c r="T26" s="25"/>
      <c r="U26" s="25"/>
      <c r="V26" s="25"/>
      <c r="W26" s="16"/>
      <c r="X26" s="7"/>
      <c r="Y26" s="7"/>
      <c r="Z26" s="7"/>
      <c r="AA26" s="7"/>
      <c r="AB26" s="7"/>
      <c r="AC26" s="7"/>
    </row>
    <row r="27" spans="1:29" ht="14.25" x14ac:dyDescent="0.25">
      <c r="A27" s="203" t="s">
        <v>37</v>
      </c>
      <c r="B27" s="18">
        <f>'Ambient results-with discharge'!B24</f>
        <v>9.0497078613361148E-2</v>
      </c>
      <c r="C27" s="22"/>
      <c r="D27" s="38"/>
      <c r="E27" s="239" t="s">
        <v>62</v>
      </c>
      <c r="F27" s="19"/>
      <c r="G27" s="7"/>
      <c r="H27" s="14"/>
      <c r="I27" s="108">
        <f t="shared" si="8"/>
        <v>85</v>
      </c>
      <c r="J27" s="109">
        <f t="shared" si="0"/>
        <v>1.1046812166179143</v>
      </c>
      <c r="K27" s="18">
        <f t="shared" si="1"/>
        <v>0.30759890545929147</v>
      </c>
      <c r="L27" s="148">
        <f t="shared" si="9"/>
        <v>0</v>
      </c>
      <c r="M27" s="15">
        <f t="shared" si="2"/>
        <v>10.828492138787109</v>
      </c>
      <c r="N27" s="78">
        <f t="shared" si="3"/>
        <v>1.9771981360135074</v>
      </c>
      <c r="O27" s="231">
        <f t="shared" si="4"/>
        <v>0</v>
      </c>
      <c r="P27" s="232">
        <f t="shared" si="5"/>
        <v>0</v>
      </c>
      <c r="Q27" s="232">
        <f t="shared" si="6"/>
        <v>0</v>
      </c>
      <c r="R27" s="233">
        <f t="shared" si="7"/>
        <v>0</v>
      </c>
      <c r="S27" s="25"/>
      <c r="T27" s="25"/>
      <c r="U27" s="25"/>
      <c r="V27" s="25"/>
      <c r="W27" s="16"/>
      <c r="AA27" s="31"/>
      <c r="AB27" s="7"/>
      <c r="AC27" s="7"/>
    </row>
    <row r="28" spans="1:29" x14ac:dyDescent="0.2">
      <c r="A28" s="203" t="s">
        <v>34</v>
      </c>
      <c r="B28" s="260">
        <f>'Ambient results-with discharge'!B25</f>
        <v>5</v>
      </c>
      <c r="C28" s="22"/>
      <c r="D28" s="38"/>
      <c r="E28" s="193" t="s">
        <v>59</v>
      </c>
      <c r="F28" s="39">
        <f>12.9*B30^0.5/B28^1.5</f>
        <v>2.5019911656318863</v>
      </c>
      <c r="G28" s="7"/>
      <c r="H28" s="7"/>
      <c r="I28" s="108">
        <f t="shared" si="8"/>
        <v>90</v>
      </c>
      <c r="J28" s="109">
        <f t="shared" si="0"/>
        <v>1.1696624646542622</v>
      </c>
      <c r="K28" s="18">
        <f t="shared" si="1"/>
        <v>0.30970945738758004</v>
      </c>
      <c r="L28" s="148">
        <f t="shared" si="9"/>
        <v>0</v>
      </c>
      <c r="M28" s="15">
        <f t="shared" si="2"/>
        <v>10.826381586858821</v>
      </c>
      <c r="N28" s="78">
        <f t="shared" si="3"/>
        <v>1.965605119162162</v>
      </c>
      <c r="O28" s="231">
        <f t="shared" si="4"/>
        <v>0</v>
      </c>
      <c r="P28" s="232">
        <f t="shared" si="5"/>
        <v>0</v>
      </c>
      <c r="Q28" s="232">
        <f t="shared" si="6"/>
        <v>0</v>
      </c>
      <c r="R28" s="233">
        <f t="shared" si="7"/>
        <v>0</v>
      </c>
      <c r="S28" s="25"/>
      <c r="T28" s="25"/>
      <c r="U28" s="25"/>
      <c r="V28" s="25"/>
      <c r="W28" s="16"/>
      <c r="AA28" s="70"/>
      <c r="AB28" s="7"/>
      <c r="AC28" s="7"/>
    </row>
    <row r="29" spans="1:29" x14ac:dyDescent="0.2">
      <c r="A29" s="203" t="s">
        <v>84</v>
      </c>
      <c r="B29" s="260">
        <f>'Ambient results-with discharge'!B26</f>
        <v>400</v>
      </c>
      <c r="C29" s="22"/>
      <c r="D29" s="38"/>
      <c r="E29" s="193" t="s">
        <v>60</v>
      </c>
      <c r="F29" s="39">
        <f>11.6*B30^0.969/B28^1.673</f>
        <v>3.5199941519412663</v>
      </c>
      <c r="G29" s="7"/>
      <c r="H29" s="7"/>
      <c r="I29" s="108">
        <f t="shared" si="8"/>
        <v>95</v>
      </c>
      <c r="J29" s="109">
        <f t="shared" si="0"/>
        <v>1.2346437126906102</v>
      </c>
      <c r="K29" s="18">
        <f t="shared" si="1"/>
        <v>0.31140565229417433</v>
      </c>
      <c r="L29" s="148">
        <f t="shared" si="9"/>
        <v>0</v>
      </c>
      <c r="M29" s="15">
        <f t="shared" si="2"/>
        <v>10.824685391952226</v>
      </c>
      <c r="N29" s="78">
        <f t="shared" si="3"/>
        <v>1.9540800762974737</v>
      </c>
      <c r="O29" s="231">
        <f t="shared" si="4"/>
        <v>0</v>
      </c>
      <c r="P29" s="232">
        <f t="shared" si="5"/>
        <v>0</v>
      </c>
      <c r="Q29" s="232">
        <f t="shared" si="6"/>
        <v>0</v>
      </c>
      <c r="R29" s="233">
        <f t="shared" si="7"/>
        <v>0</v>
      </c>
      <c r="S29" s="25"/>
      <c r="T29" s="25"/>
      <c r="U29" s="25"/>
      <c r="V29" s="25"/>
      <c r="W29" s="16"/>
      <c r="AA29" s="70"/>
      <c r="AB29" s="7"/>
      <c r="AC29" s="7"/>
    </row>
    <row r="30" spans="1:29" ht="13.5" thickBot="1" x14ac:dyDescent="0.25">
      <c r="A30" s="203" t="s">
        <v>22</v>
      </c>
      <c r="B30" s="13">
        <f>'Ambient results-with discharge'!B27</f>
        <v>4.7022112500000004</v>
      </c>
      <c r="C30" s="22"/>
      <c r="D30" s="38"/>
      <c r="E30" s="240" t="s">
        <v>61</v>
      </c>
      <c r="F30" s="40">
        <f>21.7*B30^0.67/B28^1.85</f>
        <v>3.1175085775842462</v>
      </c>
      <c r="G30" s="7"/>
      <c r="H30" s="7"/>
      <c r="I30" s="108">
        <f t="shared" si="8"/>
        <v>100</v>
      </c>
      <c r="J30" s="109">
        <f t="shared" si="0"/>
        <v>1.2996249607269581</v>
      </c>
      <c r="K30" s="18">
        <f t="shared" si="1"/>
        <v>0.31275700711222493</v>
      </c>
      <c r="L30" s="148">
        <f t="shared" si="9"/>
        <v>0</v>
      </c>
      <c r="M30" s="15">
        <f t="shared" si="2"/>
        <v>10.823334037134176</v>
      </c>
      <c r="N30" s="78">
        <f t="shared" si="3"/>
        <v>1.9426226088637495</v>
      </c>
      <c r="O30" s="231">
        <f t="shared" si="4"/>
        <v>0</v>
      </c>
      <c r="P30" s="232">
        <f t="shared" si="5"/>
        <v>0</v>
      </c>
      <c r="Q30" s="232">
        <f t="shared" si="6"/>
        <v>0</v>
      </c>
      <c r="R30" s="233">
        <f t="shared" si="7"/>
        <v>0</v>
      </c>
      <c r="S30" s="25"/>
      <c r="T30" s="25"/>
      <c r="U30" s="25"/>
      <c r="V30" s="25"/>
      <c r="W30" s="16"/>
      <c r="X30" s="7"/>
      <c r="Y30" s="7"/>
      <c r="Z30" s="7"/>
      <c r="AA30" s="7"/>
      <c r="AB30" s="7"/>
      <c r="AC30" s="7"/>
    </row>
    <row r="31" spans="1:29" x14ac:dyDescent="0.2">
      <c r="A31" s="203" t="s">
        <v>24</v>
      </c>
      <c r="B31" s="18">
        <f>'Ambient results-with discharge'!B28</f>
        <v>76.945275000000009</v>
      </c>
      <c r="C31" s="15"/>
      <c r="D31" s="7"/>
      <c r="E31" s="7"/>
      <c r="F31" s="7"/>
      <c r="G31" s="7"/>
      <c r="H31" s="7"/>
      <c r="I31" s="108">
        <f t="shared" si="8"/>
        <v>105</v>
      </c>
      <c r="J31" s="109">
        <f t="shared" si="0"/>
        <v>1.364606208763306</v>
      </c>
      <c r="K31" s="18">
        <f t="shared" si="1"/>
        <v>0.31382143485145636</v>
      </c>
      <c r="L31" s="148">
        <f t="shared" si="9"/>
        <v>0</v>
      </c>
      <c r="M31" s="15">
        <f t="shared" si="2"/>
        <v>10.822269609394944</v>
      </c>
      <c r="N31" s="78">
        <f t="shared" si="3"/>
        <v>1.9312323206421709</v>
      </c>
      <c r="O31" s="231">
        <f t="shared" si="4"/>
        <v>0</v>
      </c>
      <c r="P31" s="232">
        <f t="shared" si="5"/>
        <v>0</v>
      </c>
      <c r="Q31" s="232">
        <f t="shared" si="6"/>
        <v>0</v>
      </c>
      <c r="R31" s="233">
        <f t="shared" si="7"/>
        <v>0</v>
      </c>
      <c r="S31" s="25"/>
      <c r="T31" s="25"/>
      <c r="U31" s="25"/>
      <c r="V31" s="25"/>
      <c r="W31" s="16"/>
      <c r="X31" s="7"/>
      <c r="Y31" s="7"/>
      <c r="Z31" s="7"/>
      <c r="AA31" s="7"/>
      <c r="AB31" s="7"/>
      <c r="AC31" s="7"/>
    </row>
    <row r="32" spans="1:29" ht="15" thickBot="1" x14ac:dyDescent="0.3">
      <c r="A32" s="203" t="s">
        <v>63</v>
      </c>
      <c r="B32" s="260" t="str">
        <f>'Ambient results-with discharge'!B29</f>
        <v>na</v>
      </c>
      <c r="C32" s="39" t="str">
        <f>IF(B32="na","na",$B32*$B$38^($F$15-20))</f>
        <v>na</v>
      </c>
      <c r="D32" s="7"/>
      <c r="E32" s="7"/>
      <c r="F32" s="7"/>
      <c r="G32" s="7"/>
      <c r="H32" s="7"/>
      <c r="I32" s="108">
        <f t="shared" si="8"/>
        <v>110</v>
      </c>
      <c r="J32" s="109">
        <f t="shared" si="0"/>
        <v>1.4295874567996538</v>
      </c>
      <c r="K32" s="18">
        <f t="shared" si="1"/>
        <v>0.31464718120728052</v>
      </c>
      <c r="L32" s="148">
        <f t="shared" si="9"/>
        <v>0</v>
      </c>
      <c r="M32" s="15">
        <f t="shared" si="2"/>
        <v>10.82144386303912</v>
      </c>
      <c r="N32" s="78">
        <f t="shared" si="3"/>
        <v>1.9199088177370909</v>
      </c>
      <c r="O32" s="231">
        <f t="shared" si="4"/>
        <v>0</v>
      </c>
      <c r="P32" s="232">
        <f t="shared" si="5"/>
        <v>0</v>
      </c>
      <c r="Q32" s="232">
        <f t="shared" si="6"/>
        <v>0</v>
      </c>
      <c r="R32" s="233">
        <f t="shared" si="7"/>
        <v>0</v>
      </c>
      <c r="S32" s="25"/>
      <c r="T32" s="25"/>
      <c r="U32" s="25"/>
      <c r="V32" s="25"/>
      <c r="W32" s="16"/>
      <c r="X32" s="7"/>
      <c r="Y32" s="7"/>
      <c r="Z32" s="7"/>
      <c r="AA32" s="7"/>
      <c r="AB32" s="7"/>
      <c r="AC32" s="7"/>
    </row>
    <row r="33" spans="1:29" ht="14.25" x14ac:dyDescent="0.25">
      <c r="A33" s="203" t="s">
        <v>63</v>
      </c>
      <c r="B33" s="18">
        <f>'Ambient results-with discharge'!B30</f>
        <v>3.5199941519412663</v>
      </c>
      <c r="C33" s="39">
        <f>$B33*$B$38^($F$15-20)</f>
        <v>2.8099096375239374</v>
      </c>
      <c r="D33" s="7"/>
      <c r="E33" s="241" t="s">
        <v>88</v>
      </c>
      <c r="F33" s="7"/>
      <c r="G33" s="7"/>
      <c r="H33" s="7"/>
      <c r="I33" s="108">
        <f t="shared" si="8"/>
        <v>115</v>
      </c>
      <c r="J33" s="109">
        <f t="shared" si="0"/>
        <v>1.4945687048360017</v>
      </c>
      <c r="K33" s="18">
        <f t="shared" si="1"/>
        <v>0.31527443796617144</v>
      </c>
      <c r="L33" s="148">
        <f t="shared" si="9"/>
        <v>0</v>
      </c>
      <c r="M33" s="15">
        <f t="shared" si="2"/>
        <v>10.820816606280228</v>
      </c>
      <c r="N33" s="78">
        <f t="shared" si="3"/>
        <v>1.9086517085624137</v>
      </c>
      <c r="O33" s="231">
        <f t="shared" si="4"/>
        <v>0</v>
      </c>
      <c r="P33" s="232">
        <f t="shared" si="5"/>
        <v>0</v>
      </c>
      <c r="Q33" s="232">
        <f t="shared" si="6"/>
        <v>0</v>
      </c>
      <c r="R33" s="233">
        <f t="shared" si="7"/>
        <v>0</v>
      </c>
      <c r="S33" s="25"/>
      <c r="T33" s="25"/>
      <c r="U33" s="25"/>
      <c r="V33" s="25"/>
      <c r="W33" s="16"/>
      <c r="X33" s="7"/>
      <c r="Y33" s="7"/>
      <c r="Z33" s="7"/>
      <c r="AA33" s="7"/>
      <c r="AB33" s="7"/>
      <c r="AC33" s="7"/>
    </row>
    <row r="34" spans="1:29" ht="15" thickBot="1" x14ac:dyDescent="0.3">
      <c r="A34" s="74" t="s">
        <v>65</v>
      </c>
      <c r="B34" s="259">
        <f>'Ambient results-with discharge'!B31</f>
        <v>2</v>
      </c>
      <c r="C34" s="40">
        <f>B34*B39^(B16-20)</f>
        <v>1.0995341482670047</v>
      </c>
      <c r="D34" s="7"/>
      <c r="E34" s="264" t="s">
        <v>92</v>
      </c>
      <c r="F34" s="7"/>
      <c r="G34" s="7"/>
      <c r="H34" s="7"/>
      <c r="I34" s="108">
        <f t="shared" si="8"/>
        <v>120</v>
      </c>
      <c r="J34" s="109">
        <f t="shared" si="0"/>
        <v>1.5595499528723498</v>
      </c>
      <c r="K34" s="18">
        <f t="shared" si="1"/>
        <v>0.31573668714726505</v>
      </c>
      <c r="L34" s="148">
        <f t="shared" si="9"/>
        <v>0</v>
      </c>
      <c r="M34" s="15">
        <f t="shared" si="2"/>
        <v>10.820354357099136</v>
      </c>
      <c r="N34" s="78">
        <f t="shared" si="3"/>
        <v>1.8974606038280513</v>
      </c>
      <c r="O34" s="231">
        <f t="shared" si="4"/>
        <v>0</v>
      </c>
      <c r="P34" s="232">
        <f t="shared" si="5"/>
        <v>0</v>
      </c>
      <c r="Q34" s="232">
        <f t="shared" si="6"/>
        <v>0</v>
      </c>
      <c r="R34" s="233">
        <f t="shared" si="7"/>
        <v>0</v>
      </c>
      <c r="S34" s="25"/>
      <c r="T34" s="25"/>
      <c r="U34" s="25"/>
      <c r="V34" s="25"/>
      <c r="W34" s="16"/>
      <c r="X34" s="7"/>
      <c r="Y34" s="7"/>
      <c r="Z34" s="7"/>
      <c r="AA34" s="7"/>
      <c r="AB34" s="7"/>
      <c r="AC34" s="7"/>
    </row>
    <row r="35" spans="1:29" ht="13.5" thickBot="1" x14ac:dyDescent="0.25">
      <c r="A35" s="7"/>
      <c r="B35" s="7"/>
      <c r="C35" s="7"/>
      <c r="D35" s="7"/>
      <c r="E35" s="265">
        <f>EXP((-139.34411+157570.1/(F15+273.15)-66423080/(F15+273.15)^2+12438000000/(F15+273.15)^3-862194900000/(F15+273.15)^4)-$E36/1.80655*(0.031929-19.428/(F15+273.15)+3870/(F15+273.15)^2))*(1-0.02255*E37*0.0003048)^5.256</f>
        <v>11.136091044246401</v>
      </c>
      <c r="F35" s="7"/>
      <c r="G35" s="7"/>
      <c r="H35" s="7"/>
      <c r="I35" s="110">
        <f t="shared" si="8"/>
        <v>125</v>
      </c>
      <c r="J35" s="135">
        <f t="shared" si="0"/>
        <v>1.6245312009086976</v>
      </c>
      <c r="K35" s="85">
        <f t="shared" si="1"/>
        <v>0.31606182081803391</v>
      </c>
      <c r="L35" s="160">
        <f t="shared" si="9"/>
        <v>0</v>
      </c>
      <c r="M35" s="21">
        <f t="shared" si="2"/>
        <v>10.820029223428367</v>
      </c>
      <c r="N35" s="79">
        <f t="shared" si="3"/>
        <v>1.8863351165264628</v>
      </c>
      <c r="O35" s="242">
        <f t="shared" si="4"/>
        <v>0</v>
      </c>
      <c r="P35" s="243">
        <f t="shared" si="5"/>
        <v>0</v>
      </c>
      <c r="Q35" s="243">
        <f t="shared" si="6"/>
        <v>0</v>
      </c>
      <c r="R35" s="244">
        <f t="shared" si="7"/>
        <v>0</v>
      </c>
      <c r="S35" s="25"/>
      <c r="T35" s="25"/>
      <c r="U35" s="25"/>
      <c r="V35" s="25"/>
      <c r="W35" s="16"/>
      <c r="X35" s="7"/>
      <c r="Y35" s="7"/>
      <c r="Z35" s="7"/>
      <c r="AA35" s="7"/>
      <c r="AB35" s="7"/>
      <c r="AC35" s="7"/>
    </row>
    <row r="36" spans="1:29" ht="15.75" thickBot="1" x14ac:dyDescent="0.25">
      <c r="A36" s="245" t="s">
        <v>46</v>
      </c>
      <c r="B36" s="81"/>
      <c r="C36" s="82"/>
      <c r="D36" s="7"/>
      <c r="E36" s="266">
        <f>'Ambient results-with discharge'!E33</f>
        <v>0</v>
      </c>
      <c r="F36" s="7" t="s">
        <v>86</v>
      </c>
      <c r="G36" s="7"/>
      <c r="H36" s="7"/>
      <c r="I36" s="23"/>
      <c r="J36" s="23"/>
      <c r="K36" s="24"/>
      <c r="L36" s="24"/>
      <c r="M36" s="25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7"/>
      <c r="Y36" s="7"/>
      <c r="Z36" s="7"/>
      <c r="AA36" s="7"/>
      <c r="AB36" s="7"/>
      <c r="AC36" s="7"/>
    </row>
    <row r="37" spans="1:29" ht="13.5" thickBot="1" x14ac:dyDescent="0.25">
      <c r="A37" s="246" t="s">
        <v>45</v>
      </c>
      <c r="B37" s="261">
        <v>1.0469999999999999</v>
      </c>
      <c r="C37" s="84"/>
      <c r="D37" s="7"/>
      <c r="E37" s="267">
        <f>'Ambient results-with discharge'!E34</f>
        <v>50</v>
      </c>
      <c r="F37" s="7" t="s">
        <v>87</v>
      </c>
      <c r="G37" s="7"/>
      <c r="H37" s="7"/>
      <c r="O37" s="16"/>
      <c r="P37" s="16"/>
      <c r="Q37" s="16"/>
      <c r="R37" s="16"/>
      <c r="S37" s="2"/>
      <c r="T37" s="2"/>
      <c r="U37" s="2"/>
      <c r="V37" s="2"/>
      <c r="W37" s="2"/>
      <c r="X37" s="7"/>
      <c r="Y37" s="7"/>
      <c r="Z37" s="7"/>
      <c r="AA37" s="7"/>
      <c r="AB37" s="7"/>
    </row>
    <row r="38" spans="1:29" ht="14.25" x14ac:dyDescent="0.2">
      <c r="A38" s="238" t="s">
        <v>44</v>
      </c>
      <c r="B38" s="17">
        <v>1.024</v>
      </c>
      <c r="C38" s="22"/>
      <c r="D38" s="7"/>
      <c r="E38" s="7"/>
      <c r="F38" s="7"/>
      <c r="G38" s="7"/>
      <c r="H38" s="7"/>
      <c r="I38" s="23"/>
      <c r="J38" s="247"/>
      <c r="K38" s="248"/>
      <c r="L38" s="248"/>
      <c r="M38" s="25"/>
      <c r="N38" s="16"/>
      <c r="O38" s="16"/>
      <c r="P38" s="16"/>
      <c r="Q38" s="16"/>
      <c r="R38" s="16"/>
      <c r="S38" s="2"/>
      <c r="T38" s="2"/>
      <c r="U38" s="2"/>
      <c r="V38" s="2"/>
      <c r="W38" s="2"/>
      <c r="X38" s="77" t="s">
        <v>79</v>
      </c>
      <c r="Y38" s="7"/>
      <c r="Z38" s="7"/>
      <c r="AA38" s="7"/>
      <c r="AB38" s="7"/>
    </row>
    <row r="39" spans="1:29" x14ac:dyDescent="0.2">
      <c r="A39" s="203" t="s">
        <v>47</v>
      </c>
      <c r="B39" s="17">
        <v>1.0649999999999999</v>
      </c>
      <c r="C39" s="22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29" ht="13.5" thickBot="1" x14ac:dyDescent="0.25">
      <c r="A40" s="74" t="s">
        <v>83</v>
      </c>
      <c r="B40" s="258">
        <v>1.08</v>
      </c>
      <c r="C40" s="2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Z40" s="2"/>
    </row>
    <row r="41" spans="1:29" ht="13.5" thickBo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29" ht="14.25" x14ac:dyDescent="0.25">
      <c r="A42" s="246" t="s">
        <v>113</v>
      </c>
      <c r="B42" s="249">
        <v>3.43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29" ht="14.25" x14ac:dyDescent="0.25">
      <c r="A43" s="238" t="s">
        <v>112</v>
      </c>
      <c r="B43" s="250">
        <v>1.1399999999999999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29" hidden="1" x14ac:dyDescent="0.2">
      <c r="A44" s="203"/>
      <c r="B44" s="25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29" ht="13.5" hidden="1" thickBot="1" x14ac:dyDescent="0.25">
      <c r="A45" s="74"/>
      <c r="B45" s="25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29" hidden="1" x14ac:dyDescent="0.2">
      <c r="A46" s="246"/>
      <c r="B46" s="25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29" hidden="1" x14ac:dyDescent="0.2">
      <c r="A47" s="238" t="s">
        <v>93</v>
      </c>
      <c r="B47" s="251">
        <v>2</v>
      </c>
      <c r="C47" s="252"/>
      <c r="D47" s="252" t="s">
        <v>94</v>
      </c>
      <c r="E47" s="252" t="s">
        <v>95</v>
      </c>
      <c r="F47" s="252" t="s">
        <v>96</v>
      </c>
      <c r="G47" s="7"/>
      <c r="H47" s="7"/>
      <c r="I47" s="7"/>
      <c r="J47" s="7"/>
      <c r="K47" s="252" t="s">
        <v>103</v>
      </c>
      <c r="L47" s="252"/>
      <c r="M47" s="252" t="s">
        <v>104</v>
      </c>
      <c r="N47" s="252" t="s">
        <v>106</v>
      </c>
      <c r="O47" s="7"/>
      <c r="P47" s="7"/>
      <c r="Q47" s="7"/>
      <c r="R47" s="7"/>
    </row>
    <row r="48" spans="1:29" hidden="1" x14ac:dyDescent="0.2">
      <c r="A48" s="203" t="s">
        <v>98</v>
      </c>
      <c r="B48" s="251">
        <v>5</v>
      </c>
      <c r="C48" s="252"/>
      <c r="D48" s="253">
        <f>E48*B$49*86400/1000</f>
        <v>0</v>
      </c>
      <c r="E48" s="252">
        <v>0</v>
      </c>
      <c r="F48" s="252" t="e">
        <f>B$67-(B66*EXP(-B$66*E48)+B$51/(B$66-B$59)*(EXP(-B$59*E48)-EXP(-B$66*E48))+B$52/(B$66-B$56)*(EXP(-B$56*E48)-EXP(-B$66*E48))+B$53/(B$66-B$61)*(EXP(-B$61*E48)-EXP(-B$66*E48)))</f>
        <v>#DIV/0!</v>
      </c>
      <c r="G48" s="7"/>
      <c r="H48" s="7"/>
      <c r="I48" s="7"/>
      <c r="J48" s="7"/>
      <c r="K48" s="252">
        <v>3.4</v>
      </c>
      <c r="L48" s="252"/>
      <c r="M48" s="252" t="e">
        <f>B$56*B$55/(B$59-B$56)*(EXP(-B$56*E48)-EXP(-B$59*E48))</f>
        <v>#DIV/0!</v>
      </c>
      <c r="N48" s="254" t="e">
        <f>B$59*B$56*B$55/(B$59-B$56)*((EXP(-B$56*E48)-EXP(-B$61*E48))/(B$61-B$56)-(EXP(-B$59*E48)-EXP(-B$61*E48))/(B$61-B$59))</f>
        <v>#DIV/0!</v>
      </c>
      <c r="O48" s="7"/>
      <c r="P48" s="7"/>
      <c r="Q48" s="7"/>
      <c r="R48" s="7"/>
    </row>
    <row r="49" spans="1:18" ht="13.5" hidden="1" thickBot="1" x14ac:dyDescent="0.25">
      <c r="A49" s="74" t="s">
        <v>23</v>
      </c>
      <c r="B49" s="251">
        <v>0.66400000000000003</v>
      </c>
      <c r="C49" s="252"/>
      <c r="D49" s="253">
        <f>E49*B$49*86400/1000</f>
        <v>57.369600000000005</v>
      </c>
      <c r="E49" s="252">
        <v>1</v>
      </c>
      <c r="F49" s="252" t="e">
        <f>B$67-(B65*EXP(-B$66*E49)+B$51/(B$66-B$59)*(EXP(-B$59*E49)-EXP(-B$66*E49))+B$52/(B$66-B$56)*(EXP(-B$56*E49)-EXP(-B$66*E49))+B$53/(B$66-B$61)*(EXP(-B$61*E49)-EXP(-B$66*E49)))</f>
        <v>#DIV/0!</v>
      </c>
      <c r="G49" s="255">
        <f>B$55*EXP(-B$56*E49)</f>
        <v>0</v>
      </c>
      <c r="H49" s="254" t="e">
        <f>B$58*EXP(-B$59*E49)+B$56*B$55/(B$59-B$56)*(EXP(-B$56*E49)-EXP(-B$59*E49))</f>
        <v>#DIV/0!</v>
      </c>
      <c r="I49" s="254" t="e">
        <f>B$59*B$58/(B$61-B$59)*(EXP(-B$59*E49)-EXP(-B$61*E49))+B$59*B$56*B$55/(B$59-B$56)*((EXP(-B$56*E49)-EXP(-B$61*E49))/(B$61-B$56)-(EXP(-B$59*E49)-EXP(-B$61*E49))/(B$61-B$59))</f>
        <v>#DIV/0!</v>
      </c>
      <c r="J49" s="254" t="e">
        <f>B$55+B$58-G49-B$58*EXP(-B$59*E49)-M49-#REF!-N49</f>
        <v>#DIV/0!</v>
      </c>
      <c r="K49" s="252">
        <v>3.4</v>
      </c>
      <c r="L49" s="252"/>
      <c r="M49" s="252" t="e">
        <f>B$56*B$55/(B$59-B$56)*(EXP(-B$56*E49)-EXP(-B$59*E49))</f>
        <v>#DIV/0!</v>
      </c>
      <c r="N49" s="254" t="e">
        <f>B$59*B$56*B$55/(B$59-B$56)*((EXP(-B$56*E49)-EXP(-B$61*E49))/(B$61-B$56)-(EXP(-B$59*E49)-EXP(-B$61*E49))/(B$61-B$59))</f>
        <v>#DIV/0!</v>
      </c>
      <c r="O49" s="7"/>
      <c r="P49" s="7"/>
      <c r="Q49" s="7"/>
      <c r="R49" s="7"/>
    </row>
    <row r="50" spans="1:18" hidden="1" x14ac:dyDescent="0.2">
      <c r="A50" s="246" t="s">
        <v>97</v>
      </c>
      <c r="B50" s="251">
        <v>6</v>
      </c>
      <c r="C50" s="252"/>
      <c r="D50" s="253">
        <f>E50*B$49*86400/1000</f>
        <v>114.73920000000001</v>
      </c>
      <c r="E50" s="252">
        <v>2</v>
      </c>
      <c r="F50" s="252" t="e">
        <f>B$67-(B66*EXP(-B$66*E50)+B$51/(B$66-B$59)*(EXP(-B$59*E50)-EXP(-B$66*E50))+B$52/(B$66-B$56)*(EXP(-B$56*E50)-EXP(-B$66*E50))+B$53/(B$66-B$61)*(EXP(-B$61*E50)-EXP(-B$66*E50)))</f>
        <v>#DIV/0!</v>
      </c>
      <c r="G50" s="255">
        <f>B$55*EXP(-B$56*E50)</f>
        <v>0</v>
      </c>
      <c r="H50" s="254" t="e">
        <f>B$58*EXP(-B$59*E50)+B$56*B$55/(B$59-B$56)*(EXP(-B$56*E50)-EXP(-B$59*E50))</f>
        <v>#DIV/0!</v>
      </c>
      <c r="I50" s="254" t="e">
        <f>B$59*B$58/(B$61-B$59)*(EXP(-B$59*E50)-EXP(-B$61*E50))+B$59*B$56*B$55/(B$59-B$56)*((EXP(-B$56*E50)-EXP(-B$61*E50))/(B$61-B$56)-(EXP(-B$59*E50)-EXP(-B$61*E50))/(B$61-B$59))</f>
        <v>#DIV/0!</v>
      </c>
      <c r="J50" s="254" t="e">
        <f>B$55+B$58-G50-B$58*EXP(-B$59*E50)-M50-#REF!-N50</f>
        <v>#DIV/0!</v>
      </c>
      <c r="K50" s="252">
        <v>3.4</v>
      </c>
      <c r="L50" s="252"/>
      <c r="M50" s="252" t="e">
        <f>B$56*B$55/(B$59-B$56)*(EXP(-B$56*E50)-EXP(-B$59*E50))</f>
        <v>#DIV/0!</v>
      </c>
      <c r="N50" s="254" t="e">
        <f>B$59*B$56*B$55/(B$59-B$56)*((EXP(-B$56*E50)-EXP(-B$61*E50))/(B$61-B$56)-(EXP(-B$59*E50)-EXP(-B$61*E50))/(B$61-B$59))</f>
        <v>#DIV/0!</v>
      </c>
      <c r="O50" s="7"/>
      <c r="P50" s="7"/>
      <c r="Q50" s="7"/>
      <c r="R50" s="7"/>
    </row>
    <row r="51" spans="1:18" x14ac:dyDescent="0.2">
      <c r="A51" s="238" t="s">
        <v>99</v>
      </c>
      <c r="B51" s="251">
        <f>B$42*B$24*F$19-B$42*B$24*(B$23*F$20)/(B$24-B$23)+B$43*B$25*(B$24*F$19)/(B$25-B$24)-B$43*B$25*(B$24*B$23*F$20/((B$24-B$23)*(B$25-B$24)))</f>
        <v>0</v>
      </c>
      <c r="C51" s="252"/>
      <c r="D51" s="253"/>
      <c r="E51" s="252"/>
      <c r="F51" s="252"/>
      <c r="G51" s="255"/>
      <c r="H51" s="254"/>
      <c r="I51" s="254"/>
      <c r="J51" s="254"/>
      <c r="K51" s="252"/>
      <c r="L51" s="252"/>
      <c r="M51" s="252"/>
      <c r="N51" s="254"/>
      <c r="O51" s="7"/>
      <c r="P51" s="7"/>
      <c r="Q51" s="7"/>
      <c r="R51" s="7"/>
    </row>
    <row r="52" spans="1:18" x14ac:dyDescent="0.2">
      <c r="A52" s="203" t="s">
        <v>100</v>
      </c>
      <c r="B52" s="251">
        <f>B$42*B$24*(B$23*F$20)/(B$24-B$23)+B$43*B$25*(B$24*B$23*F$20/((B$24-B$23)*(B$25-B$23)))</f>
        <v>0</v>
      </c>
      <c r="C52" s="252"/>
      <c r="D52" s="253"/>
      <c r="E52" s="252"/>
      <c r="F52" s="252"/>
      <c r="G52" s="255"/>
      <c r="H52" s="254"/>
      <c r="I52" s="254"/>
      <c r="J52" s="254"/>
      <c r="K52" s="252"/>
      <c r="L52" s="252"/>
      <c r="M52" s="252"/>
      <c r="N52" s="254"/>
      <c r="O52" s="7"/>
      <c r="P52" s="7"/>
      <c r="Q52" s="7"/>
      <c r="R52" s="7"/>
    </row>
    <row r="53" spans="1:18" ht="13.5" thickBot="1" x14ac:dyDescent="0.25">
      <c r="A53" s="74" t="s">
        <v>101</v>
      </c>
      <c r="B53" s="256">
        <f>B$43*B$25*(B$24*F$19)/(B$24-B$25)-B$43*B$25*(B$24*B$23*F$20/((B$24-B$23)*(B$25-B$23)))+B$43*B$25*(B$24*B$23*F$20/((B$24-B$23)*(B$25-B$24)))</f>
        <v>0</v>
      </c>
      <c r="C53" s="252"/>
      <c r="D53" s="253"/>
      <c r="E53" s="252"/>
      <c r="F53" s="252"/>
      <c r="G53" s="255"/>
      <c r="H53" s="254"/>
      <c r="I53" s="254"/>
      <c r="J53" s="254"/>
      <c r="K53" s="252"/>
      <c r="L53" s="252"/>
      <c r="M53" s="252"/>
      <c r="N53" s="254"/>
      <c r="O53" s="7"/>
      <c r="P53" s="7"/>
      <c r="Q53" s="7"/>
      <c r="R53" s="7"/>
    </row>
    <row r="54" spans="1:18" x14ac:dyDescent="0.2">
      <c r="A54"/>
      <c r="B54"/>
      <c r="C54"/>
      <c r="D54" s="117"/>
      <c r="E54"/>
      <c r="F54"/>
      <c r="G54" s="118"/>
      <c r="H54" s="119"/>
      <c r="I54" s="119"/>
      <c r="J54" s="119"/>
      <c r="K54"/>
      <c r="L54"/>
      <c r="M54"/>
      <c r="N54" s="119"/>
    </row>
    <row r="55" spans="1:18" x14ac:dyDescent="0.2">
      <c r="A55"/>
      <c r="B55" s="119"/>
      <c r="C55"/>
      <c r="D55" s="117"/>
      <c r="E55"/>
      <c r="F55"/>
      <c r="G55" s="118"/>
      <c r="H55" s="119"/>
      <c r="I55" s="119"/>
      <c r="J55" s="119"/>
      <c r="K55"/>
      <c r="L55"/>
      <c r="M55"/>
      <c r="N55" s="119"/>
    </row>
    <row r="56" spans="1:18" x14ac:dyDescent="0.2">
      <c r="A56"/>
      <c r="B56"/>
      <c r="C56"/>
      <c r="D56" s="117"/>
      <c r="E56"/>
      <c r="F56"/>
      <c r="G56" s="118"/>
      <c r="H56" s="119"/>
      <c r="I56" s="119"/>
      <c r="J56" s="119"/>
      <c r="K56"/>
      <c r="L56"/>
      <c r="M56"/>
      <c r="N56" s="119"/>
    </row>
    <row r="57" spans="1:18" x14ac:dyDescent="0.2">
      <c r="A57"/>
      <c r="B57"/>
      <c r="C57"/>
      <c r="D57" s="117"/>
      <c r="E57"/>
      <c r="F57"/>
      <c r="G57" s="118"/>
      <c r="H57" s="119"/>
      <c r="I57" s="119"/>
      <c r="J57" s="119"/>
      <c r="K57"/>
      <c r="L57"/>
      <c r="M57"/>
      <c r="N57" s="119"/>
    </row>
    <row r="58" spans="1:18" x14ac:dyDescent="0.2">
      <c r="A58"/>
      <c r="B58" s="119"/>
      <c r="C58"/>
      <c r="D58" s="117"/>
      <c r="E58"/>
      <c r="F58"/>
      <c r="G58" s="118"/>
      <c r="H58" s="119"/>
      <c r="I58" s="119"/>
      <c r="J58" s="119"/>
      <c r="K58"/>
      <c r="L58"/>
      <c r="M58"/>
      <c r="N58" s="119"/>
    </row>
    <row r="59" spans="1:18" x14ac:dyDescent="0.2">
      <c r="A59"/>
      <c r="B59"/>
      <c r="C59"/>
      <c r="D59" s="117"/>
      <c r="E59"/>
      <c r="F59"/>
      <c r="G59" s="118"/>
      <c r="H59" s="119"/>
      <c r="I59" s="119"/>
      <c r="J59" s="119"/>
      <c r="K59"/>
      <c r="L59"/>
      <c r="M59"/>
      <c r="N59" s="119"/>
    </row>
    <row r="60" spans="1:18" x14ac:dyDescent="0.2">
      <c r="A60"/>
      <c r="B60"/>
      <c r="C60"/>
      <c r="D60" s="117"/>
      <c r="E60"/>
      <c r="F60"/>
      <c r="G60" s="118"/>
      <c r="H60" s="119"/>
      <c r="I60" s="119"/>
      <c r="J60" s="119"/>
      <c r="K60"/>
      <c r="L60"/>
      <c r="M60"/>
      <c r="N60" s="119"/>
    </row>
    <row r="61" spans="1:18" x14ac:dyDescent="0.2">
      <c r="A61"/>
      <c r="B61"/>
      <c r="C61"/>
      <c r="D61" s="117"/>
      <c r="E61"/>
      <c r="F61"/>
      <c r="G61" s="118"/>
      <c r="H61" s="119"/>
      <c r="I61" s="119"/>
      <c r="J61" s="119"/>
      <c r="K61"/>
      <c r="L61"/>
      <c r="M61"/>
      <c r="N61" s="119"/>
    </row>
    <row r="62" spans="1:18" x14ac:dyDescent="0.2">
      <c r="A62"/>
      <c r="B62"/>
      <c r="C62"/>
      <c r="D62" s="117"/>
      <c r="E62"/>
      <c r="F62"/>
      <c r="G62" s="118"/>
      <c r="H62" s="119"/>
      <c r="I62" s="119"/>
      <c r="J62" s="119"/>
      <c r="K62"/>
      <c r="L62"/>
      <c r="M62"/>
      <c r="N62" s="119"/>
    </row>
    <row r="63" spans="1:18" x14ac:dyDescent="0.2">
      <c r="A63"/>
      <c r="B63" s="119"/>
      <c r="C63"/>
      <c r="D63" s="117"/>
      <c r="E63"/>
      <c r="F63"/>
      <c r="G63" s="118"/>
      <c r="H63" s="119"/>
      <c r="I63" s="119"/>
      <c r="J63" s="119"/>
      <c r="K63"/>
      <c r="L63"/>
      <c r="M63"/>
      <c r="N63" s="119"/>
    </row>
    <row r="64" spans="1:18" x14ac:dyDescent="0.2">
      <c r="C64"/>
      <c r="D64" s="117"/>
      <c r="E64"/>
      <c r="F64"/>
      <c r="G64" s="118"/>
      <c r="H64" s="119"/>
      <c r="I64" s="119"/>
      <c r="J64" s="119"/>
      <c r="K64"/>
      <c r="L64"/>
      <c r="M64"/>
      <c r="N64" s="119"/>
    </row>
    <row r="65" spans="1:14" x14ac:dyDescent="0.2">
      <c r="A65"/>
      <c r="B65"/>
      <c r="C65"/>
      <c r="D65" s="117"/>
      <c r="E65"/>
      <c r="F65"/>
      <c r="G65" s="118"/>
      <c r="H65" s="119"/>
      <c r="I65" s="119"/>
      <c r="J65" s="119"/>
      <c r="K65"/>
      <c r="L65"/>
      <c r="M65"/>
      <c r="N65" s="119"/>
    </row>
    <row r="66" spans="1:14" x14ac:dyDescent="0.2">
      <c r="A66"/>
      <c r="B66"/>
      <c r="C66"/>
      <c r="D66" s="117"/>
      <c r="E66"/>
      <c r="F66"/>
      <c r="G66" s="118"/>
      <c r="H66" s="119"/>
      <c r="I66" s="119"/>
      <c r="J66" s="119"/>
      <c r="K66"/>
      <c r="L66"/>
      <c r="M66"/>
      <c r="N66" s="119"/>
    </row>
    <row r="67" spans="1:14" x14ac:dyDescent="0.2">
      <c r="A67"/>
      <c r="B67"/>
      <c r="C67"/>
      <c r="D67" s="117"/>
      <c r="E67"/>
      <c r="F67"/>
      <c r="G67" s="118"/>
      <c r="H67" s="119"/>
      <c r="I67" s="119"/>
      <c r="J67" s="119"/>
      <c r="K67"/>
      <c r="L67"/>
      <c r="M67"/>
      <c r="N67" s="119"/>
    </row>
    <row r="68" spans="1:14" x14ac:dyDescent="0.2">
      <c r="A68"/>
      <c r="B68"/>
      <c r="C68"/>
      <c r="D68" s="117"/>
      <c r="E68"/>
      <c r="F68"/>
      <c r="G68" s="118"/>
      <c r="H68" s="119"/>
      <c r="I68" s="119"/>
      <c r="J68" s="119"/>
      <c r="K68"/>
      <c r="L68"/>
      <c r="M68"/>
      <c r="N68" s="119"/>
    </row>
    <row r="69" spans="1:14" x14ac:dyDescent="0.2">
      <c r="A69"/>
      <c r="B69"/>
      <c r="C69"/>
      <c r="D69" s="117"/>
      <c r="E69"/>
      <c r="F69"/>
      <c r="G69" s="118"/>
      <c r="H69" s="119"/>
      <c r="I69" s="119"/>
      <c r="J69" s="119"/>
      <c r="K69" s="119"/>
      <c r="L69" s="119"/>
      <c r="M69"/>
      <c r="N69" s="119"/>
    </row>
    <row r="70" spans="1:14" x14ac:dyDescent="0.2">
      <c r="A70"/>
      <c r="B70"/>
      <c r="C70"/>
      <c r="D70" s="117"/>
      <c r="E70"/>
      <c r="F70"/>
      <c r="G70" s="118"/>
      <c r="H70" s="119"/>
      <c r="I70" s="119"/>
      <c r="J70" s="119"/>
      <c r="K70" s="119"/>
      <c r="L70" s="119"/>
      <c r="M70"/>
      <c r="N70" s="119"/>
    </row>
  </sheetData>
  <sheetProtection sheet="1" objects="1" scenarios="1"/>
  <mergeCells count="1">
    <mergeCell ref="N8:R8"/>
  </mergeCells>
  <phoneticPr fontId="22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4099" r:id="rId4">
          <objectPr defaultSize="0" autoPict="0" r:id="rId5">
            <anchor moveWithCells="1">
              <from>
                <xdr:col>23</xdr:col>
                <xdr:colOff>171450</xdr:colOff>
                <xdr:row>38</xdr:row>
                <xdr:rowOff>152400</xdr:rowOff>
              </from>
              <to>
                <xdr:col>33</xdr:col>
                <xdr:colOff>133350</xdr:colOff>
                <xdr:row>52</xdr:row>
                <xdr:rowOff>0</xdr:rowOff>
              </to>
            </anchor>
          </objectPr>
        </oleObject>
      </mc:Choice>
      <mc:Fallback>
        <oleObject progId="Equation.3" shapeId="409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D4" sqref="D4"/>
    </sheetView>
  </sheetViews>
  <sheetFormatPr defaultRowHeight="12.75" x14ac:dyDescent="0.2"/>
  <cols>
    <col min="2" max="2" width="17.33203125" customWidth="1"/>
    <col min="3" max="3" width="11" bestFit="1" customWidth="1"/>
    <col min="4" max="4" width="13.83203125" bestFit="1" customWidth="1"/>
  </cols>
  <sheetData>
    <row r="1" spans="1:5" ht="16.5" thickBot="1" x14ac:dyDescent="0.3">
      <c r="A1" s="86" t="s">
        <v>85</v>
      </c>
      <c r="B1" s="86"/>
      <c r="C1" s="86"/>
      <c r="D1" s="86"/>
      <c r="E1" s="86"/>
    </row>
    <row r="2" spans="1:5" x14ac:dyDescent="0.2">
      <c r="A2" s="87" t="s">
        <v>30</v>
      </c>
      <c r="B2" s="88" t="s">
        <v>86</v>
      </c>
      <c r="C2" s="89" t="s">
        <v>87</v>
      </c>
      <c r="D2" s="90" t="s">
        <v>88</v>
      </c>
    </row>
    <row r="3" spans="1:5" ht="13.5" thickBot="1" x14ac:dyDescent="0.25">
      <c r="A3" s="91" t="s">
        <v>89</v>
      </c>
      <c r="B3" s="92" t="s">
        <v>90</v>
      </c>
      <c r="C3" s="93" t="s">
        <v>91</v>
      </c>
      <c r="D3" s="94" t="s">
        <v>92</v>
      </c>
    </row>
    <row r="4" spans="1:5" ht="13.5" thickBot="1" x14ac:dyDescent="0.25">
      <c r="A4" s="95">
        <v>12</v>
      </c>
      <c r="B4" s="96">
        <v>0</v>
      </c>
      <c r="C4" s="97">
        <v>50</v>
      </c>
      <c r="D4" s="98">
        <f>EXP((-139.34411+157570.1/(A4+273.15)-66423080/(A4+273.15)^2+12438000000/(A4+273.15)^3-862194900000/(A4+273.15)^4)-$B4/1.80655*(0.031929-19.428/(A4+273.15)+3870/(A4+273.15)^2))*(1-0.02255*C4*0.0003048)^5.256</f>
        <v>10.75751428263446</v>
      </c>
    </row>
    <row r="6" spans="1:5" ht="18" x14ac:dyDescent="0.25">
      <c r="A6" s="103"/>
      <c r="B6" s="104"/>
      <c r="C6" s="99"/>
      <c r="D6" s="99"/>
    </row>
    <row r="7" spans="1:5" x14ac:dyDescent="0.2">
      <c r="A7" s="104"/>
      <c r="B7" s="104"/>
      <c r="C7" s="100"/>
      <c r="D7" s="101"/>
    </row>
    <row r="8" spans="1:5" x14ac:dyDescent="0.2">
      <c r="A8" s="99"/>
      <c r="B8" s="104"/>
      <c r="C8" s="100"/>
      <c r="D8" s="101"/>
    </row>
    <row r="9" spans="1:5" x14ac:dyDescent="0.2">
      <c r="A9" s="105"/>
      <c r="B9" s="106"/>
      <c r="C9" s="100"/>
      <c r="D9" s="101"/>
    </row>
    <row r="10" spans="1:5" x14ac:dyDescent="0.2">
      <c r="A10" s="105"/>
      <c r="B10" s="106"/>
      <c r="C10" s="100"/>
      <c r="D10" s="101"/>
    </row>
    <row r="11" spans="1:5" x14ac:dyDescent="0.2">
      <c r="A11" s="105"/>
      <c r="B11" s="106"/>
      <c r="C11" s="100"/>
      <c r="D11" s="101"/>
    </row>
    <row r="12" spans="1:5" x14ac:dyDescent="0.2">
      <c r="A12" s="105"/>
      <c r="B12" s="106"/>
    </row>
    <row r="13" spans="1:5" x14ac:dyDescent="0.2">
      <c r="A13" s="105"/>
      <c r="B13" s="106"/>
    </row>
    <row r="14" spans="1:5" x14ac:dyDescent="0.2">
      <c r="A14" s="105"/>
      <c r="B14" s="106"/>
    </row>
    <row r="15" spans="1:5" x14ac:dyDescent="0.2">
      <c r="A15" s="105"/>
      <c r="B15" s="106"/>
    </row>
    <row r="16" spans="1:5" x14ac:dyDescent="0.2">
      <c r="A16" s="105"/>
      <c r="B16" s="107"/>
    </row>
    <row r="17" spans="1:2" x14ac:dyDescent="0.2">
      <c r="A17" s="104"/>
      <c r="B17" s="104"/>
    </row>
    <row r="18" spans="1:2" x14ac:dyDescent="0.2">
      <c r="A18" s="102"/>
      <c r="B18" s="102"/>
    </row>
    <row r="19" spans="1:2" x14ac:dyDescent="0.2">
      <c r="A19" s="102"/>
      <c r="B19" s="102"/>
    </row>
  </sheetData>
  <phoneticPr fontId="22" type="noConversion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gs xmlns="c90e9d8d-db18-49dc-a3f3-48f2701f1e15" xsi:nil="true"/>
    <Permit_x0020_Type xmlns="c90e9d8d-db18-49dc-a3f3-48f2701f1e15">NPDES</Permit_x0020_Type>
    <Document_x0020_Description xmlns="c90e9d8d-db18-49dc-a3f3-48f2701f1e15" xsi:nil="true"/>
    <Program xmlns="c90e9d8d-db18-49dc-a3f3-48f2701f1e15">WQ Permits</Program>
    <Series xmlns="c90e9d8d-db18-49dc-a3f3-48f2701f1e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C8800C0FDBD74BB7EF83F539002170" ma:contentTypeVersion="34" ma:contentTypeDescription="Create a new document." ma:contentTypeScope="" ma:versionID="8d568318bbac80ef1be5d1e468190373">
  <xsd:schema xmlns:xsd="http://www.w3.org/2001/XMLSchema" xmlns:xs="http://www.w3.org/2001/XMLSchema" xmlns:p="http://schemas.microsoft.com/office/2006/metadata/properties" xmlns:ns1="http://schemas.microsoft.com/sharepoint/v3" xmlns:ns2="a1a0681f-cb63-4b8d-afdc-dedbdb8d1bfa" xmlns:ns3="c90e9d8d-db18-49dc-a3f3-48f2701f1e15" targetNamespace="http://schemas.microsoft.com/office/2006/metadata/properties" ma:root="true" ma:fieldsID="3036cc11953f4f299984ade8d32a8c18" ns1:_="" ns2:_="" ns3:_="">
    <xsd:import namespace="http://schemas.microsoft.com/sharepoint/v3"/>
    <xsd:import namespace="a1a0681f-cb63-4b8d-afdc-dedbdb8d1bfa"/>
    <xsd:import namespace="c90e9d8d-db18-49dc-a3f3-48f2701f1e1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Document_x0020_Description" minOccurs="0"/>
                <xsd:element ref="ns3:Permit_x0020_Type" minOccurs="0"/>
                <xsd:element ref="ns3:Program" minOccurs="0"/>
                <xsd:element ref="ns3:Tags" minOccurs="0"/>
                <xsd:element ref="ns3:Ser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0681f-cb63-4b8d-afdc-dedbdb8d1b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e9d8d-db18-49dc-a3f3-48f2701f1e15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11" nillable="true" ma:displayName="Document Description" ma:internalName="Document_x0020_Description" ma:readOnly="false">
      <xsd:simpleType>
        <xsd:restriction base="dms:Note">
          <xsd:maxLength value="255"/>
        </xsd:restriction>
      </xsd:simpleType>
    </xsd:element>
    <xsd:element name="Permit_x0020_Type" ma:index="12" nillable="true" ma:displayName="Permit Type" ma:default="Misc." ma:format="Dropdown" ma:internalName="Permit_x0020_Type" ma:readOnly="false">
      <xsd:simpleType>
        <xsd:restriction base="dms:Choice">
          <xsd:enumeration value="Misc."/>
          <xsd:enumeration value="Permitted Facility"/>
          <xsd:enumeration value="Basic ACDP"/>
          <xsd:enumeration value="General ACDP"/>
          <xsd:enumeration value="Simple, Standard and Constr ACDP"/>
          <xsd:enumeration value="Title V"/>
          <xsd:enumeration value="CAO ACDP"/>
          <xsd:enumeration value="Hazardous Waste"/>
          <xsd:enumeration value="401 Hydro Power"/>
          <xsd:enumeration value="Solid Waste"/>
          <xsd:enumeration value="Graywater"/>
          <xsd:enumeration value="MS4"/>
          <xsd:enumeration value="Mining"/>
          <xsd:enumeration value="NPDES"/>
          <xsd:enumeration value="Stormwater"/>
          <xsd:enumeration value="Wastewater"/>
          <xsd:enumeration value="WPCF"/>
        </xsd:restriction>
      </xsd:simpleType>
    </xsd:element>
    <xsd:element name="Program" ma:index="13" nillable="true" ma:displayName="Programs/Projects" ma:default="Select..." ma:format="Dropdown" ma:internalName="Program0" ma:readOnly="false">
      <xsd:simpleType>
        <xsd:union memberTypes="dms:Text">
          <xsd:simpleType>
            <xsd:restriction base="dms:Choice">
              <xsd:enumeration value="Select..."/>
              <xsd:enumeration value="AQ Monitoring"/>
              <xsd:enumeration value="AQ Permitting"/>
              <xsd:enumeration value="Air Toxics"/>
              <xsd:enumeration value="Asbestos"/>
              <xsd:enumeration value="Ballast Water"/>
              <xsd:enumeration value="Biosolids"/>
              <xsd:enumeration value="Brownfields"/>
              <xsd:enumeration value="Burning"/>
              <xsd:enumeration value="Clean Fuels"/>
              <xsd:enumeration value="CWSRF"/>
              <xsd:enumeration value="Compliance and Enforcement"/>
              <xsd:enumeration value="Composting"/>
              <xsd:enumeration value="Conversion Technology"/>
              <xsd:enumeration value="Disposal"/>
              <xsd:enumeration value="Drinking Water Protection"/>
              <xsd:enumeration value="Dry Cleaners"/>
              <xsd:enumeration value="E-Cycles"/>
              <xsd:enumeration value="Emergency Response"/>
              <xsd:enumeration value="ECO"/>
              <xsd:enumeration value="Environmental Cleanup"/>
              <xsd:enumeration value="Food Waste"/>
              <xsd:enumeration value="Gasoline Vapor Recovery"/>
              <xsd:enumeration value="Green Building"/>
              <xsd:enumeration value="GHG"/>
              <xsd:enumeration value="Groundwater"/>
              <xsd:enumeration value="Hazardous Waste"/>
              <xsd:enumeration value="Heat Smart"/>
              <xsd:enumeration value="HOT"/>
              <xsd:enumeration value="Household Hazardous Waste"/>
              <xsd:enumeration value="Industrial Pretreatment"/>
              <xsd:enumeration value="Infectious Waste"/>
              <xsd:enumeration value="LUST"/>
              <xsd:enumeration value="Materials Management"/>
              <xsd:enumeration value="Mercury"/>
              <xsd:enumeration value="Nonpoint Source"/>
              <xsd:enumeration value="Nuisance Odor"/>
              <xsd:enumeration value="Onsite Septic"/>
              <xsd:enumeration value="Clean Diesel"/>
              <xsd:enumeration value="Clean Fuels"/>
              <xsd:enumeration value="E-Cycles"/>
              <xsd:enumeration value="LEV"/>
              <xsd:enumeration value="Paint"/>
              <xsd:enumeration value="Pesticide Stewardship"/>
              <xsd:enumeration value="Product Stewardship"/>
              <xsd:enumeration value="PPA"/>
              <xsd:enumeration value="Toxics Reduction"/>
              <xsd:enumeration value="Regional Solutions"/>
              <xsd:enumeration value="Section 401 Hydropower"/>
              <xsd:enumeration value="Section 401 Removal and Fill"/>
              <xsd:enumeration value="Site Assessment"/>
              <xsd:enumeration value="Small Business Assistance"/>
              <xsd:enumeration value="Solid Waste Disposal"/>
              <xsd:enumeration value="Solid Waste Permits"/>
              <xsd:enumeration value="Supplemental Environmental Projects"/>
              <xsd:enumeration value="Tanks Program"/>
              <xsd:enumeration value="TMDL"/>
              <xsd:enumeration value="Tribal Relations"/>
              <xsd:enumeration value="UIC"/>
              <xsd:enumeration value="Universal Waste"/>
              <xsd:enumeration value="UST"/>
              <xsd:enumeration value="VIP"/>
              <xsd:enumeration value="Waste Prevention and Reuse"/>
              <xsd:enumeration value="Waste Recovery"/>
              <xsd:enumeration value="Wastewater Operator Certification"/>
              <xsd:enumeration value="WQ Assessment"/>
              <xsd:enumeration value="WQ Credit Trading"/>
              <xsd:enumeration value="WQ Monitoring"/>
              <xsd:enumeration value="WQ Permits"/>
              <xsd:enumeration value="WQ Standards"/>
              <xsd:enumeration value="WQ Toxics Monitoring"/>
              <xsd:enumeration value="Water Reuse"/>
              <xsd:enumeration value="Wood Stoves"/>
              <xsd:enumeration value="Columbia Slough"/>
              <xsd:enumeration value="NoPo Odor"/>
              <xsd:enumeration value="Jordan Cove"/>
              <xsd:enumeration value="Portland Harbor"/>
              <xsd:enumeration value="Columbia Pacific Bio-Refinery"/>
              <xsd:enumeration value="AmeriTies"/>
              <xsd:enumeration value="Ashland Railroad"/>
              <xsd:enumeration value="Bullseye Glass"/>
              <xsd:enumeration value="Coyote Island"/>
              <xsd:enumeration value="Daimler Trucks"/>
              <xsd:enumeration value="Gasoline Terminals NW Portland"/>
              <xsd:enumeration value="Grimm's Fuel"/>
              <xsd:enumeration value="Hollingsworth &amp; Vose"/>
              <xsd:enumeration value="Intel"/>
              <xsd:enumeration value="PGE Boardman"/>
              <xsd:enumeration value="Precision Castparts"/>
              <xsd:enumeration value="Riverbend Landfill"/>
              <xsd:enumeration value="Umatilla Chemical Depot"/>
              <xsd:enumeration value="Uroboros Glass"/>
              <xsd:enumeration value="VW"/>
              <xsd:enumeration value="Greenhouse Gas/Climate"/>
            </xsd:restriction>
          </xsd:simpleType>
        </xsd:union>
      </xsd:simpleType>
    </xsd:element>
    <xsd:element name="Tags" ma:index="14" nillable="true" ma:displayName="Tags" ma:internalName="Tags" ma:readOnly="false">
      <xsd:simpleType>
        <xsd:restriction base="dms:Text">
          <xsd:maxLength value="255"/>
        </xsd:restriction>
      </xsd:simpleType>
    </xsd:element>
    <xsd:element name="Series" ma:index="15" nillable="true" ma:displayName="Series" ma:description="For ACDP and TV permits" ma:format="Dropdown" ma:internalName="Series" ma:readOnly="false">
      <xsd:simpleType>
        <xsd:restriction base="dms:Choice">
          <xsd:enumeration value="Administrative Forms (series AQ100)"/>
          <xsd:enumeration value="Administrative and General Facility Information (Series AP100)"/>
          <xsd:enumeration value="Cleaner Air Oregon (Series 500)"/>
          <xsd:enumeration value="Device and Equipment Forms (Series 200)"/>
          <xsd:enumeration value="Pollution Prevention and Control Devices (Series 300)"/>
          <xsd:enumeration value="Emissions Forms (Series 400)"/>
          <xsd:enumeration value="Applicable Requirements (Series AR400)"/>
          <xsd:enumeration value="Emission Factors (Series EF)"/>
          <xsd:enumeration value="Emissions Data (Series ED600)"/>
          <xsd:enumeration value="Emissions Unit Summary (Series EU500)"/>
          <xsd:enumeration value="Facility Device/Process Description (Series DV200)"/>
          <xsd:enumeration value="Miscellaneous (Series MF800)"/>
          <xsd:enumeration value="Modification Forms (Series MD900)"/>
          <xsd:enumeration value="Monitoring and Testing (Series CP700)"/>
          <xsd:enumeration value="Pollution Control Device Description (Series CD300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3ECB38-5A8E-499C-8741-568768A6981A}"/>
</file>

<file path=customXml/itemProps2.xml><?xml version="1.0" encoding="utf-8"?>
<ds:datastoreItem xmlns:ds="http://schemas.openxmlformats.org/officeDocument/2006/customXml" ds:itemID="{77AFBA64-CE13-47C4-96B4-35F5FF9EB673}"/>
</file>

<file path=customXml/itemProps3.xml><?xml version="1.0" encoding="utf-8"?>
<ds:datastoreItem xmlns:ds="http://schemas.openxmlformats.org/officeDocument/2006/customXml" ds:itemID="{BEEF30A4-5C9A-4492-8204-2C69C0642E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Ambient results-with discharge</vt:lpstr>
      <vt:lpstr>Ambient results-no discharge</vt:lpstr>
      <vt:lpstr>DO saturation equation</vt:lpstr>
      <vt:lpstr>'Ambient results-with discharge'!Print_Area</vt:lpstr>
    </vt:vector>
  </TitlesOfParts>
  <Company>DEQ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RPA Calculation Workbook  Dissolved Oxygen</dc:title>
  <dc:creator>Dept of Environmental Quality</dc:creator>
  <cp:lastModifiedBy>BOYARSHINOVA Lia</cp:lastModifiedBy>
  <cp:lastPrinted>2005-03-03T17:46:02Z</cp:lastPrinted>
  <dcterms:created xsi:type="dcterms:W3CDTF">1998-07-16T18:51:06Z</dcterms:created>
  <dcterms:modified xsi:type="dcterms:W3CDTF">2017-08-18T18:19:49Z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1878442453</vt:i4>
  </property>
  <property fmtid="{D5CDD505-2E9C-101B-9397-08002B2CF9AE}" pid="3" name="_EmailSubject">
    <vt:lpwstr>Streeter-Phelps Dissolved Oxygen Spreadsheet</vt:lpwstr>
  </property>
  <property fmtid="{D5CDD505-2E9C-101B-9397-08002B2CF9AE}" pid="4" name="_AuthorEmail">
    <vt:lpwstr>SCHNURBUSCH.Stephen@deq.state.or.us</vt:lpwstr>
  </property>
  <property fmtid="{D5CDD505-2E9C-101B-9397-08002B2CF9AE}" pid="5" name="_AuthorEmailDisplayName">
    <vt:lpwstr>SCHNURBUSCH Steve</vt:lpwstr>
  </property>
  <property fmtid="{D5CDD505-2E9C-101B-9397-08002B2CF9AE}" pid="6" name="_ReviewingToolsShownOnce">
    <vt:lpwstr/>
  </property>
  <property fmtid="{D5CDD505-2E9C-101B-9397-08002B2CF9AE}" pid="7" name="ContentTypeId">
    <vt:lpwstr>0x0101009CC8800C0FDBD74BB7EF83F539002170</vt:lpwstr>
  </property>
  <property fmtid="{D5CDD505-2E9C-101B-9397-08002B2CF9AE}" pid="8" name="Category">
    <vt:lpwstr>55;#;#81;#</vt:lpwstr>
  </property>
  <property fmtid="{D5CDD505-2E9C-101B-9397-08002B2CF9AE}" pid="10" name="Permit Type">
    <vt:lpwstr>NPDES</vt:lpwstr>
  </property>
  <property fmtid="{D5CDD505-2E9C-101B-9397-08002B2CF9AE}" pid="12" name="Program0">
    <vt:lpwstr>WQ Permits</vt:lpwstr>
  </property>
</Properties>
</file>