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GRAIVE\Desktop\Projects - Local\26-2025 Zenith\2023 ACDP\Revised Application\For Web Page\"/>
    </mc:Choice>
  </mc:AlternateContent>
  <xr:revisionPtr revIDLastSave="0" documentId="13_ncr:1_{DF83EF69-3193-4763-8780-AEC9A63E98B6}" xr6:coauthVersionLast="47" xr6:coauthVersionMax="47" xr10:uidLastSave="{00000000-0000-0000-0000-000000000000}"/>
  <workbookProtection workbookAlgorithmName="SHA-512" workbookHashValue="TDO1kCiXcDPUWBYsnQbCqMPEMgQqiFFmXgoljfjh29aWsZcPKCYAG8Pz8bQwVFjDKPzxF+aeQ3NZDe+Lr9oofA==" workbookSaltValue="dnR4LDIxh+xQqKMAMEB+Ww==" workbookSpinCount="100000" lockStructure="1"/>
  <bookViews>
    <workbookView xWindow="-23148" yWindow="-108" windowWidth="23256" windowHeight="13176" firstSheet="8" activeTab="11" xr2:uid="{474652EC-320F-094A-975D-46B028459E18}"/>
  </bookViews>
  <sheets>
    <sheet name="COVER" sheetId="51" r:id="rId1"/>
    <sheet name="products" sheetId="49" r:id="rId2"/>
    <sheet name="Emission Summary" sheetId="50" r:id="rId3"/>
    <sheet name="TANK_Emissions" sheetId="39" r:id="rId4"/>
    <sheet name="TRACK_Emissions" sheetId="36" r:id="rId5"/>
    <sheet name="Marine Loading Emissions" sheetId="28" r:id="rId6"/>
    <sheet name="Marine VCU Vapor Combustion" sheetId="29" r:id="rId7"/>
    <sheet name="Marine VCU Assist Gas" sheetId="30" r:id="rId8"/>
    <sheet name="Marine VCU Stack HAP Emissions" sheetId="33" r:id="rId9"/>
    <sheet name="Fugitive Equipment Leaks" sheetId="42" r:id="rId10"/>
    <sheet name="OWS Emissions" sheetId="43" r:id="rId11"/>
    <sheet name="Boiler_and_Heater_Emission" sheetId="35" r:id="rId12"/>
  </sheets>
  <externalReferences>
    <externalReference r:id="rId13"/>
    <externalReference r:id="rId14"/>
  </externalReferences>
  <definedNames>
    <definedName name="_xlnm._FilterDatabase" localSheetId="9" hidden="1">'Fugitive Equipment Leaks'!#REF!</definedName>
    <definedName name="_xlnm._FilterDatabase" localSheetId="10" hidden="1">'OWS Emissions'!#REF!</definedName>
    <definedName name="_xlnm._FilterDatabase" localSheetId="3" hidden="1">TANK_Emissions!$A$7:$Y$68</definedName>
    <definedName name="_xlnm._FilterDatabase" localSheetId="4" hidden="1">TRACK_Emissions!$A$29:$L$40</definedName>
    <definedName name="_Order1" hidden="1">255</definedName>
    <definedName name="_Order2" hidden="1">255</definedName>
    <definedName name="April">#REF!</definedName>
    <definedName name="August">#REF!</definedName>
    <definedName name="CARBO134">#REF!</definedName>
    <definedName name="CARBO890">#REF!</definedName>
    <definedName name="Chem_List">'[1]Phys Prop'!$A$3:$A$88</definedName>
    <definedName name="COMP" localSheetId="11">#REF!</definedName>
    <definedName name="COMP">#REF!</definedName>
    <definedName name="December">#REF!</definedName>
    <definedName name="EPA_HAPs">#REF!</definedName>
    <definedName name="_xlnm.Extract" localSheetId="3">TANK_Emissions!#REF!</definedName>
    <definedName name="February">#REF!</definedName>
    <definedName name="FIX_Emiss">'[2]CALC-Tanks Fixed Roof Monthly'!$C$16:$HN$74</definedName>
    <definedName name="FLT_Emiss">'[2]CALC-Floating Roof Monthly'!$D$13:$GJ$22</definedName>
    <definedName name="FLT_Inputs">'[2]Floating Roof Inputs'!$C$8:$DK$27</definedName>
    <definedName name="HAP_Col">#REF!</definedName>
    <definedName name="HAP_Row">#REF!</definedName>
    <definedName name="HAPs">#REF!</definedName>
    <definedName name="January">#REF!</definedName>
    <definedName name="July">#REF!</definedName>
    <definedName name="June">#REF!</definedName>
    <definedName name="March">#REF!</definedName>
    <definedName name="May">#REF!</definedName>
    <definedName name="MMPaint">#REF!</definedName>
    <definedName name="Nat_Gas_HAPs">#REF!</definedName>
    <definedName name="November">#REF!</definedName>
    <definedName name="October">#REF!</definedName>
    <definedName name="_xlnm.Print_Area" localSheetId="11">Boiler_and_Heater_Emission!$A$87:$E$125</definedName>
    <definedName name="_xlnm.Print_Area" localSheetId="9">'Fugitive Equipment Leaks'!$A$31:$F$54</definedName>
    <definedName name="_xlnm.Print_Area" localSheetId="8">'Marine VCU Stack HAP Emissions'!$A$6:$D$39</definedName>
    <definedName name="_xlnm.Print_Area" localSheetId="10">'OWS Emissions'!$A$5:$D$28</definedName>
    <definedName name="_xlnm.Print_Area" localSheetId="3">TANK_Emissions!$H$76:$T$115</definedName>
    <definedName name="_xlnm.Print_Area" localSheetId="4">TRACK_Emissions!$A$81:$D$81</definedName>
    <definedName name="_xlnm.Print_Titles" localSheetId="11">Boiler_and_Heater_Emission!$4:$4</definedName>
    <definedName name="_xlnm.Print_Titles" localSheetId="9">'Fugitive Equipment Leaks'!$4:$4</definedName>
    <definedName name="_xlnm.Print_Titles" localSheetId="8">'Marine VCU Stack HAP Emissions'!$4:$4</definedName>
    <definedName name="_xlnm.Print_Titles" localSheetId="4">TRACK_Emissions!#REF!</definedName>
    <definedName name="September">#REF!</definedName>
    <definedName name="Solvent215">#REF!</definedName>
    <definedName name="Solvent33">#REF!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  <definedName name="WW_FUG_HA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42" l="1"/>
  <c r="C14" i="42"/>
  <c r="C13" i="42"/>
  <c r="C10" i="42"/>
  <c r="C7" i="42"/>
  <c r="F11" i="36" l="1"/>
  <c r="B6" i="28" s="1"/>
  <c r="F15" i="36"/>
  <c r="D36" i="36" s="1"/>
  <c r="L36" i="36" s="1"/>
  <c r="B9" i="29"/>
  <c r="F13" i="36"/>
  <c r="B7" i="28" s="1"/>
  <c r="D7" i="28" s="1"/>
  <c r="F18" i="36"/>
  <c r="B8" i="28" s="1"/>
  <c r="D8" i="28" s="1"/>
  <c r="B9" i="30"/>
  <c r="B10" i="30"/>
  <c r="B11" i="30"/>
  <c r="B14" i="30" s="1"/>
  <c r="F69" i="39"/>
  <c r="J35" i="36"/>
  <c r="C35" i="36"/>
  <c r="C36" i="36"/>
  <c r="C37" i="36"/>
  <c r="C34" i="36"/>
  <c r="O17" i="39"/>
  <c r="O15" i="39"/>
  <c r="O12" i="39"/>
  <c r="O11" i="39"/>
  <c r="O9" i="39"/>
  <c r="O8" i="39"/>
  <c r="D13" i="42"/>
  <c r="D12" i="42"/>
  <c r="D10" i="42"/>
  <c r="D7" i="42"/>
  <c r="I7" i="42" s="1"/>
  <c r="I15" i="42" s="1"/>
  <c r="T12" i="39"/>
  <c r="E9" i="28"/>
  <c r="E6" i="28"/>
  <c r="B25" i="29"/>
  <c r="G26" i="30"/>
  <c r="G24" i="30"/>
  <c r="J36" i="36"/>
  <c r="J37" i="36"/>
  <c r="N20" i="39"/>
  <c r="M20" i="39"/>
  <c r="L20" i="39"/>
  <c r="K20" i="39"/>
  <c r="J20" i="39"/>
  <c r="I20" i="39"/>
  <c r="H20" i="39"/>
  <c r="G20" i="39"/>
  <c r="N19" i="39"/>
  <c r="M19" i="39"/>
  <c r="L19" i="39"/>
  <c r="K19" i="39"/>
  <c r="J19" i="39"/>
  <c r="I19" i="39"/>
  <c r="H19" i="39"/>
  <c r="G19" i="39"/>
  <c r="L42" i="49"/>
  <c r="M42" i="49"/>
  <c r="K42" i="49"/>
  <c r="C33" i="36"/>
  <c r="C32" i="36"/>
  <c r="C31" i="36"/>
  <c r="C30" i="36"/>
  <c r="B7" i="43"/>
  <c r="H7" i="42"/>
  <c r="E39" i="28"/>
  <c r="E40" i="28"/>
  <c r="F39" i="28"/>
  <c r="F40" i="28"/>
  <c r="D39" i="28"/>
  <c r="D40" i="28"/>
  <c r="E17" i="28"/>
  <c r="E18" i="28"/>
  <c r="F17" i="28"/>
  <c r="F18" i="28" s="1"/>
  <c r="D17" i="28"/>
  <c r="D18" i="28"/>
  <c r="J9" i="42"/>
  <c r="J10" i="42"/>
  <c r="J11" i="42"/>
  <c r="J12" i="42"/>
  <c r="J13" i="42"/>
  <c r="J14" i="42"/>
  <c r="J8" i="42"/>
  <c r="J7" i="42"/>
  <c r="J34" i="36"/>
  <c r="J31" i="36"/>
  <c r="I9" i="42"/>
  <c r="I10" i="42"/>
  <c r="I11" i="42"/>
  <c r="I12" i="42"/>
  <c r="I13" i="42"/>
  <c r="I14" i="42"/>
  <c r="I8" i="42"/>
  <c r="J32" i="36"/>
  <c r="H9" i="42"/>
  <c r="K9" i="42"/>
  <c r="H10" i="42"/>
  <c r="K10" i="42" s="1"/>
  <c r="H11" i="42"/>
  <c r="H12" i="42"/>
  <c r="K12" i="42" s="1"/>
  <c r="H13" i="42"/>
  <c r="H14" i="42"/>
  <c r="K14" i="42" s="1"/>
  <c r="H8" i="42"/>
  <c r="K8" i="42"/>
  <c r="E15" i="42"/>
  <c r="C15" i="42"/>
  <c r="K11" i="42"/>
  <c r="H55" i="39"/>
  <c r="I55" i="39"/>
  <c r="J55" i="39"/>
  <c r="K55" i="39"/>
  <c r="L55" i="39"/>
  <c r="M55" i="39"/>
  <c r="N55" i="39"/>
  <c r="G55" i="39"/>
  <c r="H29" i="39"/>
  <c r="H30" i="39"/>
  <c r="I29" i="39"/>
  <c r="J29" i="39"/>
  <c r="K29" i="39"/>
  <c r="L29" i="39"/>
  <c r="M29" i="39"/>
  <c r="N29" i="39"/>
  <c r="I30" i="39"/>
  <c r="J30" i="39"/>
  <c r="K30" i="39"/>
  <c r="L30" i="39"/>
  <c r="M30" i="39"/>
  <c r="N30" i="39"/>
  <c r="I31" i="39"/>
  <c r="J31" i="39"/>
  <c r="K31" i="39"/>
  <c r="L31" i="39"/>
  <c r="M31" i="39"/>
  <c r="N31" i="39"/>
  <c r="H24" i="39"/>
  <c r="I24" i="39"/>
  <c r="J24" i="39"/>
  <c r="K24" i="39"/>
  <c r="L24" i="39"/>
  <c r="M24" i="39"/>
  <c r="N24" i="39"/>
  <c r="H25" i="39"/>
  <c r="I25" i="39"/>
  <c r="J25" i="39"/>
  <c r="K25" i="39"/>
  <c r="L25" i="39"/>
  <c r="M25" i="39"/>
  <c r="N25" i="39"/>
  <c r="H26" i="39"/>
  <c r="I26" i="39"/>
  <c r="J26" i="39"/>
  <c r="K26" i="39"/>
  <c r="L26" i="39"/>
  <c r="M26" i="39"/>
  <c r="N26" i="39"/>
  <c r="G29" i="39"/>
  <c r="G30" i="39"/>
  <c r="G24" i="39"/>
  <c r="G25" i="39"/>
  <c r="G26" i="39"/>
  <c r="G23" i="39"/>
  <c r="H23" i="39"/>
  <c r="I23" i="39"/>
  <c r="J23" i="39"/>
  <c r="K23" i="39"/>
  <c r="L23" i="39"/>
  <c r="M23" i="39"/>
  <c r="N23" i="39"/>
  <c r="G22" i="39"/>
  <c r="H22" i="39"/>
  <c r="I22" i="39"/>
  <c r="J22" i="39"/>
  <c r="K22" i="39"/>
  <c r="L22" i="39"/>
  <c r="M22" i="39"/>
  <c r="N22" i="39"/>
  <c r="G53" i="39"/>
  <c r="H53" i="39"/>
  <c r="I53" i="39"/>
  <c r="J53" i="39"/>
  <c r="K53" i="39"/>
  <c r="L53" i="39"/>
  <c r="M53" i="39"/>
  <c r="N53" i="39"/>
  <c r="H40" i="39"/>
  <c r="I40" i="39"/>
  <c r="J40" i="39"/>
  <c r="K40" i="39"/>
  <c r="L40" i="39"/>
  <c r="M40" i="39"/>
  <c r="N40" i="39"/>
  <c r="H41" i="39"/>
  <c r="I41" i="39"/>
  <c r="J41" i="39"/>
  <c r="K41" i="39"/>
  <c r="L41" i="39"/>
  <c r="M41" i="39"/>
  <c r="N41" i="39"/>
  <c r="G40" i="39"/>
  <c r="G41" i="39"/>
  <c r="G39" i="39"/>
  <c r="H39" i="39"/>
  <c r="I39" i="39"/>
  <c r="J39" i="39"/>
  <c r="K39" i="39"/>
  <c r="L39" i="39"/>
  <c r="M39" i="39"/>
  <c r="N39" i="39"/>
  <c r="I7" i="35"/>
  <c r="J7" i="35"/>
  <c r="J16" i="35"/>
  <c r="K7" i="35"/>
  <c r="K16" i="35"/>
  <c r="K25" i="35" s="1"/>
  <c r="L7" i="35"/>
  <c r="L16" i="35"/>
  <c r="L25" i="35"/>
  <c r="G15" i="50"/>
  <c r="I8" i="35"/>
  <c r="G25" i="30"/>
  <c r="G23" i="30"/>
  <c r="G22" i="30"/>
  <c r="D89" i="35"/>
  <c r="L8" i="35"/>
  <c r="L13" i="35" s="1"/>
  <c r="L22" i="35" s="1"/>
  <c r="E15" i="50" s="1"/>
  <c r="D50" i="35"/>
  <c r="K8" i="35"/>
  <c r="K11" i="35" s="1"/>
  <c r="K20" i="35" s="1"/>
  <c r="C14" i="50" s="1"/>
  <c r="D8" i="35"/>
  <c r="J8" i="35"/>
  <c r="J13" i="35" s="1"/>
  <c r="J22" i="35" s="1"/>
  <c r="K15" i="35"/>
  <c r="K24" i="35"/>
  <c r="D14" i="50" s="1"/>
  <c r="J25" i="35"/>
  <c r="G13" i="50" s="1"/>
  <c r="L15" i="35"/>
  <c r="L24" i="35" s="1"/>
  <c r="D15" i="50" s="1"/>
  <c r="L14" i="35"/>
  <c r="L23" i="35"/>
  <c r="B15" i="50" s="1"/>
  <c r="K13" i="35"/>
  <c r="K22" i="35" s="1"/>
  <c r="E14" i="50" s="1"/>
  <c r="K12" i="35"/>
  <c r="K21" i="35" s="1"/>
  <c r="F14" i="50" s="1"/>
  <c r="L11" i="35"/>
  <c r="J11" i="35"/>
  <c r="J20" i="35"/>
  <c r="L20" i="35"/>
  <c r="C15" i="50"/>
  <c r="B39" i="28"/>
  <c r="B40" i="28"/>
  <c r="B17" i="28"/>
  <c r="B18" i="28" s="1"/>
  <c r="B57" i="35"/>
  <c r="E68" i="35" s="1"/>
  <c r="J30" i="36"/>
  <c r="G8" i="39"/>
  <c r="G9" i="39"/>
  <c r="G10" i="39"/>
  <c r="N16" i="39"/>
  <c r="M16" i="39"/>
  <c r="L16" i="39"/>
  <c r="K16" i="39"/>
  <c r="J16" i="39"/>
  <c r="I16" i="39"/>
  <c r="H16" i="39"/>
  <c r="G16" i="39"/>
  <c r="T13" i="39"/>
  <c r="T14" i="39"/>
  <c r="F20" i="36"/>
  <c r="T9" i="39"/>
  <c r="T10" i="39"/>
  <c r="T11" i="39"/>
  <c r="T8" i="39"/>
  <c r="B9" i="43"/>
  <c r="K56" i="39"/>
  <c r="J33" i="36"/>
  <c r="F12" i="36"/>
  <c r="C33" i="49" s="1"/>
  <c r="H9" i="39"/>
  <c r="I9" i="39"/>
  <c r="J9" i="39"/>
  <c r="K9" i="39"/>
  <c r="L9" i="39"/>
  <c r="M9" i="39"/>
  <c r="N9" i="39"/>
  <c r="H10" i="39"/>
  <c r="I10" i="39"/>
  <c r="J10" i="39"/>
  <c r="L10" i="39"/>
  <c r="M10" i="39"/>
  <c r="N10" i="39"/>
  <c r="H11" i="39"/>
  <c r="I11" i="39"/>
  <c r="J11" i="39"/>
  <c r="K11" i="39"/>
  <c r="L11" i="39"/>
  <c r="M11" i="39"/>
  <c r="N11" i="39"/>
  <c r="H12" i="39"/>
  <c r="I12" i="39"/>
  <c r="J12" i="39"/>
  <c r="K12" i="39"/>
  <c r="L12" i="39"/>
  <c r="M12" i="39"/>
  <c r="N12" i="39"/>
  <c r="H13" i="39"/>
  <c r="I13" i="39"/>
  <c r="J13" i="39"/>
  <c r="K13" i="39"/>
  <c r="L13" i="39"/>
  <c r="M13" i="39"/>
  <c r="N13" i="39"/>
  <c r="H14" i="39"/>
  <c r="I14" i="39"/>
  <c r="J14" i="39"/>
  <c r="K14" i="39"/>
  <c r="L14" i="39"/>
  <c r="M14" i="39"/>
  <c r="N14" i="39"/>
  <c r="H15" i="39"/>
  <c r="I15" i="39"/>
  <c r="J15" i="39"/>
  <c r="K15" i="39"/>
  <c r="L15" i="39"/>
  <c r="M15" i="39"/>
  <c r="N15" i="39"/>
  <c r="H17" i="39"/>
  <c r="I17" i="39"/>
  <c r="J17" i="39"/>
  <c r="K17" i="39"/>
  <c r="L17" i="39"/>
  <c r="M17" i="39"/>
  <c r="N17" i="39"/>
  <c r="H56" i="39"/>
  <c r="I56" i="39"/>
  <c r="J56" i="39"/>
  <c r="M56" i="39"/>
  <c r="H57" i="39"/>
  <c r="I57" i="39"/>
  <c r="J57" i="39"/>
  <c r="M57" i="39"/>
  <c r="H18" i="39"/>
  <c r="I18" i="39"/>
  <c r="J18" i="39"/>
  <c r="M18" i="39"/>
  <c r="H21" i="39"/>
  <c r="I21" i="39"/>
  <c r="K21" i="39"/>
  <c r="M21" i="39"/>
  <c r="N21" i="39"/>
  <c r="H27" i="39"/>
  <c r="I27" i="39"/>
  <c r="K27" i="39"/>
  <c r="M27" i="39"/>
  <c r="N27" i="39"/>
  <c r="H28" i="39"/>
  <c r="I28" i="39"/>
  <c r="J28" i="39"/>
  <c r="K28" i="39"/>
  <c r="L28" i="39"/>
  <c r="M28" i="39"/>
  <c r="N28" i="39"/>
  <c r="H31" i="39"/>
  <c r="H32" i="39"/>
  <c r="I32" i="39"/>
  <c r="K32" i="39"/>
  <c r="L32" i="39"/>
  <c r="M32" i="39"/>
  <c r="N32" i="39"/>
  <c r="H33" i="39"/>
  <c r="I33" i="39"/>
  <c r="J33" i="39"/>
  <c r="K33" i="39"/>
  <c r="L33" i="39"/>
  <c r="M33" i="39"/>
  <c r="N33" i="39"/>
  <c r="H34" i="39"/>
  <c r="I34" i="39"/>
  <c r="J34" i="39"/>
  <c r="K34" i="39"/>
  <c r="L34" i="39"/>
  <c r="M34" i="39"/>
  <c r="N34" i="39"/>
  <c r="H35" i="39"/>
  <c r="I35" i="39"/>
  <c r="J35" i="39"/>
  <c r="K35" i="39"/>
  <c r="L35" i="39"/>
  <c r="M35" i="39"/>
  <c r="N35" i="39"/>
  <c r="H36" i="39"/>
  <c r="I36" i="39"/>
  <c r="J36" i="39"/>
  <c r="M36" i="39"/>
  <c r="H37" i="39"/>
  <c r="I37" i="39"/>
  <c r="J37" i="39"/>
  <c r="K37" i="39"/>
  <c r="L37" i="39"/>
  <c r="M37" i="39"/>
  <c r="N37" i="39"/>
  <c r="H38" i="39"/>
  <c r="I38" i="39"/>
  <c r="J38" i="39"/>
  <c r="K38" i="39"/>
  <c r="L38" i="39"/>
  <c r="M38" i="39"/>
  <c r="N38" i="39"/>
  <c r="H42" i="39"/>
  <c r="I42" i="39"/>
  <c r="J42" i="39"/>
  <c r="K42" i="39"/>
  <c r="L42" i="39"/>
  <c r="M42" i="39"/>
  <c r="N42" i="39"/>
  <c r="H44" i="39"/>
  <c r="I44" i="39"/>
  <c r="J44" i="39"/>
  <c r="K44" i="39"/>
  <c r="L44" i="39"/>
  <c r="M44" i="39"/>
  <c r="N44" i="39"/>
  <c r="H46" i="39"/>
  <c r="I46" i="39"/>
  <c r="J46" i="39"/>
  <c r="M46" i="39"/>
  <c r="H47" i="39"/>
  <c r="I47" i="39"/>
  <c r="J47" i="39"/>
  <c r="K47" i="39"/>
  <c r="M47" i="39"/>
  <c r="H48" i="39"/>
  <c r="I48" i="39"/>
  <c r="J48" i="39"/>
  <c r="M48" i="39"/>
  <c r="H49" i="39"/>
  <c r="I49" i="39"/>
  <c r="J49" i="39"/>
  <c r="K49" i="39"/>
  <c r="L49" i="39"/>
  <c r="M49" i="39"/>
  <c r="N49" i="39"/>
  <c r="H50" i="39"/>
  <c r="I50" i="39"/>
  <c r="J50" i="39"/>
  <c r="K50" i="39"/>
  <c r="L50" i="39"/>
  <c r="M50" i="39"/>
  <c r="N50" i="39"/>
  <c r="H51" i="39"/>
  <c r="I51" i="39"/>
  <c r="J51" i="39"/>
  <c r="K51" i="39"/>
  <c r="M51" i="39"/>
  <c r="H52" i="39"/>
  <c r="I52" i="39"/>
  <c r="J52" i="39"/>
  <c r="K52" i="39"/>
  <c r="L52" i="39"/>
  <c r="M52" i="39"/>
  <c r="N52" i="39"/>
  <c r="H54" i="39"/>
  <c r="I54" i="39"/>
  <c r="J54" i="39"/>
  <c r="K54" i="39"/>
  <c r="L54" i="39"/>
  <c r="M54" i="39"/>
  <c r="N54" i="39"/>
  <c r="H58" i="39"/>
  <c r="I58" i="39"/>
  <c r="K58" i="39"/>
  <c r="M58" i="39"/>
  <c r="N58" i="39"/>
  <c r="H59" i="39"/>
  <c r="I59" i="39"/>
  <c r="K59" i="39"/>
  <c r="L59" i="39"/>
  <c r="M59" i="39"/>
  <c r="N59" i="39"/>
  <c r="H60" i="39"/>
  <c r="I60" i="39"/>
  <c r="K60" i="39"/>
  <c r="M60" i="39"/>
  <c r="N60" i="39"/>
  <c r="H61" i="39"/>
  <c r="I61" i="39"/>
  <c r="K61" i="39"/>
  <c r="L61" i="39"/>
  <c r="M61" i="39"/>
  <c r="N61" i="39"/>
  <c r="H62" i="39"/>
  <c r="I62" i="39"/>
  <c r="K62" i="39"/>
  <c r="M62" i="39"/>
  <c r="N62" i="39"/>
  <c r="H63" i="39"/>
  <c r="I63" i="39"/>
  <c r="J63" i="39"/>
  <c r="K63" i="39"/>
  <c r="L63" i="39"/>
  <c r="M63" i="39"/>
  <c r="N63" i="39"/>
  <c r="H64" i="39"/>
  <c r="I64" i="39"/>
  <c r="J64" i="39"/>
  <c r="K64" i="39"/>
  <c r="L64" i="39"/>
  <c r="M64" i="39"/>
  <c r="N64" i="39"/>
  <c r="H65" i="39"/>
  <c r="I65" i="39"/>
  <c r="J65" i="39"/>
  <c r="K65" i="39"/>
  <c r="L65" i="39"/>
  <c r="M65" i="39"/>
  <c r="N65" i="39"/>
  <c r="H66" i="39"/>
  <c r="I66" i="39"/>
  <c r="J66" i="39"/>
  <c r="K66" i="39"/>
  <c r="L66" i="39"/>
  <c r="M66" i="39"/>
  <c r="N66" i="39"/>
  <c r="H8" i="39"/>
  <c r="I8" i="39"/>
  <c r="J8" i="39"/>
  <c r="K8" i="39"/>
  <c r="L8" i="39"/>
  <c r="M8" i="39"/>
  <c r="N8" i="39"/>
  <c r="G11" i="39"/>
  <c r="G12" i="39"/>
  <c r="G13" i="39"/>
  <c r="G14" i="39"/>
  <c r="G15" i="39"/>
  <c r="G17" i="39"/>
  <c r="G56" i="39"/>
  <c r="G57" i="39"/>
  <c r="G18" i="39"/>
  <c r="G21" i="39"/>
  <c r="G27" i="39"/>
  <c r="G28" i="39"/>
  <c r="G31" i="39"/>
  <c r="G32" i="39"/>
  <c r="G33" i="39"/>
  <c r="G34" i="39"/>
  <c r="G35" i="39"/>
  <c r="G36" i="39"/>
  <c r="G37" i="39"/>
  <c r="G38" i="39"/>
  <c r="G42" i="39"/>
  <c r="G44" i="39"/>
  <c r="G46" i="39"/>
  <c r="G47" i="39"/>
  <c r="G48" i="39"/>
  <c r="G49" i="39"/>
  <c r="G50" i="39"/>
  <c r="G51" i="39"/>
  <c r="G52" i="39"/>
  <c r="G54" i="39"/>
  <c r="G58" i="39"/>
  <c r="G59" i="39"/>
  <c r="G60" i="39"/>
  <c r="G61" i="39"/>
  <c r="G62" i="39"/>
  <c r="G63" i="39"/>
  <c r="G64" i="39"/>
  <c r="G65" i="39"/>
  <c r="G66" i="39"/>
  <c r="B96" i="35"/>
  <c r="E101" i="35" s="1"/>
  <c r="B95" i="35"/>
  <c r="D105" i="35" s="1"/>
  <c r="B56" i="35"/>
  <c r="D62" i="35" s="1"/>
  <c r="B15" i="35"/>
  <c r="E37" i="35" s="1"/>
  <c r="E34" i="35"/>
  <c r="B14" i="35"/>
  <c r="D36" i="35" s="1"/>
  <c r="B23" i="29"/>
  <c r="E23" i="29" s="1"/>
  <c r="L21" i="39"/>
  <c r="L62" i="39"/>
  <c r="L60" i="39"/>
  <c r="L58" i="39"/>
  <c r="L27" i="39"/>
  <c r="K18" i="39"/>
  <c r="J59" i="39"/>
  <c r="J62" i="39"/>
  <c r="J21" i="39"/>
  <c r="K46" i="39"/>
  <c r="J60" i="39"/>
  <c r="K57" i="39"/>
  <c r="K48" i="39"/>
  <c r="J27" i="39"/>
  <c r="K36" i="39"/>
  <c r="J58" i="39"/>
  <c r="J32" i="39"/>
  <c r="J61" i="39"/>
  <c r="N36" i="39"/>
  <c r="L48" i="39"/>
  <c r="L46" i="39"/>
  <c r="L36" i="39"/>
  <c r="L51" i="39"/>
  <c r="L18" i="39"/>
  <c r="L56" i="39"/>
  <c r="L47" i="39"/>
  <c r="L57" i="39"/>
  <c r="N57" i="39"/>
  <c r="N46" i="39"/>
  <c r="N51" i="39"/>
  <c r="N56" i="39"/>
  <c r="N48" i="39"/>
  <c r="N18" i="39"/>
  <c r="N47" i="39"/>
  <c r="D73" i="35"/>
  <c r="E77" i="35"/>
  <c r="J14" i="50" s="1"/>
  <c r="D109" i="35"/>
  <c r="D116" i="35"/>
  <c r="E32" i="35"/>
  <c r="D114" i="35"/>
  <c r="D104" i="35"/>
  <c r="D115" i="35"/>
  <c r="D99" i="35"/>
  <c r="D117" i="35"/>
  <c r="D108" i="35"/>
  <c r="D110" i="35"/>
  <c r="D100" i="35"/>
  <c r="D103" i="35"/>
  <c r="D111" i="35"/>
  <c r="D112" i="35"/>
  <c r="E74" i="35"/>
  <c r="D64" i="35"/>
  <c r="B10" i="43"/>
  <c r="D14" i="43"/>
  <c r="D15" i="43"/>
  <c r="J11" i="50"/>
  <c r="D16" i="43"/>
  <c r="D17" i="43"/>
  <c r="D18" i="43"/>
  <c r="D13" i="43"/>
  <c r="D19" i="43" s="1"/>
  <c r="I11" i="50" s="1"/>
  <c r="D61" i="35"/>
  <c r="D75" i="35"/>
  <c r="D71" i="35"/>
  <c r="D78" i="35"/>
  <c r="E109" i="35"/>
  <c r="B7" i="50"/>
  <c r="B11" i="50"/>
  <c r="E20" i="35"/>
  <c r="E26" i="35"/>
  <c r="E22" i="35"/>
  <c r="E35" i="35"/>
  <c r="E36" i="35"/>
  <c r="J13" i="50" s="1"/>
  <c r="L38" i="36"/>
  <c r="L41" i="36"/>
  <c r="E117" i="35"/>
  <c r="E100" i="35"/>
  <c r="E114" i="35"/>
  <c r="E115" i="35"/>
  <c r="E102" i="35"/>
  <c r="E106" i="35"/>
  <c r="E116" i="35"/>
  <c r="J15" i="50" s="1"/>
  <c r="E105" i="35"/>
  <c r="E103" i="35"/>
  <c r="E104" i="35"/>
  <c r="E107" i="35"/>
  <c r="E111" i="35"/>
  <c r="E99" i="35"/>
  <c r="E110" i="35"/>
  <c r="L39" i="36"/>
  <c r="L40" i="36"/>
  <c r="K10" i="39"/>
  <c r="E24" i="29"/>
  <c r="E25" i="29"/>
  <c r="E21" i="29"/>
  <c r="E22" i="29"/>
  <c r="J15" i="42" l="1"/>
  <c r="K13" i="42"/>
  <c r="K7" i="42"/>
  <c r="O67" i="39"/>
  <c r="H7" i="50" s="1"/>
  <c r="G67" i="39"/>
  <c r="N67" i="39"/>
  <c r="H67" i="39"/>
  <c r="K67" i="39"/>
  <c r="M67" i="39"/>
  <c r="L67" i="39"/>
  <c r="J67" i="39"/>
  <c r="J7" i="50" s="1"/>
  <c r="I67" i="39"/>
  <c r="C40" i="49"/>
  <c r="L40" i="49" s="1"/>
  <c r="D32" i="36"/>
  <c r="L32" i="36" s="1"/>
  <c r="H54" i="36" s="1"/>
  <c r="D37" i="36"/>
  <c r="L37" i="36" s="1"/>
  <c r="E59" i="36" s="1"/>
  <c r="C41" i="49"/>
  <c r="C34" i="49"/>
  <c r="L34" i="49" s="1"/>
  <c r="C19" i="42"/>
  <c r="B19" i="42"/>
  <c r="E13" i="50"/>
  <c r="M22" i="35"/>
  <c r="M20" i="35"/>
  <c r="E26" i="30"/>
  <c r="E24" i="30"/>
  <c r="E27" i="30"/>
  <c r="E23" i="30"/>
  <c r="E22" i="30"/>
  <c r="E25" i="30"/>
  <c r="M25" i="35"/>
  <c r="G14" i="50"/>
  <c r="K15" i="42"/>
  <c r="B10" i="50" s="1"/>
  <c r="B18" i="42"/>
  <c r="C18" i="42"/>
  <c r="E19" i="28"/>
  <c r="E20" i="28" s="1"/>
  <c r="E41" i="28"/>
  <c r="E42" i="28" s="1"/>
  <c r="D19" i="28"/>
  <c r="D20" i="28" s="1"/>
  <c r="D41" i="28"/>
  <c r="D42" i="28" s="1"/>
  <c r="E58" i="36"/>
  <c r="K36" i="36"/>
  <c r="H58" i="36"/>
  <c r="K58" i="36"/>
  <c r="D6" i="28"/>
  <c r="B8" i="30"/>
  <c r="B12" i="30" s="1"/>
  <c r="B15" i="30" s="1"/>
  <c r="B6" i="29"/>
  <c r="B8" i="29" s="1"/>
  <c r="D30" i="36"/>
  <c r="L30" i="36" s="1"/>
  <c r="E27" i="35"/>
  <c r="E18" i="35"/>
  <c r="E19" i="35"/>
  <c r="D18" i="35"/>
  <c r="D21" i="35"/>
  <c r="E61" i="35"/>
  <c r="D31" i="36"/>
  <c r="L31" i="36" s="1"/>
  <c r="E108" i="35"/>
  <c r="E118" i="35" s="1"/>
  <c r="I15" i="50" s="1"/>
  <c r="E29" i="35"/>
  <c r="E112" i="35"/>
  <c r="E63" i="35"/>
  <c r="D102" i="35"/>
  <c r="D29" i="35"/>
  <c r="E69" i="35"/>
  <c r="D32" i="35"/>
  <c r="E62" i="35"/>
  <c r="K14" i="35"/>
  <c r="K23" i="35" s="1"/>
  <c r="B14" i="50" s="1"/>
  <c r="H15" i="42"/>
  <c r="B9" i="28"/>
  <c r="D9" i="28" s="1"/>
  <c r="E25" i="35"/>
  <c r="C35" i="49"/>
  <c r="D76" i="35"/>
  <c r="D33" i="35"/>
  <c r="D25" i="35"/>
  <c r="D63" i="35"/>
  <c r="D69" i="35"/>
  <c r="D33" i="36"/>
  <c r="L33" i="36" s="1"/>
  <c r="E76" i="35"/>
  <c r="D35" i="35"/>
  <c r="J12" i="35"/>
  <c r="J21" i="35" s="1"/>
  <c r="D20" i="35"/>
  <c r="D30" i="35"/>
  <c r="E33" i="35"/>
  <c r="D26" i="35"/>
  <c r="E113" i="35"/>
  <c r="E31" i="35"/>
  <c r="D66" i="35"/>
  <c r="E72" i="35"/>
  <c r="D22" i="35"/>
  <c r="D101" i="35"/>
  <c r="E71" i="35"/>
  <c r="D60" i="35"/>
  <c r="E65" i="35"/>
  <c r="D106" i="35"/>
  <c r="L12" i="35"/>
  <c r="L21" i="35" s="1"/>
  <c r="F15" i="50" s="1"/>
  <c r="J15" i="35"/>
  <c r="J24" i="35" s="1"/>
  <c r="D27" i="35"/>
  <c r="D35" i="36"/>
  <c r="L35" i="36" s="1"/>
  <c r="D28" i="35"/>
  <c r="D31" i="35"/>
  <c r="D72" i="35"/>
  <c r="E75" i="35"/>
  <c r="J14" i="35"/>
  <c r="J23" i="35" s="1"/>
  <c r="E67" i="35"/>
  <c r="E21" i="35"/>
  <c r="D70" i="35"/>
  <c r="D65" i="35"/>
  <c r="E66" i="35"/>
  <c r="E30" i="35"/>
  <c r="D74" i="35"/>
  <c r="E78" i="35"/>
  <c r="D77" i="35"/>
  <c r="D107" i="35"/>
  <c r="D19" i="35"/>
  <c r="D113" i="35"/>
  <c r="E64" i="35"/>
  <c r="E60" i="35"/>
  <c r="D34" i="36"/>
  <c r="L34" i="36" s="1"/>
  <c r="E23" i="35"/>
  <c r="D67" i="35"/>
  <c r="D68" i="35"/>
  <c r="E70" i="35"/>
  <c r="D23" i="35"/>
  <c r="D34" i="35"/>
  <c r="C13" i="50"/>
  <c r="D37" i="35"/>
  <c r="E28" i="35"/>
  <c r="D15" i="42"/>
  <c r="E73" i="35"/>
  <c r="N69" i="39" l="1"/>
  <c r="F70" i="39" s="1"/>
  <c r="I7" i="50" s="1"/>
  <c r="L69" i="39"/>
  <c r="M40" i="49"/>
  <c r="K37" i="36"/>
  <c r="J59" i="36" s="1"/>
  <c r="K59" i="36"/>
  <c r="H59" i="36"/>
  <c r="E54" i="36"/>
  <c r="K32" i="36"/>
  <c r="J54" i="36" s="1"/>
  <c r="K54" i="36"/>
  <c r="K40" i="49"/>
  <c r="K34" i="49"/>
  <c r="M34" i="49"/>
  <c r="K41" i="49"/>
  <c r="L41" i="49"/>
  <c r="M41" i="49"/>
  <c r="F26" i="30"/>
  <c r="F23" i="30"/>
  <c r="F24" i="30"/>
  <c r="B12" i="50" s="1"/>
  <c r="F27" i="30"/>
  <c r="F22" i="30"/>
  <c r="F25" i="30"/>
  <c r="F13" i="50"/>
  <c r="M21" i="35"/>
  <c r="C20" i="42"/>
  <c r="C21" i="42" s="1"/>
  <c r="B20" i="42"/>
  <c r="B21" i="42" s="1"/>
  <c r="D58" i="36"/>
  <c r="G58" i="36"/>
  <c r="J58" i="36"/>
  <c r="M23" i="35"/>
  <c r="B13" i="50"/>
  <c r="H55" i="36"/>
  <c r="E55" i="36"/>
  <c r="K33" i="36"/>
  <c r="K55" i="36"/>
  <c r="E38" i="35"/>
  <c r="I13" i="50" s="1"/>
  <c r="D46" i="28"/>
  <c r="D47" i="28"/>
  <c r="D50" i="28" s="1"/>
  <c r="D43" i="28"/>
  <c r="K35" i="36"/>
  <c r="H57" i="36"/>
  <c r="E57" i="36"/>
  <c r="K57" i="36"/>
  <c r="K52" i="36"/>
  <c r="L42" i="36"/>
  <c r="E52" i="36"/>
  <c r="K30" i="36"/>
  <c r="H52" i="36"/>
  <c r="L43" i="36"/>
  <c r="B8" i="50" s="1"/>
  <c r="D21" i="28"/>
  <c r="D24" i="28"/>
  <c r="D25" i="28"/>
  <c r="D28" i="28" s="1"/>
  <c r="E43" i="28"/>
  <c r="E47" i="28"/>
  <c r="E50" i="28" s="1"/>
  <c r="E46" i="28"/>
  <c r="D13" i="50"/>
  <c r="M24" i="35"/>
  <c r="B7" i="33"/>
  <c r="F23" i="29"/>
  <c r="B11" i="29"/>
  <c r="E24" i="28"/>
  <c r="E25" i="28"/>
  <c r="E28" i="28" s="1"/>
  <c r="E21" i="28"/>
  <c r="H56" i="36"/>
  <c r="K56" i="36"/>
  <c r="K34" i="36"/>
  <c r="E56" i="36"/>
  <c r="E79" i="35"/>
  <c r="I14" i="50" s="1"/>
  <c r="B41" i="28"/>
  <c r="B42" i="28" s="1"/>
  <c r="B19" i="28"/>
  <c r="B20" i="28" s="1"/>
  <c r="K35" i="49"/>
  <c r="M35" i="49"/>
  <c r="L35" i="49"/>
  <c r="F41" i="28"/>
  <c r="F42" i="28" s="1"/>
  <c r="F19" i="28"/>
  <c r="F20" i="28" s="1"/>
  <c r="K53" i="36"/>
  <c r="E53" i="36"/>
  <c r="H53" i="36"/>
  <c r="K31" i="36"/>
  <c r="G59" i="36" l="1"/>
  <c r="D59" i="36"/>
  <c r="G54" i="36"/>
  <c r="D54" i="36"/>
  <c r="E60" i="36"/>
  <c r="K60" i="36"/>
  <c r="E34" i="42"/>
  <c r="E36" i="42"/>
  <c r="J10" i="50" s="1"/>
  <c r="E37" i="42"/>
  <c r="E39" i="42"/>
  <c r="E40" i="42"/>
  <c r="H10" i="50" s="1"/>
  <c r="E38" i="42"/>
  <c r="E35" i="42"/>
  <c r="D38" i="42"/>
  <c r="D40" i="42"/>
  <c r="D37" i="42"/>
  <c r="D36" i="42"/>
  <c r="D34" i="42"/>
  <c r="D39" i="42"/>
  <c r="D35" i="42"/>
  <c r="J53" i="36"/>
  <c r="G53" i="36"/>
  <c r="D53" i="36"/>
  <c r="F21" i="28"/>
  <c r="F24" i="28"/>
  <c r="F25" i="28"/>
  <c r="F28" i="28" s="1"/>
  <c r="D57" i="36"/>
  <c r="G57" i="36"/>
  <c r="J57" i="36"/>
  <c r="D26" i="28"/>
  <c r="D27" i="28"/>
  <c r="D29" i="28" s="1"/>
  <c r="G56" i="36"/>
  <c r="J56" i="36"/>
  <c r="D56" i="36"/>
  <c r="E27" i="28"/>
  <c r="E29" i="28" s="1"/>
  <c r="E26" i="28"/>
  <c r="D49" i="28"/>
  <c r="D51" i="28" s="1"/>
  <c r="D48" i="28"/>
  <c r="F46" i="28"/>
  <c r="F47" i="28"/>
  <c r="F50" i="28" s="1"/>
  <c r="F43" i="28"/>
  <c r="F21" i="29"/>
  <c r="C12" i="50" s="1"/>
  <c r="C16" i="50" s="1"/>
  <c r="F25" i="29"/>
  <c r="G12" i="50" s="1"/>
  <c r="G16" i="50" s="1"/>
  <c r="F22" i="29"/>
  <c r="D12" i="50" s="1"/>
  <c r="D16" i="50" s="1"/>
  <c r="F24" i="29"/>
  <c r="F12" i="50" s="1"/>
  <c r="F16" i="50" s="1"/>
  <c r="H60" i="36"/>
  <c r="J8" i="50" s="1"/>
  <c r="B43" i="28"/>
  <c r="B46" i="28"/>
  <c r="B47" i="28"/>
  <c r="B50" i="28" s="1"/>
  <c r="E49" i="28"/>
  <c r="E51" i="28" s="1"/>
  <c r="E48" i="28"/>
  <c r="G55" i="36"/>
  <c r="J55" i="36"/>
  <c r="D55" i="36"/>
  <c r="B25" i="28"/>
  <c r="B28" i="28" s="1"/>
  <c r="B21" i="28"/>
  <c r="B24" i="28"/>
  <c r="E12" i="50"/>
  <c r="E16" i="50" s="1"/>
  <c r="G52" i="36"/>
  <c r="D52" i="36"/>
  <c r="J52" i="36"/>
  <c r="D10" i="33"/>
  <c r="D23" i="33"/>
  <c r="D24" i="33"/>
  <c r="D18" i="33"/>
  <c r="D12" i="33"/>
  <c r="D21" i="33"/>
  <c r="D9" i="33"/>
  <c r="D17" i="33"/>
  <c r="D15" i="33"/>
  <c r="D25" i="33"/>
  <c r="D13" i="33"/>
  <c r="D26" i="33"/>
  <c r="J12" i="50" s="1"/>
  <c r="D27" i="33"/>
  <c r="D11" i="33"/>
  <c r="D14" i="33"/>
  <c r="D20" i="33"/>
  <c r="D16" i="33"/>
  <c r="D19" i="33"/>
  <c r="D22" i="33"/>
  <c r="E41" i="42" l="1"/>
  <c r="I10" i="50" s="1"/>
  <c r="D41" i="42"/>
  <c r="J60" i="36"/>
  <c r="D60" i="36"/>
  <c r="B49" i="28"/>
  <c r="B51" i="28" s="1"/>
  <c r="B48" i="28"/>
  <c r="F27" i="28"/>
  <c r="F29" i="28" s="1"/>
  <c r="F26" i="28"/>
  <c r="B26" i="28"/>
  <c r="B27" i="28"/>
  <c r="B29" i="28" s="1"/>
  <c r="D28" i="33"/>
  <c r="I12" i="50" s="1"/>
  <c r="F49" i="28"/>
  <c r="F51" i="28" s="1"/>
  <c r="I79" i="28" s="1"/>
  <c r="F48" i="28"/>
  <c r="B62" i="36"/>
  <c r="I8" i="50" s="1"/>
  <c r="G60" i="36"/>
  <c r="F30" i="28" l="1"/>
  <c r="T63" i="28"/>
  <c r="O79" i="28" s="1"/>
  <c r="J63" i="28"/>
  <c r="J79" i="28" s="1"/>
  <c r="L63" i="28"/>
  <c r="K79" i="28" s="1"/>
  <c r="R62" i="28"/>
  <c r="L62" i="28"/>
  <c r="J62" i="28"/>
  <c r="P62" i="28"/>
  <c r="N62" i="28"/>
  <c r="V62" i="28"/>
  <c r="T62" i="28"/>
  <c r="F52" i="28"/>
  <c r="I78" i="28"/>
  <c r="B9" i="50" l="1"/>
  <c r="B16" i="50" s="1"/>
  <c r="O78" i="28"/>
  <c r="T64" i="28"/>
  <c r="K78" i="28"/>
  <c r="L64" i="28"/>
  <c r="J9" i="50" s="1"/>
  <c r="J16" i="50" s="1"/>
  <c r="V64" i="28"/>
  <c r="H9" i="50" s="1"/>
  <c r="H16" i="50" s="1"/>
  <c r="P78" i="28"/>
  <c r="P64" i="28"/>
  <c r="M78" i="28"/>
  <c r="N78" i="28"/>
  <c r="R64" i="28"/>
  <c r="L78" i="28"/>
  <c r="N64" i="28"/>
  <c r="J64" i="28"/>
  <c r="J78" i="28"/>
  <c r="I69" i="28" l="1"/>
  <c r="I9" i="50" s="1"/>
  <c r="I16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Candee Hatch</author>
  </authors>
  <commentList>
    <comment ref="B18" authorId="0" shapeId="0" xr:uid="{00000000-0006-0000-0400-000001000000}">
      <text>
        <r>
          <rPr>
            <b/>
            <sz val="9"/>
            <color rgb="FF000000"/>
            <rFont val="Calibri"/>
            <family val="2"/>
          </rPr>
          <t>Candee Hatch: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This factor compares to EF in Table 5.2-6 for RVP crude of 1.0 lb/1000 gal. </t>
        </r>
      </text>
    </comment>
  </commentList>
</comments>
</file>

<file path=xl/sharedStrings.xml><?xml version="1.0" encoding="utf-8"?>
<sst xmlns="http://schemas.openxmlformats.org/spreadsheetml/2006/main" count="1114" uniqueCount="481">
  <si>
    <t>Tank Contents</t>
  </si>
  <si>
    <t>EXTANK 105</t>
  </si>
  <si>
    <t>VOC</t>
  </si>
  <si>
    <t>EXTANK 106</t>
  </si>
  <si>
    <t>INTANK 63</t>
  </si>
  <si>
    <t>INTANK 71</t>
  </si>
  <si>
    <t>Av-Gas</t>
  </si>
  <si>
    <t>INTANK 104</t>
  </si>
  <si>
    <t>INTANK 114</t>
  </si>
  <si>
    <t>FIXTANK 167</t>
  </si>
  <si>
    <t>FIXTANK 168</t>
  </si>
  <si>
    <t>FIXTANK 169</t>
  </si>
  <si>
    <t>FIXTANK 202</t>
  </si>
  <si>
    <t>FIXTANK 209</t>
  </si>
  <si>
    <t>FIXTANK 211</t>
  </si>
  <si>
    <t>FIXTANK 213</t>
  </si>
  <si>
    <t>FIXTANK 306</t>
  </si>
  <si>
    <t>FIXTANK 66</t>
  </si>
  <si>
    <t>FIXTANK 67</t>
  </si>
  <si>
    <t>FIXTANK 69</t>
  </si>
  <si>
    <t>FIXTANK 70</t>
  </si>
  <si>
    <t>FIXTANK 74</t>
  </si>
  <si>
    <t>FIXTANK 93</t>
  </si>
  <si>
    <t>FIXTANK 100</t>
  </si>
  <si>
    <t>FIXTANK 101</t>
  </si>
  <si>
    <t>FIXTANK 102</t>
  </si>
  <si>
    <t>FIXTANK 110</t>
  </si>
  <si>
    <t>FIXTANK 111</t>
  </si>
  <si>
    <t>FIXTANK 112</t>
  </si>
  <si>
    <t>FIXTANK 121</t>
  </si>
  <si>
    <t>FIXTANK 122</t>
  </si>
  <si>
    <t>FIXTANK 123</t>
  </si>
  <si>
    <t>FIXTANK 124</t>
  </si>
  <si>
    <t>FIXTANK 125</t>
  </si>
  <si>
    <t>FIXTANK 126</t>
  </si>
  <si>
    <t>FIXTANK 127</t>
  </si>
  <si>
    <t>FIXTANK 128</t>
  </si>
  <si>
    <t>FIXTANK 129</t>
  </si>
  <si>
    <t>FIXTANK 170</t>
  </si>
  <si>
    <t>FIXTANK 171</t>
  </si>
  <si>
    <t>FIXTANK 172</t>
  </si>
  <si>
    <t>FIXTANK 173</t>
  </si>
  <si>
    <t>FIXTANK 174</t>
  </si>
  <si>
    <t>FIXTANK 182</t>
  </si>
  <si>
    <t>FIXTANK 183</t>
  </si>
  <si>
    <t>FIXTANK 184</t>
  </si>
  <si>
    <t>FIXTANK 185</t>
  </si>
  <si>
    <t>Total</t>
  </si>
  <si>
    <t>Acetaldehyde</t>
  </si>
  <si>
    <t>Acrolein</t>
  </si>
  <si>
    <t>Benzene</t>
  </si>
  <si>
    <t>Ethyl benzene</t>
  </si>
  <si>
    <t>Formaldehyde</t>
  </si>
  <si>
    <t>Hexane</t>
  </si>
  <si>
    <t>Toluene</t>
  </si>
  <si>
    <t>Naphthalene</t>
  </si>
  <si>
    <t>VOC Emissions</t>
  </si>
  <si>
    <t>Emissions</t>
  </si>
  <si>
    <t>EU ID</t>
  </si>
  <si>
    <t>Emission Factor</t>
  </si>
  <si>
    <t>CAS</t>
  </si>
  <si>
    <t>CAS #</t>
  </si>
  <si>
    <t>lb/yr</t>
  </si>
  <si>
    <t>Total VOC</t>
  </si>
  <si>
    <t>Product</t>
  </si>
  <si>
    <t>Crude Oil</t>
  </si>
  <si>
    <t>Wastewater</t>
  </si>
  <si>
    <t>Biodiesel</t>
  </si>
  <si>
    <t>F2</t>
  </si>
  <si>
    <t>B4</t>
  </si>
  <si>
    <t>B5</t>
  </si>
  <si>
    <t>Notes:</t>
  </si>
  <si>
    <t xml:space="preserve"> </t>
  </si>
  <si>
    <t>bbl/yr</t>
  </si>
  <si>
    <t>Gal/bbl</t>
  </si>
  <si>
    <t>gallons/yr</t>
  </si>
  <si>
    <t>Product Unloaded/Loaded Per Year, gallons:</t>
  </si>
  <si>
    <t>Uncontrolled Theoretical Emissions, pounds/year:</t>
  </si>
  <si>
    <t>Uncontrolled Theoretical Emissions, tons/year:</t>
  </si>
  <si>
    <t xml:space="preserve">            P = True Vapor Pressure of Material Loaded, psia </t>
  </si>
  <si>
    <t>VCU Control Efficiency</t>
  </si>
  <si>
    <t xml:space="preserve">            M = Molecular Weight of Material Loaded </t>
  </si>
  <si>
    <t>Capture Efficiency</t>
  </si>
  <si>
    <r>
      <t xml:space="preserve">            T = Temperature of Material Loaded = R = </t>
    </r>
    <r>
      <rPr>
        <vertAlign val="superscript"/>
        <sz val="11"/>
        <rFont val="Calibri"/>
        <family val="2"/>
      </rPr>
      <t>O</t>
    </r>
    <r>
      <rPr>
        <sz val="11"/>
        <rFont val="Calibri"/>
        <family val="2"/>
      </rPr>
      <t>F+ 460</t>
    </r>
  </si>
  <si>
    <t>Uncaptured VOC emissions, lb/yr</t>
  </si>
  <si>
    <t>lb/1000 gal</t>
  </si>
  <si>
    <t>(AP-42 Section 5.2, Table 5.2-3) Losses from vapors in vessel when it is received</t>
  </si>
  <si>
    <t>Total VOC emissions, lb/yr</t>
  </si>
  <si>
    <t>Uncaptured VOC emissions, tons/yr</t>
  </si>
  <si>
    <t>Total VOC emissions, tons/yr</t>
  </si>
  <si>
    <t>OR</t>
  </si>
  <si>
    <t xml:space="preserve"> Product Unloaded/Loaded Per Year, gallons:</t>
  </si>
  <si>
    <t>Uncontrolled Theoretical Emissions, pounds/yr</t>
  </si>
  <si>
    <t>Uncontrolled Theoretical Emissions, tons/yr:</t>
  </si>
  <si>
    <t>hr/yr</t>
  </si>
  <si>
    <t>Volume per bbl</t>
  </si>
  <si>
    <t>scf/bbl</t>
  </si>
  <si>
    <t>conversion constant</t>
  </si>
  <si>
    <t>Vapor quantity</t>
  </si>
  <si>
    <t>scf/yr</t>
  </si>
  <si>
    <t>Displaced vapor volume released when loading</t>
  </si>
  <si>
    <t>scf/hr</t>
  </si>
  <si>
    <t>Heat Input to VCU</t>
  </si>
  <si>
    <t>Btu/scf</t>
  </si>
  <si>
    <t>Heat content of vapors</t>
  </si>
  <si>
    <t>MM Btu/yr</t>
  </si>
  <si>
    <t>Heat input to VCU</t>
  </si>
  <si>
    <t>MM Btu/hr</t>
  </si>
  <si>
    <t>H2S content of vapor</t>
  </si>
  <si>
    <t>ppm</t>
  </si>
  <si>
    <t xml:space="preserve">OSHA peak worker exposure limit </t>
  </si>
  <si>
    <t>Factor</t>
  </si>
  <si>
    <t>Units</t>
  </si>
  <si>
    <t>Reference</t>
  </si>
  <si>
    <t>lb/hour</t>
  </si>
  <si>
    <t>tons/yr</t>
  </si>
  <si>
    <t>NOx</t>
  </si>
  <si>
    <t>lb/MM Btu</t>
  </si>
  <si>
    <t>VCU Vendor</t>
  </si>
  <si>
    <t>CO</t>
  </si>
  <si>
    <t>SO2*</t>
  </si>
  <si>
    <t>lb/scf</t>
  </si>
  <si>
    <t>Estimate</t>
  </si>
  <si>
    <t>PM10/PM2.5</t>
  </si>
  <si>
    <t>DEQ, AQ-EF05</t>
  </si>
  <si>
    <t>GHG (CO2e)</t>
  </si>
  <si>
    <t>vessels/yr</t>
  </si>
  <si>
    <t>hr/vessel</t>
  </si>
  <si>
    <t>Natural gas useage</t>
  </si>
  <si>
    <t>cf/vessel</t>
  </si>
  <si>
    <t>at 500 cfm for first 30 min and 100 cfm for remainer of load</t>
  </si>
  <si>
    <t>(peak hour is 18,000 cf/hr for first hour)</t>
  </si>
  <si>
    <t>cf/yr</t>
  </si>
  <si>
    <t>Natural gas heat content</t>
  </si>
  <si>
    <t>Btu/cf</t>
  </si>
  <si>
    <t>Natural gas heat input</t>
  </si>
  <si>
    <t>(peak hour is 18.36 MM Btu/hr for first hour)</t>
  </si>
  <si>
    <t>SO2</t>
  </si>
  <si>
    <t>Conversion</t>
  </si>
  <si>
    <t>lb/kg</t>
  </si>
  <si>
    <t>Emissions (lb/yr)</t>
  </si>
  <si>
    <t>MM cf/yr</t>
  </si>
  <si>
    <t>Ethylbenzene</t>
  </si>
  <si>
    <t>Emissions (lb/day)</t>
  </si>
  <si>
    <t>110-54-3</t>
  </si>
  <si>
    <t>71-43-2</t>
  </si>
  <si>
    <t>108-88-3</t>
  </si>
  <si>
    <t>1330-20-7</t>
  </si>
  <si>
    <t>100-41-4</t>
  </si>
  <si>
    <t>91-20-3</t>
  </si>
  <si>
    <t>50-00-0</t>
  </si>
  <si>
    <t>75-07-0</t>
  </si>
  <si>
    <t>107-02-8</t>
  </si>
  <si>
    <t>Arsenic and compounds</t>
  </si>
  <si>
    <t>7440-38-2</t>
  </si>
  <si>
    <t>Beryllium and compounds</t>
  </si>
  <si>
    <t>7440-41-7</t>
  </si>
  <si>
    <t>Cadmium and compounds</t>
  </si>
  <si>
    <t>7440-43-9</t>
  </si>
  <si>
    <t>Chromium VI</t>
  </si>
  <si>
    <t>Cobalt and compounds</t>
  </si>
  <si>
    <t>7440-48-4</t>
  </si>
  <si>
    <t>Manganese and compounds</t>
  </si>
  <si>
    <t>7439-96-5</t>
  </si>
  <si>
    <t>Mercury and compounds</t>
  </si>
  <si>
    <t>7439-97-6</t>
  </si>
  <si>
    <t>Nickel and compounds</t>
  </si>
  <si>
    <t>7440-02-0</t>
  </si>
  <si>
    <t>Selenium and compounds</t>
  </si>
  <si>
    <t>7782-49-2</t>
  </si>
  <si>
    <t>Xylene (mixture), including m-xylene, o-xylene, p-xylene</t>
  </si>
  <si>
    <t>lb/day</t>
  </si>
  <si>
    <t>18540-29-9</t>
  </si>
  <si>
    <t>106-93-4</t>
  </si>
  <si>
    <t>7783-06-4</t>
  </si>
  <si>
    <t>PAH</t>
  </si>
  <si>
    <t>Rated Capacity</t>
  </si>
  <si>
    <t>HHV NG</t>
  </si>
  <si>
    <t>MMBtu/hr</t>
  </si>
  <si>
    <t>Btu/CF</t>
  </si>
  <si>
    <t>Daily Operating Hours</t>
  </si>
  <si>
    <t>Daily Operating Capacity</t>
  </si>
  <si>
    <t>hr/day</t>
  </si>
  <si>
    <t>Annual Operating Hours</t>
  </si>
  <si>
    <t>Annual Operating Capacity</t>
  </si>
  <si>
    <t>Natural Gas Usage</t>
  </si>
  <si>
    <t>MM cf/day</t>
  </si>
  <si>
    <t>VOC EF=</t>
  </si>
  <si>
    <t>(12.46 x S x P x M)</t>
  </si>
  <si>
    <t>(AP-42 Section 5.2, Equation 1)</t>
  </si>
  <si>
    <t>T</t>
  </si>
  <si>
    <t>VOC Emission factor for loading (lb/1000 gal)</t>
  </si>
  <si>
    <t>S=</t>
  </si>
  <si>
    <t>P=</t>
  </si>
  <si>
    <t>true vapor pressure in psi at the loading temperature</t>
  </si>
  <si>
    <t>M=</t>
  </si>
  <si>
    <t>molecular weight of vapor</t>
  </si>
  <si>
    <t>T=</t>
  </si>
  <si>
    <t>temperature in Rankine</t>
  </si>
  <si>
    <t>P</t>
  </si>
  <si>
    <t>M</t>
  </si>
  <si>
    <t>S</t>
  </si>
  <si>
    <t>EXTANK 120</t>
  </si>
  <si>
    <t>INTANK 68</t>
  </si>
  <si>
    <t>INTANK 95</t>
  </si>
  <si>
    <t>INTANK 130</t>
  </si>
  <si>
    <t>FIXTANK 113</t>
  </si>
  <si>
    <t>Ethanol</t>
  </si>
  <si>
    <t>TRACK_5</t>
  </si>
  <si>
    <t>TRACK_6</t>
  </si>
  <si>
    <t>TRACK_7</t>
  </si>
  <si>
    <t>TRACK_8</t>
  </si>
  <si>
    <t>Service</t>
  </si>
  <si>
    <t>TOTAL</t>
  </si>
  <si>
    <t>Annual Throughput
(bbl/year)</t>
  </si>
  <si>
    <t>Annual divided by 365</t>
  </si>
  <si>
    <t>Daily Emissions (lb/day)</t>
  </si>
  <si>
    <t>References/Remarks</t>
  </si>
  <si>
    <t>(1)</t>
  </si>
  <si>
    <t>(2)</t>
  </si>
  <si>
    <t>Total lb/yr:</t>
  </si>
  <si>
    <t>All</t>
  </si>
  <si>
    <t>Connectors (C)</t>
  </si>
  <si>
    <t>G</t>
  </si>
  <si>
    <t>Pressure Relief Valves (PRV)</t>
  </si>
  <si>
    <t>LL</t>
  </si>
  <si>
    <t>Pump Seals (P)</t>
  </si>
  <si>
    <t>HL</t>
  </si>
  <si>
    <t>Valves (V)</t>
  </si>
  <si>
    <t>Operating time period (hr/year)</t>
  </si>
  <si>
    <t>Type</t>
  </si>
  <si>
    <t>Refinery</t>
  </si>
  <si>
    <t>Location/Facility</t>
  </si>
  <si>
    <t>VOC Emissions (lb/yr)</t>
  </si>
  <si>
    <t>Terminal</t>
  </si>
  <si>
    <t>VOC Emissions (lb/day)</t>
  </si>
  <si>
    <t>Throughput (bbl/yr)</t>
  </si>
  <si>
    <t>HAP</t>
  </si>
  <si>
    <t>TRACK_RC_2</t>
  </si>
  <si>
    <t>TRACK_RC_3</t>
  </si>
  <si>
    <t>TRACK_RC_4_Future</t>
  </si>
  <si>
    <t>TRACK_RC_7_Future</t>
  </si>
  <si>
    <t>TRACK_RC_5_Future</t>
  </si>
  <si>
    <t>TRACK_RC_6_Future</t>
  </si>
  <si>
    <t>H2S</t>
  </si>
  <si>
    <t>gal/yr</t>
  </si>
  <si>
    <t>saturation factor (0.6 for submerged loading dedicated service)</t>
  </si>
  <si>
    <t>Annual VOC Emissions (lb/year)</t>
  </si>
  <si>
    <t>Tank Number</t>
  </si>
  <si>
    <t>tpy</t>
  </si>
  <si>
    <t>VOC emissions based on AP-42 - Chapter 7.1 Organic Liquid Storage Tanks</t>
  </si>
  <si>
    <t>PAHs (excluding Naphthalene)</t>
  </si>
  <si>
    <t>Volume of combusted gases**</t>
  </si>
  <si>
    <t>Emission Factor* (lb/MMCF)</t>
  </si>
  <si>
    <t>Oil/Water Separator Permitting Maximum Throughpput</t>
  </si>
  <si>
    <t>Permit VOC Emission Factor</t>
  </si>
  <si>
    <t>VOC Emissions (tons/year)</t>
  </si>
  <si>
    <t>Source ID</t>
  </si>
  <si>
    <t>EXTANK</t>
  </si>
  <si>
    <t>INTANK</t>
  </si>
  <si>
    <t>FIXTANK             (&gt;39,000 gal.)</t>
  </si>
  <si>
    <t>No loading</t>
  </si>
  <si>
    <t>Terminal - Truck</t>
  </si>
  <si>
    <t>Terminal - Rail</t>
  </si>
  <si>
    <r>
      <t>Where</t>
    </r>
    <r>
      <rPr>
        <sz val="11"/>
        <rFont val="Calibri"/>
        <family val="2"/>
      </rPr>
      <t>: CL = Loading Loss (lb/1000 gal)</t>
    </r>
  </si>
  <si>
    <t>vapor growth factor (G)</t>
  </si>
  <si>
    <t>True Vapor Pressure of Liquid Loaded, psia (P)</t>
  </si>
  <si>
    <t>Vapor Molecular Weight, pounds per pound-mole (M)</t>
  </si>
  <si>
    <t>Temperature of Liquid Loaded, R (T)</t>
  </si>
  <si>
    <t>Generated Loss (Cg), lb/1000 gallons:</t>
  </si>
  <si>
    <t>Loading loss  (Cg+Ca) incluing arrival losses, lb/1000 gallons</t>
  </si>
  <si>
    <t>Cg = 1.84*(0.44 * P - 0.42) * M * G/T (AP-42, Section 5.2, Equation 3)</t>
  </si>
  <si>
    <t>Ca arrival factor</t>
  </si>
  <si>
    <t>CL = Ca + Cg (use for Crude Oil Loading in marine vessels)</t>
  </si>
  <si>
    <t>MMCF/hr</t>
  </si>
  <si>
    <t>lb/MMCF</t>
  </si>
  <si>
    <t>lb/hr</t>
  </si>
  <si>
    <t>EF</t>
  </si>
  <si>
    <t>Pollutant</t>
  </si>
  <si>
    <t>Hourly Emissions</t>
  </si>
  <si>
    <t>Unit</t>
  </si>
  <si>
    <t>PM2.5</t>
  </si>
  <si>
    <t>Distillates</t>
  </si>
  <si>
    <t>Renewable Naphtha</t>
  </si>
  <si>
    <t>FIXTANK 166</t>
  </si>
  <si>
    <t>FIXTANK 179</t>
  </si>
  <si>
    <t>FIXTANK 180</t>
  </si>
  <si>
    <t>FIXTANK 203</t>
  </si>
  <si>
    <t>FIXTANK 204</t>
  </si>
  <si>
    <t>FIXTANK 205</t>
  </si>
  <si>
    <t>FIXTANK 207</t>
  </si>
  <si>
    <t>FIXTANK 208</t>
  </si>
  <si>
    <t>FIXTANK 307</t>
  </si>
  <si>
    <t>FIXTANK 317</t>
  </si>
  <si>
    <t>Aviation Gasoline</t>
  </si>
  <si>
    <t>Renewable Diesel</t>
  </si>
  <si>
    <t>Ultra Low Sulfur Diesel</t>
  </si>
  <si>
    <t>Jet Fuel</t>
  </si>
  <si>
    <t>Sustainable Aviation Fuel</t>
  </si>
  <si>
    <t>Ethanol denatured with up to 5% gasoline</t>
  </si>
  <si>
    <t>Renewable Feedstocks</t>
  </si>
  <si>
    <t>Soybean Oil</t>
  </si>
  <si>
    <t>Distillers Corn Oil</t>
  </si>
  <si>
    <t>Used Cooking Oil</t>
  </si>
  <si>
    <t>Yellow Grease</t>
  </si>
  <si>
    <t>Tallow</t>
  </si>
  <si>
    <t xml:space="preserve">Choice White Grease </t>
  </si>
  <si>
    <t>Camelina Oil</t>
  </si>
  <si>
    <t>Carninata Oil</t>
  </si>
  <si>
    <t>Canola Oil</t>
  </si>
  <si>
    <t>Bakken Crude</t>
  </si>
  <si>
    <t>No. 6 Fuel Oil</t>
  </si>
  <si>
    <t>Crude Oil (including Bakken Crude)</t>
  </si>
  <si>
    <t>truck</t>
  </si>
  <si>
    <t>rail</t>
  </si>
  <si>
    <t xml:space="preserve"> marine</t>
  </si>
  <si>
    <t>Open Ended Lines</t>
  </si>
  <si>
    <t>Terminal Emissions (lb/hr)</t>
  </si>
  <si>
    <r>
      <t xml:space="preserve">EF for Terminal* </t>
    </r>
    <r>
      <rPr>
        <sz val="8"/>
        <rFont val="Arial"/>
        <family val="2"/>
      </rPr>
      <t>(kg/hr/component)</t>
    </r>
  </si>
  <si>
    <t>Terminal Components</t>
  </si>
  <si>
    <t>Group</t>
  </si>
  <si>
    <t xml:space="preserve">Aviation Gasoline </t>
  </si>
  <si>
    <t>(outbound 100% pipeline)</t>
  </si>
  <si>
    <t>Terminal Manifest</t>
  </si>
  <si>
    <t>Terminal Rack Manifest Emissions (lb/hr)</t>
  </si>
  <si>
    <t>Crude Oil Emission Factor (Ref: AP-42, Section 5.2, Equation 2):</t>
  </si>
  <si>
    <t>Crude</t>
  </si>
  <si>
    <t>Non-Crude</t>
  </si>
  <si>
    <t>Non-Crude Loading</t>
  </si>
  <si>
    <t>Crude Loading</t>
  </si>
  <si>
    <t>Emission Factor (Ref: AP-42, Section 5.2, Equation 1):</t>
  </si>
  <si>
    <r>
      <t>Where</t>
    </r>
    <r>
      <rPr>
        <sz val="11"/>
        <rFont val="Calibri"/>
        <family val="2"/>
      </rPr>
      <t>: L = Loading Loss (lb/1000 gal)</t>
    </r>
  </si>
  <si>
    <t>L= 12.46*S*P*M/T</t>
  </si>
  <si>
    <t>S = Saturation factor (AP-42, Section 5.2, Table 5.2-1)</t>
  </si>
  <si>
    <t>Saturation factor (S)</t>
  </si>
  <si>
    <t>Temperature of Liquid Loaded, oR (T)</t>
  </si>
  <si>
    <t>Generated Loss (L), lb/1000 gallons:</t>
  </si>
  <si>
    <t>Loading loss  (L+Ca) incluing arrival losses, lb/1000 gallons</t>
  </si>
  <si>
    <t>Product Loaded Per Year, gallons:</t>
  </si>
  <si>
    <t>Product loaded</t>
  </si>
  <si>
    <t>Source</t>
  </si>
  <si>
    <t>PM/PM10/PM2.5</t>
  </si>
  <si>
    <t>Boiler (B4)</t>
  </si>
  <si>
    <t>Boiler (B5)</t>
  </si>
  <si>
    <t>Marine VCU (MVCU)</t>
  </si>
  <si>
    <t>Marine Loading (MLOAD)</t>
  </si>
  <si>
    <t>Tanks (EXTANK/INTANK/FIXTANK)</t>
  </si>
  <si>
    <t>Truck &amp; Rail Loading Racks (TRACK)</t>
  </si>
  <si>
    <t>Oil/Water Separator (OIL/W)</t>
  </si>
  <si>
    <t>Facility Total</t>
  </si>
  <si>
    <t>Marine Components</t>
  </si>
  <si>
    <t>GHG CO2e</t>
  </si>
  <si>
    <t>Marine</t>
  </si>
  <si>
    <t>Marine Emissions (lb/hr)</t>
  </si>
  <si>
    <t>Throughput is peak year in last 5 years (2016 at 18.5 million gal/yr) + 50%</t>
  </si>
  <si>
    <t>Product Throughput to Marine Loading</t>
  </si>
  <si>
    <t>Outbound (bbl/yr)</t>
  </si>
  <si>
    <t>Ethanol (E95)</t>
  </si>
  <si>
    <t>FIXTANK             (&lt;39,000 gal.)</t>
  </si>
  <si>
    <t>composite CO2, CH4, N2O for LPG, 40 CFR Part 98, Tables C-1 &amp; C-2</t>
  </si>
  <si>
    <t>composite CO2, CH4, N2O, 40 CFR Part 98, Tables C-1 &amp; C-2</t>
  </si>
  <si>
    <t>GHG (CO2e)- Anthropogenic</t>
  </si>
  <si>
    <t>Anthropogenic</t>
  </si>
  <si>
    <t>of terminal throughput</t>
  </si>
  <si>
    <t>weight percent</t>
  </si>
  <si>
    <t>benzene</t>
  </si>
  <si>
    <t>toluene</t>
  </si>
  <si>
    <t>naphthalene</t>
  </si>
  <si>
    <t>fraction by weight*</t>
  </si>
  <si>
    <t>Loading Total</t>
  </si>
  <si>
    <t>HAP Total</t>
  </si>
  <si>
    <t>HAPs</t>
  </si>
  <si>
    <t>Summary of Annual Terminal Emissions</t>
  </si>
  <si>
    <t>(3)</t>
  </si>
  <si>
    <t>(4)</t>
  </si>
  <si>
    <t>(5)</t>
  </si>
  <si>
    <t>(1) SDS for Bakken Crude Oil, Tesoro, 3/7/2018</t>
  </si>
  <si>
    <t>(2) SDS for Aviation Gasoline, Chevron, 12/7/2015</t>
  </si>
  <si>
    <t>(4) SDS for Renewable Naphtha, Neste, 3/25/2022</t>
  </si>
  <si>
    <t>(5) SDS for Denatured Ethanol, Citgo, 12/2/2015</t>
  </si>
  <si>
    <t>Ethylene Dibromide</t>
  </si>
  <si>
    <t>Weight Percent</t>
  </si>
  <si>
    <t>Combined Total</t>
  </si>
  <si>
    <t>Largest Individual</t>
  </si>
  <si>
    <t>* SDS for Aviation Jet Fuel, Neste, 8/6/2020 as surrogate for the distillates group of products</t>
  </si>
  <si>
    <t>(3) SDS for Aviation Jet Fuel, Neste, 8/6/2020 as surrogate for distillates group of products</t>
  </si>
  <si>
    <t>Xylenes</t>
  </si>
  <si>
    <t>Weight Percent for Crude</t>
  </si>
  <si>
    <t>Weight Percent for Crude*</t>
  </si>
  <si>
    <r>
      <t xml:space="preserve"> </t>
    </r>
    <r>
      <rPr>
        <u/>
        <sz val="12"/>
        <rFont val="Calibri (Body)"/>
      </rPr>
      <t>Loading</t>
    </r>
    <r>
      <rPr>
        <sz val="12"/>
        <rFont val="Calibri"/>
        <family val="2"/>
        <scheme val="minor"/>
      </rPr>
      <t xml:space="preserve"> % of Total Terminal Throughput*</t>
    </r>
  </si>
  <si>
    <t>VOC EF** (lb/kgal)</t>
  </si>
  <si>
    <t>* Estimated loading percentages by rack. Actual loading quantities will vary between racks.</t>
  </si>
  <si>
    <t>**Emission Factor (Ref: AP-42, Section 5.2, Equation 1), 
Where: L = Loading Loss (lb/1000 gal)
   L= 12.46*S*P*M/T</t>
  </si>
  <si>
    <t>(99% inbound by pipeline)</t>
  </si>
  <si>
    <t>RVP for Tanks Calculations</t>
  </si>
  <si>
    <t>Products in Group</t>
  </si>
  <si>
    <t>Surrogate for Emission Calculations</t>
  </si>
  <si>
    <t>Terminal Throughput Totals Used in Emission Calculations</t>
  </si>
  <si>
    <t>TRACK = Truck Rack</t>
  </si>
  <si>
    <t>TRACK_RC = Railcar Rack</t>
  </si>
  <si>
    <t>Crude (1)</t>
  </si>
  <si>
    <t>Distillates (2)</t>
  </si>
  <si>
    <t>(2) SDS for Aviation Jet Fuel, Neste, 8/6/2020 as surrogate for distillates group of products</t>
  </si>
  <si>
    <t>Marine Loading VOC Emissions</t>
  </si>
  <si>
    <t>Marine Loading Barges (assumes all product loaded into barges)</t>
  </si>
  <si>
    <t>Operations Information</t>
  </si>
  <si>
    <t>Emissions-Natural Gas Combustion</t>
  </si>
  <si>
    <t>Manifest Components (future railcar racks)</t>
  </si>
  <si>
    <t>Fugitive Equipment Leak VOC Emissions</t>
  </si>
  <si>
    <t>Marine VCU Assist Gas Combustion Emissions</t>
  </si>
  <si>
    <t>Marine VCU Vapor Combustion Emissions</t>
  </si>
  <si>
    <t>Truck and Rail Loading Operations Emissions</t>
  </si>
  <si>
    <t>(Toluene)</t>
  </si>
  <si>
    <t>Note: Used the highest VOC emission for each product to calculate HAPs</t>
  </si>
  <si>
    <t>Outbound (anticipated % by mode)</t>
  </si>
  <si>
    <t>Inbound (anticipated % by mode)</t>
  </si>
  <si>
    <t>Antoine Coefficients</t>
  </si>
  <si>
    <t>Hydrogen Sulfide</t>
  </si>
  <si>
    <t>Fugitive Equipment Leaks (FGTVOC)</t>
  </si>
  <si>
    <t>Boiler-Heater Hourly Criteria and GHG Emissions</t>
  </si>
  <si>
    <t>Boiler-Heater Annual Criteria and GHG Emissions</t>
  </si>
  <si>
    <t>Heater (F2)</t>
  </si>
  <si>
    <t>Boiler and Heater Emissions</t>
  </si>
  <si>
    <t>Zenith Energy Terminal Facility</t>
  </si>
  <si>
    <t>Oil/Water Separator Emissions</t>
  </si>
  <si>
    <t>Rack Loading VOC Emissions</t>
  </si>
  <si>
    <t>Air Contaminant</t>
  </si>
  <si>
    <t>Product Loading VOC Emission Factor (EPA, AP-42, Section 5.2, July 2008)</t>
  </si>
  <si>
    <t>Products Handled Prior to Oct 3, 2027</t>
  </si>
  <si>
    <t>Zenith Energy Terminal Facility- Prior to Oct 3, 2027</t>
  </si>
  <si>
    <t>Vessels per year*</t>
  </si>
  <si>
    <t>at 300,000 bbl/vessel</t>
  </si>
  <si>
    <t>TRACK_RC_1B</t>
  </si>
  <si>
    <t>TRACK_RC_1A</t>
  </si>
  <si>
    <t>Renewable Feedstocks  include but are not limited to:</t>
  </si>
  <si>
    <t xml:space="preserve">Total </t>
  </si>
  <si>
    <t>Controlled VOC emissions, lb/yr: (emitted at MVCU)</t>
  </si>
  <si>
    <t>Controlled VOC emissions, tons/yr: (emitted at MVCU)</t>
  </si>
  <si>
    <t>Total HAP</t>
  </si>
  <si>
    <t>Tank Emissions</t>
  </si>
  <si>
    <t>HAP emissions based on the speciation and emission factors provided SDS for each product</t>
  </si>
  <si>
    <t>HAP total</t>
  </si>
  <si>
    <t>Annual HAP and H2S Emissions (lb/yr)</t>
  </si>
  <si>
    <t>excludes H2S</t>
  </si>
  <si>
    <t>Speciation Factors Used for Tank HAP and H2S Emissions</t>
  </si>
  <si>
    <t>Rack Loading HAP Emissions</t>
  </si>
  <si>
    <t>Marine Loading HAP and H2S Emissions</t>
  </si>
  <si>
    <t>Not a HAP</t>
  </si>
  <si>
    <t>Fugitive Equipment Leak HAP and H2S Emissions</t>
  </si>
  <si>
    <r>
      <rPr>
        <b/>
        <u/>
        <sz val="10"/>
        <rFont val="Arial"/>
        <family val="2"/>
      </rPr>
      <t>Boiler B4</t>
    </r>
    <r>
      <rPr>
        <u/>
        <sz val="10"/>
        <rFont val="Arial"/>
        <family val="2"/>
      </rPr>
      <t xml:space="preserve"> HAP Emissions</t>
    </r>
  </si>
  <si>
    <r>
      <t xml:space="preserve"> </t>
    </r>
    <r>
      <rPr>
        <b/>
        <u/>
        <sz val="10"/>
        <rFont val="Arial"/>
        <family val="2"/>
      </rPr>
      <t>Boiler B5</t>
    </r>
    <r>
      <rPr>
        <u/>
        <sz val="10"/>
        <rFont val="Arial"/>
        <family val="2"/>
      </rPr>
      <t xml:space="preserve"> HAP Emissions</t>
    </r>
  </si>
  <si>
    <r>
      <rPr>
        <b/>
        <u/>
        <sz val="10"/>
        <rFont val="Arial"/>
        <family val="2"/>
      </rPr>
      <t>Heater F2</t>
    </r>
    <r>
      <rPr>
        <u/>
        <sz val="10"/>
        <rFont val="Arial"/>
        <family val="2"/>
      </rPr>
      <t xml:space="preserve"> HAP Emissions</t>
    </r>
  </si>
  <si>
    <t>Marine VCU HAP Emissions from Combustion</t>
  </si>
  <si>
    <t>RVP calculated using SDS vapor pressure for renewable naphtha and AP-42, Figure 7.1-14a nomagraph for Naphtha</t>
  </si>
  <si>
    <t>Activity Prior to Oct. 3, 2027</t>
  </si>
  <si>
    <t>design rate</t>
  </si>
  <si>
    <t>* Engineering estimate based on 50 ppm H2S in vapors and 100% conversion to SO2</t>
  </si>
  <si>
    <t>estimate to load a vessel</t>
  </si>
  <si>
    <t>lb/hour (daily average)</t>
  </si>
  <si>
    <t>lb/hr (peak hr)</t>
  </si>
  <si>
    <t xml:space="preserve">cf/hr (daily average) </t>
  </si>
  <si>
    <t>MM Btu/hr (daily average)</t>
  </si>
  <si>
    <t>Renewables and non-fuel products</t>
  </si>
  <si>
    <t>Marine Loading Ships (assumes all product loaded into ships)</t>
  </si>
  <si>
    <t xml:space="preserve">Chevron </t>
  </si>
  <si>
    <t>Dock</t>
  </si>
  <si>
    <t>McCall</t>
  </si>
  <si>
    <t>Emissions* (tons/yr)</t>
  </si>
  <si>
    <t>MLOAD-C</t>
  </si>
  <si>
    <t>MLOAD-M</t>
  </si>
  <si>
    <t>* Emissions allocated as 100% of crude and 40% of distillates emissions to MLOAD-C, 60% of distillate emissions to MLOAD-M</t>
  </si>
  <si>
    <t>Naphtha and Renewable Naphtha</t>
  </si>
  <si>
    <t>* Vessel sizes, time to load and number of vessels/yr will vary</t>
  </si>
  <si>
    <t>Time to load*</t>
  </si>
  <si>
    <t>ID</t>
  </si>
  <si>
    <t>Allocation of MLOAD Emissions to Dock Locations</t>
  </si>
  <si>
    <t>annual throughput</t>
  </si>
  <si>
    <t>Jet Kerosene 
(aka: Jet Fuel, Jet A)</t>
  </si>
  <si>
    <t>Throughput*  (bbl/yr)</t>
  </si>
  <si>
    <t>* Throughput quantities used in emission calculations. Actual quantities and products will vary.</t>
  </si>
  <si>
    <t>This document is protected by U.S.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</si>
</sst>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00"/>
    <numFmt numFmtId="165" formatCode="0.0"/>
    <numFmt numFmtId="166" formatCode="0.000"/>
    <numFmt numFmtId="167" formatCode="#,##0.0"/>
    <numFmt numFmtId="168" formatCode="0.0000"/>
    <numFmt numFmtId="169" formatCode="#,##0.000000"/>
    <numFmt numFmtId="170" formatCode="0.0%"/>
    <numFmt numFmtId="171" formatCode="0.000000"/>
    <numFmt numFmtId="172" formatCode="0.0E+00"/>
    <numFmt numFmtId="173" formatCode="0.0000000"/>
  </numFmts>
  <fonts count="6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 (Body)"/>
    </font>
    <font>
      <sz val="11"/>
      <color theme="1"/>
      <name val="Calibri (Body)"/>
    </font>
    <font>
      <u/>
      <sz val="10"/>
      <name val="Arial"/>
      <family val="2"/>
    </font>
    <font>
      <u/>
      <sz val="12"/>
      <name val="Calibri (Body)"/>
    </font>
    <font>
      <sz val="12"/>
      <color rgb="FF006100"/>
      <name val="Calibri"/>
      <family val="2"/>
      <scheme val="minor"/>
    </font>
    <font>
      <b/>
      <u/>
      <sz val="10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85">
    <xf numFmtId="0" fontId="0" fillId="0" borderId="0"/>
    <xf numFmtId="0" fontId="19" fillId="0" borderId="0"/>
    <xf numFmtId="0" fontId="19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9" fontId="41" fillId="0" borderId="0" applyFont="0" applyFill="0" applyBorder="0" applyAlignment="0" applyProtection="0"/>
    <xf numFmtId="0" fontId="44" fillId="0" borderId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62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18" fillId="0" borderId="0" xfId="0" applyFont="1"/>
    <xf numFmtId="0" fontId="21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27" fillId="0" borderId="0" xfId="26" applyFont="1" applyAlignment="1">
      <alignment vertical="center"/>
    </xf>
    <xf numFmtId="0" fontId="28" fillId="0" borderId="0" xfId="26" applyFont="1" applyAlignment="1">
      <alignment vertical="center"/>
    </xf>
    <xf numFmtId="0" fontId="26" fillId="0" borderId="0" xfId="26" applyFont="1" applyAlignment="1">
      <alignment vertical="center"/>
    </xf>
    <xf numFmtId="0" fontId="29" fillId="0" borderId="0" xfId="26" applyFont="1" applyAlignment="1">
      <alignment horizontal="center"/>
    </xf>
    <xf numFmtId="0" fontId="26" fillId="0" borderId="0" xfId="26" applyFont="1" applyAlignment="1">
      <alignment horizontal="center" vertical="center"/>
    </xf>
    <xf numFmtId="3" fontId="30" fillId="0" borderId="11" xfId="26" applyNumberFormat="1" applyFont="1" applyBorder="1" applyAlignment="1">
      <alignment horizontal="center" vertical="center"/>
    </xf>
    <xf numFmtId="0" fontId="30" fillId="0" borderId="12" xfId="26" applyFont="1" applyBorder="1" applyAlignment="1">
      <alignment horizontal="center" vertical="center"/>
    </xf>
    <xf numFmtId="0" fontId="30" fillId="0" borderId="9" xfId="26" applyFont="1" applyBorder="1" applyAlignment="1">
      <alignment horizontal="center" vertical="center"/>
    </xf>
    <xf numFmtId="0" fontId="27" fillId="0" borderId="0" xfId="26" applyFont="1" applyAlignment="1">
      <alignment horizontal="center" vertical="center"/>
    </xf>
    <xf numFmtId="3" fontId="31" fillId="0" borderId="6" xfId="26" applyNumberFormat="1" applyFont="1" applyBorder="1" applyAlignment="1">
      <alignment horizontal="center" vertical="center"/>
    </xf>
    <xf numFmtId="0" fontId="31" fillId="0" borderId="13" xfId="26" applyFont="1" applyBorder="1" applyAlignment="1">
      <alignment horizontal="center" vertical="center"/>
    </xf>
    <xf numFmtId="3" fontId="31" fillId="0" borderId="7" xfId="26" applyNumberFormat="1" applyFont="1" applyBorder="1" applyAlignment="1">
      <alignment horizontal="center" vertical="center"/>
    </xf>
    <xf numFmtId="3" fontId="27" fillId="0" borderId="0" xfId="26" applyNumberFormat="1" applyFont="1" applyAlignment="1">
      <alignment horizontal="center" vertical="center"/>
    </xf>
    <xf numFmtId="0" fontId="30" fillId="0" borderId="0" xfId="26" applyFont="1" applyAlignment="1">
      <alignment horizontal="left" vertical="center"/>
    </xf>
    <xf numFmtId="4" fontId="28" fillId="0" borderId="0" xfId="26" applyNumberFormat="1" applyFont="1" applyAlignment="1">
      <alignment vertical="center"/>
    </xf>
    <xf numFmtId="0" fontId="32" fillId="0" borderId="14" xfId="26" applyFont="1" applyBorder="1" applyAlignment="1">
      <alignment horizontal="right" vertical="center"/>
    </xf>
    <xf numFmtId="0" fontId="31" fillId="0" borderId="15" xfId="26" applyFont="1" applyBorder="1" applyAlignment="1">
      <alignment horizontal="center" vertical="center"/>
    </xf>
    <xf numFmtId="0" fontId="33" fillId="0" borderId="0" xfId="26" applyFont="1" applyAlignment="1">
      <alignment vertical="center"/>
    </xf>
    <xf numFmtId="0" fontId="32" fillId="0" borderId="0" xfId="26" applyFont="1" applyAlignment="1">
      <alignment vertical="center"/>
    </xf>
    <xf numFmtId="0" fontId="32" fillId="0" borderId="4" xfId="26" applyFont="1" applyBorder="1" applyAlignment="1">
      <alignment horizontal="right" vertical="center"/>
    </xf>
    <xf numFmtId="2" fontId="31" fillId="0" borderId="5" xfId="26" applyNumberFormat="1" applyFont="1" applyBorder="1" applyAlignment="1">
      <alignment horizontal="center" vertical="center"/>
    </xf>
    <xf numFmtId="0" fontId="32" fillId="0" borderId="4" xfId="26" applyFont="1" applyBorder="1" applyAlignment="1">
      <alignment horizontal="right" vertical="center" wrapText="1"/>
    </xf>
    <xf numFmtId="4" fontId="31" fillId="0" borderId="5" xfId="26" applyNumberFormat="1" applyFont="1" applyBorder="1" applyAlignment="1">
      <alignment horizontal="center" vertical="center"/>
    </xf>
    <xf numFmtId="0" fontId="32" fillId="0" borderId="6" xfId="26" applyFont="1" applyBorder="1" applyAlignment="1">
      <alignment horizontal="right" vertical="center"/>
    </xf>
    <xf numFmtId="4" fontId="31" fillId="0" borderId="7" xfId="26" applyNumberFormat="1" applyFont="1" applyBorder="1" applyAlignment="1">
      <alignment horizontal="center" vertical="center"/>
    </xf>
    <xf numFmtId="4" fontId="31" fillId="0" borderId="15" xfId="26" applyNumberFormat="1" applyFont="1" applyBorder="1" applyAlignment="1">
      <alignment horizontal="center" vertical="center"/>
    </xf>
    <xf numFmtId="2" fontId="31" fillId="0" borderId="15" xfId="26" applyNumberFormat="1" applyFont="1" applyBorder="1" applyAlignment="1">
      <alignment horizontal="center" vertical="center"/>
    </xf>
    <xf numFmtId="2" fontId="31" fillId="0" borderId="7" xfId="26" applyNumberFormat="1" applyFont="1" applyBorder="1" applyAlignment="1">
      <alignment horizontal="center" vertical="center"/>
    </xf>
    <xf numFmtId="0" fontId="31" fillId="0" borderId="0" xfId="26" applyFont="1" applyAlignment="1">
      <alignment vertical="center"/>
    </xf>
    <xf numFmtId="0" fontId="30" fillId="0" borderId="0" xfId="26" applyFont="1" applyAlignment="1">
      <alignment horizontal="center" vertical="center"/>
    </xf>
    <xf numFmtId="0" fontId="31" fillId="0" borderId="14" xfId="26" applyFont="1" applyBorder="1" applyAlignment="1">
      <alignment horizontal="right" vertical="center"/>
    </xf>
    <xf numFmtId="0" fontId="31" fillId="0" borderId="4" xfId="26" applyFont="1" applyBorder="1" applyAlignment="1">
      <alignment horizontal="right" vertical="center"/>
    </xf>
    <xf numFmtId="0" fontId="31" fillId="0" borderId="4" xfId="26" applyFont="1" applyBorder="1" applyAlignment="1">
      <alignment horizontal="right" vertical="center" wrapText="1"/>
    </xf>
    <xf numFmtId="0" fontId="31" fillId="0" borderId="6" xfId="26" applyFont="1" applyBorder="1" applyAlignment="1">
      <alignment horizontal="right" vertical="center"/>
    </xf>
    <xf numFmtId="0" fontId="25" fillId="0" borderId="0" xfId="26"/>
    <xf numFmtId="0" fontId="37" fillId="0" borderId="0" xfId="26" applyFont="1"/>
    <xf numFmtId="0" fontId="38" fillId="0" borderId="0" xfId="26" applyFont="1"/>
    <xf numFmtId="0" fontId="25" fillId="0" borderId="11" xfId="26" applyBorder="1" applyAlignment="1">
      <alignment horizontal="left" vertical="center"/>
    </xf>
    <xf numFmtId="3" fontId="25" fillId="0" borderId="12" xfId="26" applyNumberFormat="1" applyBorder="1" applyAlignment="1">
      <alignment horizontal="center" vertical="center"/>
    </xf>
    <xf numFmtId="0" fontId="25" fillId="0" borderId="12" xfId="26" applyBorder="1" applyAlignment="1">
      <alignment horizontal="center"/>
    </xf>
    <xf numFmtId="0" fontId="25" fillId="0" borderId="12" xfId="26" applyBorder="1" applyAlignment="1">
      <alignment horizontal="left"/>
    </xf>
    <xf numFmtId="0" fontId="25" fillId="0" borderId="0" xfId="26" applyAlignment="1">
      <alignment horizontal="center"/>
    </xf>
    <xf numFmtId="4" fontId="25" fillId="0" borderId="12" xfId="26" applyNumberFormat="1" applyBorder="1" applyAlignment="1">
      <alignment horizontal="center"/>
    </xf>
    <xf numFmtId="0" fontId="25" fillId="0" borderId="12" xfId="26" applyBorder="1"/>
    <xf numFmtId="0" fontId="25" fillId="0" borderId="9" xfId="26" applyBorder="1"/>
    <xf numFmtId="171" fontId="25" fillId="0" borderId="12" xfId="26" applyNumberFormat="1" applyBorder="1" applyAlignment="1">
      <alignment horizontal="center"/>
    </xf>
    <xf numFmtId="171" fontId="25" fillId="0" borderId="0" xfId="26" applyNumberFormat="1" applyAlignment="1">
      <alignment horizontal="center"/>
    </xf>
    <xf numFmtId="0" fontId="25" fillId="0" borderId="14" xfId="26" applyBorder="1" applyAlignment="1">
      <alignment horizontal="left" vertical="center"/>
    </xf>
    <xf numFmtId="3" fontId="25" fillId="0" borderId="16" xfId="26" applyNumberFormat="1" applyBorder="1" applyAlignment="1">
      <alignment horizontal="center" vertical="center"/>
    </xf>
    <xf numFmtId="4" fontId="25" fillId="0" borderId="16" xfId="26" applyNumberFormat="1" applyBorder="1" applyAlignment="1">
      <alignment horizontal="center"/>
    </xf>
    <xf numFmtId="0" fontId="25" fillId="0" borderId="16" xfId="26" applyBorder="1" applyAlignment="1">
      <alignment horizontal="left"/>
    </xf>
    <xf numFmtId="0" fontId="25" fillId="0" borderId="16" xfId="26" applyBorder="1" applyAlignment="1">
      <alignment horizontal="center"/>
    </xf>
    <xf numFmtId="0" fontId="25" fillId="0" borderId="15" xfId="26" applyBorder="1"/>
    <xf numFmtId="0" fontId="25" fillId="0" borderId="6" xfId="26" applyBorder="1"/>
    <xf numFmtId="4" fontId="25" fillId="0" borderId="13" xfId="26" applyNumberFormat="1" applyBorder="1" applyAlignment="1">
      <alignment horizontal="center"/>
    </xf>
    <xf numFmtId="0" fontId="25" fillId="0" borderId="13" xfId="26" applyBorder="1" applyAlignment="1">
      <alignment horizontal="center"/>
    </xf>
    <xf numFmtId="0" fontId="25" fillId="0" borderId="13" xfId="26" applyBorder="1" applyAlignment="1">
      <alignment horizontal="left"/>
    </xf>
    <xf numFmtId="0" fontId="25" fillId="0" borderId="7" xfId="26" applyBorder="1" applyAlignment="1">
      <alignment horizontal="center"/>
    </xf>
    <xf numFmtId="0" fontId="25" fillId="0" borderId="14" xfId="26" applyBorder="1"/>
    <xf numFmtId="0" fontId="25" fillId="0" borderId="15" xfId="26" applyBorder="1" applyAlignment="1">
      <alignment horizontal="center"/>
    </xf>
    <xf numFmtId="0" fontId="25" fillId="0" borderId="4" xfId="26" applyBorder="1"/>
    <xf numFmtId="4" fontId="25" fillId="0" borderId="0" xfId="26" applyNumberFormat="1" applyAlignment="1">
      <alignment horizontal="center"/>
    </xf>
    <xf numFmtId="0" fontId="25" fillId="0" borderId="0" xfId="26" applyAlignment="1">
      <alignment horizontal="left"/>
    </xf>
    <xf numFmtId="0" fontId="25" fillId="0" borderId="5" xfId="26" applyBorder="1" applyAlignment="1">
      <alignment horizontal="center"/>
    </xf>
    <xf numFmtId="0" fontId="25" fillId="0" borderId="1" xfId="26" applyBorder="1"/>
    <xf numFmtId="0" fontId="25" fillId="0" borderId="1" xfId="26" applyBorder="1" applyAlignment="1">
      <alignment horizontal="center"/>
    </xf>
    <xf numFmtId="0" fontId="25" fillId="0" borderId="10" xfId="26" applyBorder="1" applyAlignment="1">
      <alignment horizontal="center"/>
    </xf>
    <xf numFmtId="0" fontId="25" fillId="0" borderId="1" xfId="26" applyBorder="1" applyAlignment="1">
      <alignment horizontal="center" wrapText="1"/>
    </xf>
    <xf numFmtId="4" fontId="25" fillId="0" borderId="1" xfId="26" applyNumberFormat="1" applyBorder="1" applyAlignment="1">
      <alignment horizontal="center"/>
    </xf>
    <xf numFmtId="0" fontId="25" fillId="0" borderId="0" xfId="26" applyAlignment="1">
      <alignment horizontal="center" wrapText="1"/>
    </xf>
    <xf numFmtId="0" fontId="25" fillId="0" borderId="16" xfId="26" applyBorder="1"/>
    <xf numFmtId="3" fontId="25" fillId="0" borderId="0" xfId="26" applyNumberFormat="1"/>
    <xf numFmtId="4" fontId="25" fillId="0" borderId="12" xfId="26" applyNumberFormat="1" applyBorder="1" applyAlignment="1">
      <alignment horizontal="left"/>
    </xf>
    <xf numFmtId="3" fontId="25" fillId="0" borderId="16" xfId="26" applyNumberFormat="1" applyBorder="1" applyAlignment="1">
      <alignment horizontal="center"/>
    </xf>
    <xf numFmtId="0" fontId="25" fillId="0" borderId="4" xfId="26" applyBorder="1" applyAlignment="1">
      <alignment horizontal="left" vertical="center"/>
    </xf>
    <xf numFmtId="3" fontId="25" fillId="0" borderId="0" xfId="26" applyNumberFormat="1" applyAlignment="1">
      <alignment horizontal="center"/>
    </xf>
    <xf numFmtId="0" fontId="25" fillId="0" borderId="5" xfId="26" applyBorder="1"/>
    <xf numFmtId="0" fontId="25" fillId="0" borderId="6" xfId="26" applyBorder="1" applyAlignment="1">
      <alignment horizontal="left" vertical="center"/>
    </xf>
    <xf numFmtId="3" fontId="25" fillId="0" borderId="13" xfId="26" applyNumberFormat="1" applyBorder="1" applyAlignment="1">
      <alignment horizontal="center" vertical="center"/>
    </xf>
    <xf numFmtId="0" fontId="25" fillId="0" borderId="13" xfId="26" applyBorder="1"/>
    <xf numFmtId="0" fontId="25" fillId="0" borderId="7" xfId="26" applyBorder="1"/>
    <xf numFmtId="3" fontId="25" fillId="0" borderId="12" xfId="26" applyNumberFormat="1" applyBorder="1" applyAlignment="1">
      <alignment horizontal="center"/>
    </xf>
    <xf numFmtId="2" fontId="25" fillId="0" borderId="0" xfId="26" applyNumberFormat="1" applyAlignment="1">
      <alignment horizontal="center"/>
    </xf>
    <xf numFmtId="168" fontId="25" fillId="0" borderId="1" xfId="26" applyNumberFormat="1" applyBorder="1" applyAlignment="1">
      <alignment horizontal="center"/>
    </xf>
    <xf numFmtId="166" fontId="25" fillId="0" borderId="5" xfId="26" applyNumberFormat="1" applyBorder="1" applyAlignment="1">
      <alignment horizontal="center"/>
    </xf>
    <xf numFmtId="0" fontId="40" fillId="0" borderId="0" xfId="26" applyFont="1"/>
    <xf numFmtId="0" fontId="33" fillId="0" borderId="0" xfId="26" applyFont="1" applyAlignment="1">
      <alignment horizontal="center" vertical="center"/>
    </xf>
    <xf numFmtId="0" fontId="32" fillId="0" borderId="16" xfId="26" applyFont="1" applyBorder="1" applyAlignment="1">
      <alignment vertical="center"/>
    </xf>
    <xf numFmtId="0" fontId="32" fillId="0" borderId="4" xfId="26" applyFont="1" applyBorder="1" applyAlignment="1">
      <alignment horizontal="right"/>
    </xf>
    <xf numFmtId="0" fontId="25" fillId="0" borderId="0" xfId="26" applyAlignment="1">
      <alignment horizontal="right"/>
    </xf>
    <xf numFmtId="2" fontId="25" fillId="0" borderId="15" xfId="26" applyNumberFormat="1" applyBorder="1" applyAlignment="1">
      <alignment horizontal="center"/>
    </xf>
    <xf numFmtId="2" fontId="25" fillId="0" borderId="5" xfId="26" applyNumberFormat="1" applyBorder="1" applyAlignment="1">
      <alignment horizontal="center"/>
    </xf>
    <xf numFmtId="2" fontId="25" fillId="0" borderId="7" xfId="26" applyNumberFormat="1" applyBorder="1" applyAlignment="1">
      <alignment horizontal="center"/>
    </xf>
    <xf numFmtId="0" fontId="25" fillId="0" borderId="8" xfId="26" applyBorder="1" applyAlignment="1">
      <alignment horizontal="center"/>
    </xf>
    <xf numFmtId="0" fontId="25" fillId="0" borderId="4" xfId="26" applyBorder="1" applyAlignment="1">
      <alignment wrapText="1"/>
    </xf>
    <xf numFmtId="0" fontId="25" fillId="0" borderId="2" xfId="26" applyBorder="1" applyAlignment="1">
      <alignment horizontal="center"/>
    </xf>
    <xf numFmtId="0" fontId="19" fillId="0" borderId="4" xfId="26" applyFont="1" applyBorder="1" applyAlignment="1">
      <alignment wrapText="1"/>
    </xf>
    <xf numFmtId="0" fontId="38" fillId="0" borderId="16" xfId="26" applyFont="1" applyBorder="1" applyAlignment="1">
      <alignment horizontal="center" vertical="center" wrapText="1"/>
    </xf>
    <xf numFmtId="0" fontId="42" fillId="0" borderId="16" xfId="26" applyFont="1" applyBorder="1" applyAlignment="1">
      <alignment horizontal="center" vertical="center"/>
    </xf>
    <xf numFmtId="0" fontId="42" fillId="0" borderId="16" xfId="26" applyFont="1" applyBorder="1" applyAlignment="1">
      <alignment horizontal="center" vertical="center" wrapText="1"/>
    </xf>
    <xf numFmtId="0" fontId="38" fillId="0" borderId="15" xfId="26" applyFont="1" applyBorder="1" applyAlignment="1">
      <alignment horizontal="center" vertical="center" wrapText="1"/>
    </xf>
    <xf numFmtId="0" fontId="19" fillId="0" borderId="0" xfId="26" applyFont="1"/>
    <xf numFmtId="11" fontId="25" fillId="0" borderId="0" xfId="26" applyNumberFormat="1" applyAlignment="1">
      <alignment horizontal="center"/>
    </xf>
    <xf numFmtId="11" fontId="25" fillId="0" borderId="13" xfId="26" applyNumberFormat="1" applyBorder="1" applyAlignment="1">
      <alignment horizontal="center"/>
    </xf>
    <xf numFmtId="166" fontId="25" fillId="0" borderId="0" xfId="26" applyNumberFormat="1" applyAlignment="1">
      <alignment horizontal="center"/>
    </xf>
    <xf numFmtId="11" fontId="25" fillId="0" borderId="16" xfId="26" applyNumberFormat="1" applyBorder="1" applyAlignment="1">
      <alignment horizontal="center"/>
    </xf>
    <xf numFmtId="0" fontId="19" fillId="0" borderId="4" xfId="26" applyFont="1" applyBorder="1"/>
    <xf numFmtId="9" fontId="25" fillId="0" borderId="0" xfId="27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7" fillId="0" borderId="0" xfId="29"/>
    <xf numFmtId="0" fontId="46" fillId="0" borderId="0" xfId="29" applyFont="1"/>
    <xf numFmtId="0" fontId="20" fillId="0" borderId="0" xfId="29" applyFont="1"/>
    <xf numFmtId="0" fontId="20" fillId="0" borderId="0" xfId="29" applyFont="1" applyAlignment="1">
      <alignment horizontal="center"/>
    </xf>
    <xf numFmtId="0" fontId="47" fillId="0" borderId="0" xfId="29" applyFont="1"/>
    <xf numFmtId="0" fontId="47" fillId="0" borderId="0" xfId="29" applyFont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0" xfId="0" quotePrefix="1"/>
    <xf numFmtId="0" fontId="18" fillId="0" borderId="0" xfId="0" applyFont="1" applyAlignment="1">
      <alignment horizontal="right"/>
    </xf>
    <xf numFmtId="165" fontId="18" fillId="0" borderId="0" xfId="0" applyNumberFormat="1" applyFont="1"/>
    <xf numFmtId="2" fontId="18" fillId="0" borderId="0" xfId="0" applyNumberFormat="1" applyFont="1"/>
    <xf numFmtId="0" fontId="42" fillId="0" borderId="12" xfId="26" applyFont="1" applyBorder="1" applyAlignment="1">
      <alignment horizontal="center" vertical="center"/>
    </xf>
    <xf numFmtId="0" fontId="38" fillId="0" borderId="12" xfId="26" applyFont="1" applyBorder="1" applyAlignment="1">
      <alignment horizontal="center" vertical="center" wrapText="1"/>
    </xf>
    <xf numFmtId="0" fontId="42" fillId="0" borderId="12" xfId="26" applyFont="1" applyBorder="1" applyAlignment="1">
      <alignment horizontal="center" vertical="center" wrapText="1"/>
    </xf>
    <xf numFmtId="0" fontId="38" fillId="0" borderId="9" xfId="26" applyFont="1" applyBorder="1" applyAlignment="1">
      <alignment horizontal="center" vertical="center" wrapText="1"/>
    </xf>
    <xf numFmtId="0" fontId="19" fillId="0" borderId="0" xfId="1"/>
    <xf numFmtId="0" fontId="19" fillId="0" borderId="16" xfId="1" applyBorder="1"/>
    <xf numFmtId="0" fontId="19" fillId="0" borderId="13" xfId="1" applyBorder="1"/>
    <xf numFmtId="0" fontId="19" fillId="0" borderId="6" xfId="1" applyBorder="1"/>
    <xf numFmtId="0" fontId="19" fillId="0" borderId="14" xfId="1" applyBorder="1"/>
    <xf numFmtId="165" fontId="19" fillId="0" borderId="0" xfId="1" applyNumberFormat="1" applyAlignment="1">
      <alignment horizontal="center"/>
    </xf>
    <xf numFmtId="1" fontId="19" fillId="0" borderId="0" xfId="1" applyNumberFormat="1"/>
    <xf numFmtId="0" fontId="19" fillId="0" borderId="4" xfId="1" applyBorder="1"/>
    <xf numFmtId="0" fontId="19" fillId="0" borderId="0" xfId="1" applyAlignment="1">
      <alignment wrapText="1"/>
    </xf>
    <xf numFmtId="11" fontId="0" fillId="0" borderId="0" xfId="0" applyNumberFormat="1"/>
    <xf numFmtId="0" fontId="19" fillId="0" borderId="1" xfId="1" applyBorder="1" applyAlignment="1">
      <alignment horizontal="center" vertical="center" wrapText="1"/>
    </xf>
    <xf numFmtId="0" fontId="19" fillId="0" borderId="1" xfId="1" applyBorder="1"/>
    <xf numFmtId="165" fontId="19" fillId="0" borderId="1" xfId="1" applyNumberFormat="1" applyBorder="1"/>
    <xf numFmtId="11" fontId="43" fillId="0" borderId="0" xfId="0" applyNumberFormat="1" applyFont="1" applyAlignment="1">
      <alignment horizontal="center" wrapText="1"/>
    </xf>
    <xf numFmtId="0" fontId="16" fillId="0" borderId="0" xfId="29" applyFont="1"/>
    <xf numFmtId="0" fontId="19" fillId="0" borderId="6" xfId="26" applyFont="1" applyBorder="1"/>
    <xf numFmtId="0" fontId="0" fillId="0" borderId="3" xfId="0" applyBorder="1"/>
    <xf numFmtId="4" fontId="17" fillId="0" borderId="5" xfId="29" applyNumberFormat="1" applyBorder="1"/>
    <xf numFmtId="49" fontId="0" fillId="0" borderId="17" xfId="0" applyNumberFormat="1" applyBorder="1" applyAlignment="1">
      <alignment horizontal="center" vertical="center" wrapText="1"/>
    </xf>
    <xf numFmtId="0" fontId="49" fillId="0" borderId="0" xfId="0" applyFont="1" applyAlignment="1">
      <alignment vertical="top" wrapText="1"/>
    </xf>
    <xf numFmtId="3" fontId="0" fillId="0" borderId="17" xfId="0" applyNumberFormat="1" applyBorder="1"/>
    <xf numFmtId="0" fontId="19" fillId="0" borderId="0" xfId="1" applyAlignment="1">
      <alignment horizontal="center" wrapText="1"/>
    </xf>
    <xf numFmtId="0" fontId="47" fillId="0" borderId="0" xfId="0" applyFont="1"/>
    <xf numFmtId="0" fontId="0" fillId="0" borderId="17" xfId="0" applyBorder="1"/>
    <xf numFmtId="2" fontId="0" fillId="0" borderId="17" xfId="0" applyNumberFormat="1" applyBorder="1"/>
    <xf numFmtId="169" fontId="0" fillId="0" borderId="17" xfId="0" applyNumberFormat="1" applyBorder="1"/>
    <xf numFmtId="11" fontId="37" fillId="0" borderId="0" xfId="26" applyNumberFormat="1" applyFont="1"/>
    <xf numFmtId="11" fontId="0" fillId="0" borderId="17" xfId="0" applyNumberFormat="1" applyBorder="1"/>
    <xf numFmtId="0" fontId="37" fillId="0" borderId="0" xfId="26" applyFont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5" xfId="0" applyBorder="1"/>
    <xf numFmtId="0" fontId="0" fillId="0" borderId="13" xfId="0" applyBorder="1"/>
    <xf numFmtId="0" fontId="0" fillId="0" borderId="17" xfId="0" applyBorder="1" applyAlignment="1">
      <alignment horizontal="center"/>
    </xf>
    <xf numFmtId="3" fontId="18" fillId="0" borderId="0" xfId="0" applyNumberFormat="1" applyFont="1"/>
    <xf numFmtId="0" fontId="25" fillId="0" borderId="17" xfId="26" applyBorder="1"/>
    <xf numFmtId="0" fontId="32" fillId="0" borderId="15" xfId="26" applyFont="1" applyBorder="1" applyAlignment="1">
      <alignment vertical="center"/>
    </xf>
    <xf numFmtId="0" fontId="32" fillId="0" borderId="5" xfId="26" applyFont="1" applyBorder="1" applyAlignment="1">
      <alignment vertical="center"/>
    </xf>
    <xf numFmtId="0" fontId="52" fillId="0" borderId="0" xfId="26" applyFont="1"/>
    <xf numFmtId="0" fontId="19" fillId="0" borderId="11" xfId="26" applyFont="1" applyBorder="1" applyAlignment="1">
      <alignment vertical="center"/>
    </xf>
    <xf numFmtId="0" fontId="25" fillId="0" borderId="9" xfId="26" applyBorder="1" applyAlignment="1">
      <alignment vertical="center"/>
    </xf>
    <xf numFmtId="4" fontId="25" fillId="0" borderId="0" xfId="26" applyNumberFormat="1" applyAlignment="1">
      <alignment horizontal="right"/>
    </xf>
    <xf numFmtId="3" fontId="25" fillId="0" borderId="0" xfId="26" applyNumberFormat="1" applyAlignment="1">
      <alignment horizontal="right"/>
    </xf>
    <xf numFmtId="9" fontId="25" fillId="0" borderId="0" xfId="27" applyFont="1" applyBorder="1" applyAlignment="1">
      <alignment horizontal="right"/>
    </xf>
    <xf numFmtId="0" fontId="19" fillId="0" borderId="8" xfId="26" applyFont="1" applyBorder="1"/>
    <xf numFmtId="0" fontId="19" fillId="0" borderId="2" xfId="26" applyFont="1" applyBorder="1"/>
    <xf numFmtId="0" fontId="19" fillId="0" borderId="0" xfId="26" applyFont="1" applyAlignment="1">
      <alignment horizontal="center"/>
    </xf>
    <xf numFmtId="165" fontId="19" fillId="0" borderId="0" xfId="1" applyNumberFormat="1"/>
    <xf numFmtId="0" fontId="19" fillId="0" borderId="14" xfId="1" applyBorder="1" applyAlignment="1">
      <alignment horizontal="center" vertical="center" wrapText="1"/>
    </xf>
    <xf numFmtId="0" fontId="19" fillId="0" borderId="16" xfId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0" borderId="4" xfId="29" applyFont="1" applyBorder="1"/>
    <xf numFmtId="0" fontId="15" fillId="0" borderId="0" xfId="29" applyFont="1"/>
    <xf numFmtId="9" fontId="15" fillId="0" borderId="0" xfId="27" applyFont="1" applyFill="1" applyBorder="1" applyAlignment="1">
      <alignment horizontal="center"/>
    </xf>
    <xf numFmtId="4" fontId="17" fillId="0" borderId="0" xfId="29" applyNumberFormat="1"/>
    <xf numFmtId="2" fontId="17" fillId="0" borderId="0" xfId="29" applyNumberFormat="1"/>
    <xf numFmtId="166" fontId="17" fillId="0" borderId="0" xfId="29" applyNumberFormat="1"/>
    <xf numFmtId="172" fontId="17" fillId="0" borderId="0" xfId="29" applyNumberFormat="1"/>
    <xf numFmtId="173" fontId="17" fillId="0" borderId="0" xfId="29" applyNumberFormat="1"/>
    <xf numFmtId="0" fontId="15" fillId="0" borderId="6" xfId="29" applyFont="1" applyBorder="1"/>
    <xf numFmtId="4" fontId="17" fillId="0" borderId="13" xfId="29" applyNumberFormat="1" applyBorder="1"/>
    <xf numFmtId="0" fontId="17" fillId="0" borderId="13" xfId="29" applyBorder="1"/>
    <xf numFmtId="2" fontId="17" fillId="0" borderId="13" xfId="29" applyNumberFormat="1" applyBorder="1"/>
    <xf numFmtId="0" fontId="14" fillId="0" borderId="11" xfId="29" applyFont="1" applyBorder="1" applyAlignment="1">
      <alignment horizontal="center" vertical="center" wrapText="1"/>
    </xf>
    <xf numFmtId="0" fontId="16" fillId="0" borderId="12" xfId="29" applyFont="1" applyBorder="1" applyAlignment="1">
      <alignment horizontal="center" vertical="center" wrapText="1"/>
    </xf>
    <xf numFmtId="0" fontId="31" fillId="0" borderId="12" xfId="29" applyFont="1" applyBorder="1" applyAlignment="1">
      <alignment horizontal="center" vertical="center" wrapText="1"/>
    </xf>
    <xf numFmtId="0" fontId="15" fillId="0" borderId="12" xfId="29" applyFont="1" applyBorder="1" applyAlignment="1">
      <alignment horizontal="center" vertical="center" wrapText="1"/>
    </xf>
    <xf numFmtId="0" fontId="20" fillId="0" borderId="13" xfId="29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29" applyFont="1"/>
    <xf numFmtId="0" fontId="13" fillId="0" borderId="13" xfId="29" applyFont="1" applyBorder="1"/>
    <xf numFmtId="0" fontId="32" fillId="0" borderId="4" xfId="26" applyFont="1" applyBorder="1"/>
    <xf numFmtId="0" fontId="56" fillId="0" borderId="0" xfId="1" applyFont="1" applyAlignment="1">
      <alignment horizontal="center" vertical="center" wrapText="1"/>
    </xf>
    <xf numFmtId="4" fontId="0" fillId="0" borderId="17" xfId="0" applyNumberFormat="1" applyBorder="1"/>
    <xf numFmtId="168" fontId="25" fillId="0" borderId="0" xfId="26" applyNumberFormat="1" applyAlignment="1">
      <alignment horizontal="center"/>
    </xf>
    <xf numFmtId="168" fontId="25" fillId="0" borderId="13" xfId="26" applyNumberFormat="1" applyBorder="1" applyAlignment="1">
      <alignment horizontal="center"/>
    </xf>
    <xf numFmtId="0" fontId="38" fillId="0" borderId="13" xfId="26" applyFont="1" applyBorder="1"/>
    <xf numFmtId="0" fontId="25" fillId="0" borderId="19" xfId="26" applyBorder="1"/>
    <xf numFmtId="2" fontId="25" fillId="0" borderId="19" xfId="26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9" xfId="0" applyBorder="1"/>
    <xf numFmtId="3" fontId="0" fillId="0" borderId="19" xfId="0" applyNumberFormat="1" applyBorder="1"/>
    <xf numFmtId="2" fontId="0" fillId="0" borderId="19" xfId="0" applyNumberFormat="1" applyBorder="1"/>
    <xf numFmtId="11" fontId="0" fillId="0" borderId="19" xfId="0" applyNumberFormat="1" applyBorder="1"/>
    <xf numFmtId="4" fontId="0" fillId="0" borderId="19" xfId="0" applyNumberFormat="1" applyBorder="1"/>
    <xf numFmtId="0" fontId="58" fillId="0" borderId="13" xfId="0" applyFont="1" applyBorder="1"/>
    <xf numFmtId="9" fontId="0" fillId="0" borderId="0" xfId="0" applyNumberFormat="1"/>
    <xf numFmtId="9" fontId="0" fillId="0" borderId="4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5" xfId="0" applyNumberFormat="1" applyBorder="1" applyAlignment="1">
      <alignment horizontal="center"/>
    </xf>
    <xf numFmtId="0" fontId="57" fillId="0" borderId="0" xfId="0" applyFont="1" applyAlignment="1">
      <alignment horizontal="left" indent="3"/>
    </xf>
    <xf numFmtId="0" fontId="12" fillId="0" borderId="0" xfId="0" applyFont="1"/>
    <xf numFmtId="168" fontId="19" fillId="0" borderId="16" xfId="1" applyNumberFormat="1" applyBorder="1"/>
    <xf numFmtId="168" fontId="19" fillId="0" borderId="0" xfId="1" applyNumberFormat="1"/>
    <xf numFmtId="168" fontId="19" fillId="0" borderId="13" xfId="1" applyNumberFormat="1" applyBorder="1"/>
    <xf numFmtId="167" fontId="19" fillId="0" borderId="1" xfId="1" applyNumberFormat="1" applyBorder="1"/>
    <xf numFmtId="0" fontId="19" fillId="0" borderId="21" xfId="1" applyBorder="1"/>
    <xf numFmtId="0" fontId="19" fillId="0" borderId="20" xfId="1" applyBorder="1"/>
    <xf numFmtId="0" fontId="11" fillId="0" borderId="0" xfId="29" applyFont="1"/>
    <xf numFmtId="0" fontId="20" fillId="0" borderId="0" xfId="0" applyFont="1"/>
    <xf numFmtId="9" fontId="0" fillId="0" borderId="8" xfId="0" applyNumberFormat="1" applyBorder="1" applyAlignment="1">
      <alignment horizontal="center"/>
    </xf>
    <xf numFmtId="0" fontId="11" fillId="0" borderId="4" xfId="29" applyFont="1" applyBorder="1"/>
    <xf numFmtId="0" fontId="11" fillId="0" borderId="4" xfId="77" applyFont="1" applyFill="1" applyBorder="1"/>
    <xf numFmtId="9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57" fillId="0" borderId="7" xfId="0" applyFont="1" applyBorder="1" applyAlignment="1">
      <alignment horizontal="left"/>
    </xf>
    <xf numFmtId="9" fontId="0" fillId="0" borderId="2" xfId="0" applyNumberFormat="1" applyBorder="1" applyAlignment="1">
      <alignment horizontal="center"/>
    </xf>
    <xf numFmtId="0" fontId="18" fillId="0" borderId="18" xfId="0" applyFont="1" applyBorder="1"/>
    <xf numFmtId="0" fontId="18" fillId="0" borderId="15" xfId="0" applyFont="1" applyBorder="1"/>
    <xf numFmtId="0" fontId="18" fillId="0" borderId="2" xfId="0" applyFont="1" applyBorder="1"/>
    <xf numFmtId="0" fontId="18" fillId="0" borderId="7" xfId="0" applyFont="1" applyBorder="1"/>
    <xf numFmtId="0" fontId="18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8" xfId="0" applyBorder="1"/>
    <xf numFmtId="0" fontId="0" fillId="0" borderId="22" xfId="0" applyBorder="1"/>
    <xf numFmtId="0" fontId="19" fillId="0" borderId="0" xfId="1" applyAlignment="1">
      <alignment horizontal="center" vertical="center" wrapText="1"/>
    </xf>
    <xf numFmtId="167" fontId="19" fillId="0" borderId="0" xfId="1" applyNumberFormat="1"/>
    <xf numFmtId="0" fontId="19" fillId="0" borderId="19" xfId="1" applyBorder="1"/>
    <xf numFmtId="165" fontId="19" fillId="0" borderId="19" xfId="1" applyNumberFormat="1" applyBorder="1"/>
    <xf numFmtId="0" fontId="19" fillId="0" borderId="15" xfId="1" applyBorder="1" applyAlignment="1">
      <alignment horizontal="center" vertical="center" wrapText="1"/>
    </xf>
    <xf numFmtId="1" fontId="19" fillId="0" borderId="15" xfId="1" applyNumberFormat="1" applyBorder="1"/>
    <xf numFmtId="1" fontId="19" fillId="0" borderId="5" xfId="1" applyNumberFormat="1" applyBorder="1"/>
    <xf numFmtId="1" fontId="19" fillId="0" borderId="7" xfId="1" applyNumberFormat="1" applyBorder="1"/>
    <xf numFmtId="0" fontId="19" fillId="0" borderId="19" xfId="1" applyBorder="1" applyAlignment="1">
      <alignment horizontal="center" vertical="center" wrapText="1"/>
    </xf>
    <xf numFmtId="2" fontId="19" fillId="0" borderId="18" xfId="1" applyNumberFormat="1" applyBorder="1" applyAlignment="1">
      <alignment horizontal="center"/>
    </xf>
    <xf numFmtId="2" fontId="19" fillId="0" borderId="8" xfId="1" applyNumberFormat="1" applyBorder="1" applyAlignment="1">
      <alignment horizontal="center"/>
    </xf>
    <xf numFmtId="2" fontId="19" fillId="0" borderId="2" xfId="1" applyNumberFormat="1" applyBorder="1" applyAlignment="1">
      <alignment horizontal="center"/>
    </xf>
    <xf numFmtId="2" fontId="25" fillId="0" borderId="0" xfId="26" applyNumberFormat="1"/>
    <xf numFmtId="0" fontId="19" fillId="0" borderId="19" xfId="26" applyFont="1" applyBorder="1" applyAlignment="1">
      <alignment horizontal="center"/>
    </xf>
    <xf numFmtId="9" fontId="0" fillId="0" borderId="21" xfId="0" quotePrefix="1" applyNumberFormat="1" applyBorder="1" applyAlignment="1">
      <alignment horizontal="center"/>
    </xf>
    <xf numFmtId="9" fontId="0" fillId="0" borderId="19" xfId="0" quotePrefix="1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9" fontId="0" fillId="0" borderId="20" xfId="0" quotePrefix="1" applyNumberForma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57" fillId="0" borderId="18" xfId="0" applyFont="1" applyBorder="1"/>
    <xf numFmtId="0" fontId="57" fillId="0" borderId="8" xfId="0" applyFont="1" applyBorder="1"/>
    <xf numFmtId="0" fontId="57" fillId="0" borderId="2" xfId="0" applyFont="1" applyBorder="1"/>
    <xf numFmtId="0" fontId="57" fillId="0" borderId="19" xfId="0" applyFont="1" applyBorder="1"/>
    <xf numFmtId="0" fontId="10" fillId="0" borderId="0" xfId="29" applyFont="1"/>
    <xf numFmtId="166" fontId="17" fillId="0" borderId="13" xfId="29" applyNumberFormat="1" applyBorder="1"/>
    <xf numFmtId="0" fontId="19" fillId="0" borderId="22" xfId="1" applyBorder="1"/>
    <xf numFmtId="168" fontId="19" fillId="0" borderId="7" xfId="1" applyNumberFormat="1" applyBorder="1"/>
    <xf numFmtId="0" fontId="19" fillId="0" borderId="8" xfId="1" applyBorder="1"/>
    <xf numFmtId="0" fontId="19" fillId="0" borderId="2" xfId="1" applyBorder="1"/>
    <xf numFmtId="9" fontId="15" fillId="0" borderId="0" xfId="27" applyFont="1" applyFill="1" applyBorder="1" applyAlignment="1">
      <alignment horizontal="left"/>
    </xf>
    <xf numFmtId="0" fontId="9" fillId="0" borderId="0" xfId="29" applyFont="1"/>
    <xf numFmtId="0" fontId="31" fillId="0" borderId="0" xfId="26" applyFont="1" applyAlignment="1">
      <alignment horizontal="center" vertical="center"/>
    </xf>
    <xf numFmtId="3" fontId="31" fillId="0" borderId="0" xfId="26" applyNumberFormat="1" applyFont="1" applyAlignment="1">
      <alignment horizontal="center" vertical="center"/>
    </xf>
    <xf numFmtId="0" fontId="31" fillId="0" borderId="2" xfId="26" applyFont="1" applyBorder="1" applyAlignment="1">
      <alignment horizontal="right" vertical="center"/>
    </xf>
    <xf numFmtId="0" fontId="31" fillId="0" borderId="19" xfId="26" applyFont="1" applyBorder="1" applyAlignment="1">
      <alignment horizontal="right" vertical="center"/>
    </xf>
    <xf numFmtId="3" fontId="17" fillId="0" borderId="0" xfId="29" applyNumberFormat="1"/>
    <xf numFmtId="0" fontId="30" fillId="0" borderId="19" xfId="26" applyFont="1" applyBorder="1" applyAlignment="1">
      <alignment horizontal="right" vertical="center"/>
    </xf>
    <xf numFmtId="0" fontId="30" fillId="0" borderId="0" xfId="26" applyFont="1" applyAlignment="1">
      <alignment horizontal="right" vertical="center"/>
    </xf>
    <xf numFmtId="0" fontId="32" fillId="0" borderId="14" xfId="26" applyFont="1" applyBorder="1" applyAlignment="1">
      <alignment vertical="center"/>
    </xf>
    <xf numFmtId="0" fontId="32" fillId="0" borderId="4" xfId="26" applyFont="1" applyBorder="1" applyAlignment="1">
      <alignment vertical="center"/>
    </xf>
    <xf numFmtId="0" fontId="33" fillId="0" borderId="4" xfId="26" applyFont="1" applyBorder="1" applyAlignment="1">
      <alignment vertical="center"/>
    </xf>
    <xf numFmtId="0" fontId="34" fillId="0" borderId="4" xfId="26" applyFont="1" applyBorder="1" applyAlignment="1">
      <alignment vertical="center"/>
    </xf>
    <xf numFmtId="0" fontId="28" fillId="0" borderId="4" xfId="26" applyFont="1" applyBorder="1" applyAlignment="1">
      <alignment vertical="center"/>
    </xf>
    <xf numFmtId="0" fontId="28" fillId="0" borderId="6" xfId="26" applyFont="1" applyBorder="1" applyAlignment="1">
      <alignment vertical="center"/>
    </xf>
    <xf numFmtId="0" fontId="28" fillId="0" borderId="13" xfId="26" applyFont="1" applyBorder="1" applyAlignment="1">
      <alignment vertical="center"/>
    </xf>
    <xf numFmtId="0" fontId="28" fillId="0" borderId="7" xfId="26" applyFont="1" applyBorder="1" applyAlignment="1">
      <alignment vertical="center"/>
    </xf>
    <xf numFmtId="0" fontId="33" fillId="0" borderId="16" xfId="26" applyFont="1" applyBorder="1" applyAlignment="1">
      <alignment vertical="center"/>
    </xf>
    <xf numFmtId="0" fontId="28" fillId="0" borderId="15" xfId="26" applyFont="1" applyBorder="1" applyAlignment="1">
      <alignment vertical="center"/>
    </xf>
    <xf numFmtId="0" fontId="34" fillId="0" borderId="4" xfId="26" applyFont="1" applyBorder="1" applyAlignment="1">
      <alignment horizontal="left" vertical="center" indent="1"/>
    </xf>
    <xf numFmtId="0" fontId="28" fillId="0" borderId="5" xfId="26" applyFont="1" applyBorder="1" applyAlignment="1">
      <alignment vertical="center"/>
    </xf>
    <xf numFmtId="0" fontId="27" fillId="3" borderId="4" xfId="26" applyFont="1" applyFill="1" applyBorder="1" applyAlignment="1">
      <alignment horizontal="left" vertical="center" indent="5"/>
    </xf>
    <xf numFmtId="0" fontId="32" fillId="3" borderId="0" xfId="26" applyFont="1" applyFill="1" applyAlignment="1">
      <alignment horizontal="left" vertical="center" indent="1"/>
    </xf>
    <xf numFmtId="0" fontId="32" fillId="0" borderId="4" xfId="26" applyFont="1" applyBorder="1" applyAlignment="1">
      <alignment horizontal="left" vertical="center" indent="4"/>
    </xf>
    <xf numFmtId="170" fontId="31" fillId="0" borderId="18" xfId="26" applyNumberFormat="1" applyFont="1" applyBorder="1" applyAlignment="1">
      <alignment horizontal="center" vertical="center"/>
    </xf>
    <xf numFmtId="170" fontId="31" fillId="0" borderId="2" xfId="26" applyNumberFormat="1" applyFont="1" applyBorder="1" applyAlignment="1">
      <alignment horizontal="center" vertical="center"/>
    </xf>
    <xf numFmtId="0" fontId="31" fillId="0" borderId="14" xfId="26" applyFont="1" applyBorder="1" applyAlignment="1">
      <alignment horizontal="center" vertical="center"/>
    </xf>
    <xf numFmtId="0" fontId="31" fillId="0" borderId="18" xfId="26" applyFont="1" applyBorder="1" applyAlignment="1">
      <alignment horizontal="center" vertical="center"/>
    </xf>
    <xf numFmtId="2" fontId="31" fillId="0" borderId="8" xfId="26" applyNumberFormat="1" applyFont="1" applyBorder="1" applyAlignment="1">
      <alignment horizontal="center" vertical="center"/>
    </xf>
    <xf numFmtId="0" fontId="31" fillId="0" borderId="8" xfId="26" applyFont="1" applyBorder="1" applyAlignment="1">
      <alignment horizontal="center" vertical="center"/>
    </xf>
    <xf numFmtId="168" fontId="31" fillId="0" borderId="8" xfId="26" applyNumberFormat="1" applyFont="1" applyBorder="1" applyAlignment="1">
      <alignment horizontal="center" vertical="center"/>
    </xf>
    <xf numFmtId="3" fontId="31" fillId="0" borderId="8" xfId="26" applyNumberFormat="1" applyFont="1" applyBorder="1" applyAlignment="1">
      <alignment horizontal="center" vertical="center"/>
    </xf>
    <xf numFmtId="4" fontId="31" fillId="0" borderId="8" xfId="26" applyNumberFormat="1" applyFont="1" applyBorder="1" applyAlignment="1">
      <alignment horizontal="center" vertical="center"/>
    </xf>
    <xf numFmtId="4" fontId="31" fillId="0" borderId="2" xfId="26" applyNumberFormat="1" applyFont="1" applyBorder="1" applyAlignment="1">
      <alignment horizontal="center" vertical="center"/>
    </xf>
    <xf numFmtId="0" fontId="31" fillId="0" borderId="19" xfId="26" applyFont="1" applyBorder="1" applyAlignment="1">
      <alignment horizontal="center" vertical="center"/>
    </xf>
    <xf numFmtId="0" fontId="31" fillId="0" borderId="21" xfId="26" applyFont="1" applyBorder="1" applyAlignment="1">
      <alignment horizontal="center" vertical="center"/>
    </xf>
    <xf numFmtId="0" fontId="31" fillId="0" borderId="22" xfId="26" applyFont="1" applyBorder="1" applyAlignment="1">
      <alignment horizontal="center" vertical="center"/>
    </xf>
    <xf numFmtId="0" fontId="33" fillId="3" borderId="4" xfId="26" applyFont="1" applyFill="1" applyBorder="1" applyAlignment="1">
      <alignment vertical="center"/>
    </xf>
    <xf numFmtId="0" fontId="33" fillId="3" borderId="0" xfId="26" applyFont="1" applyFill="1" applyAlignment="1">
      <alignment vertical="center"/>
    </xf>
    <xf numFmtId="0" fontId="31" fillId="5" borderId="21" xfId="26" applyFont="1" applyFill="1" applyBorder="1" applyAlignment="1">
      <alignment horizontal="right" vertical="center"/>
    </xf>
    <xf numFmtId="2" fontId="31" fillId="5" borderId="20" xfId="26" applyNumberFormat="1" applyFont="1" applyFill="1" applyBorder="1" applyAlignment="1">
      <alignment horizontal="center" vertical="center"/>
    </xf>
    <xf numFmtId="0" fontId="28" fillId="5" borderId="22" xfId="26" applyFont="1" applyFill="1" applyBorder="1" applyAlignment="1">
      <alignment vertical="center"/>
    </xf>
    <xf numFmtId="0" fontId="19" fillId="0" borderId="11" xfId="26" applyFont="1" applyBorder="1" applyAlignment="1">
      <alignment horizontal="left" vertical="center"/>
    </xf>
    <xf numFmtId="168" fontId="0" fillId="0" borderId="17" xfId="0" applyNumberFormat="1" applyBorder="1"/>
    <xf numFmtId="0" fontId="8" fillId="0" borderId="0" xfId="29" applyFont="1"/>
    <xf numFmtId="0" fontId="32" fillId="0" borderId="16" xfId="26" applyFont="1" applyBorder="1" applyAlignment="1">
      <alignment horizontal="right" vertical="center"/>
    </xf>
    <xf numFmtId="0" fontId="32" fillId="0" borderId="0" xfId="26" applyFont="1" applyAlignment="1">
      <alignment horizontal="right" vertical="center"/>
    </xf>
    <xf numFmtId="0" fontId="32" fillId="0" borderId="0" xfId="26" applyFont="1" applyAlignment="1">
      <alignment horizontal="right" vertical="center" wrapText="1"/>
    </xf>
    <xf numFmtId="0" fontId="32" fillId="0" borderId="13" xfId="26" applyFont="1" applyBorder="1" applyAlignment="1">
      <alignment horizontal="right" vertical="center"/>
    </xf>
    <xf numFmtId="0" fontId="32" fillId="0" borderId="15" xfId="26" applyFont="1" applyBorder="1" applyAlignment="1">
      <alignment horizontal="right" vertical="center"/>
    </xf>
    <xf numFmtId="0" fontId="32" fillId="0" borderId="7" xfId="26" applyFont="1" applyBorder="1" applyAlignment="1">
      <alignment horizontal="right" vertical="center"/>
    </xf>
    <xf numFmtId="0" fontId="32" fillId="0" borderId="5" xfId="26" applyFont="1" applyBorder="1" applyAlignment="1">
      <alignment horizontal="right" vertical="center"/>
    </xf>
    <xf numFmtId="4" fontId="31" fillId="0" borderId="18" xfId="26" applyNumberFormat="1" applyFont="1" applyBorder="1" applyAlignment="1">
      <alignment horizontal="center" vertical="center"/>
    </xf>
    <xf numFmtId="2" fontId="31" fillId="0" borderId="18" xfId="26" applyNumberFormat="1" applyFont="1" applyBorder="1" applyAlignment="1">
      <alignment horizontal="center" vertical="center"/>
    </xf>
    <xf numFmtId="2" fontId="31" fillId="0" borderId="2" xfId="26" applyNumberFormat="1" applyFont="1" applyBorder="1" applyAlignment="1">
      <alignment horizontal="center" vertical="center"/>
    </xf>
    <xf numFmtId="0" fontId="32" fillId="0" borderId="5" xfId="26" applyFont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0" fontId="19" fillId="0" borderId="13" xfId="26" applyFont="1" applyBorder="1" applyAlignment="1">
      <alignment horizontal="center"/>
    </xf>
    <xf numFmtId="2" fontId="19" fillId="0" borderId="1" xfId="1" applyNumberFormat="1" applyBorder="1"/>
    <xf numFmtId="2" fontId="25" fillId="0" borderId="0" xfId="26" applyNumberFormat="1" applyAlignment="1">
      <alignment horizontal="right"/>
    </xf>
    <xf numFmtId="0" fontId="19" fillId="0" borderId="19" xfId="1" applyBorder="1" applyAlignment="1">
      <alignment horizontal="right"/>
    </xf>
    <xf numFmtId="4" fontId="25" fillId="0" borderId="0" xfId="26" applyNumberFormat="1"/>
    <xf numFmtId="0" fontId="18" fillId="0" borderId="18" xfId="0" applyFont="1" applyBorder="1" applyAlignment="1">
      <alignment horizontal="center"/>
    </xf>
    <xf numFmtId="0" fontId="7" fillId="0" borderId="0" xfId="29" applyFont="1"/>
    <xf numFmtId="0" fontId="0" fillId="0" borderId="19" xfId="0" applyBorder="1" applyAlignment="1">
      <alignment horizontal="center"/>
    </xf>
    <xf numFmtId="0" fontId="0" fillId="0" borderId="23" xfId="0" applyBorder="1"/>
    <xf numFmtId="3" fontId="0" fillId="0" borderId="23" xfId="0" applyNumberFormat="1" applyBorder="1"/>
    <xf numFmtId="2" fontId="0" fillId="0" borderId="23" xfId="0" applyNumberFormat="1" applyBorder="1"/>
    <xf numFmtId="11" fontId="0" fillId="0" borderId="23" xfId="0" applyNumberFormat="1" applyBorder="1"/>
    <xf numFmtId="170" fontId="15" fillId="0" borderId="0" xfId="27" applyNumberFormat="1" applyFont="1" applyFill="1" applyBorder="1" applyAlignment="1">
      <alignment horizontal="center"/>
    </xf>
    <xf numFmtId="0" fontId="6" fillId="0" borderId="0" xfId="29" applyFont="1"/>
    <xf numFmtId="9" fontId="6" fillId="0" borderId="0" xfId="27" applyFont="1" applyFill="1" applyBorder="1" applyAlignment="1">
      <alignment horizontal="center"/>
    </xf>
    <xf numFmtId="9" fontId="6" fillId="0" borderId="13" xfId="27" applyFont="1" applyFill="1" applyBorder="1" applyAlignment="1">
      <alignment horizontal="center"/>
    </xf>
    <xf numFmtId="0" fontId="25" fillId="0" borderId="19" xfId="26" applyBorder="1" applyAlignment="1">
      <alignment horizontal="center"/>
    </xf>
    <xf numFmtId="0" fontId="19" fillId="0" borderId="19" xfId="26" applyFont="1" applyBorder="1"/>
    <xf numFmtId="0" fontId="19" fillId="0" borderId="19" xfId="26" applyFont="1" applyBorder="1" applyAlignment="1">
      <alignment horizontal="center" wrapText="1"/>
    </xf>
    <xf numFmtId="4" fontId="0" fillId="0" borderId="0" xfId="0" quotePrefix="1" applyNumberFormat="1" applyAlignment="1">
      <alignment horizontal="center"/>
    </xf>
    <xf numFmtId="0" fontId="19" fillId="0" borderId="1" xfId="26" applyFont="1" applyBorder="1" applyAlignment="1">
      <alignment horizontal="center" wrapText="1"/>
    </xf>
    <xf numFmtId="171" fontId="25" fillId="0" borderId="1" xfId="26" applyNumberFormat="1" applyBorder="1" applyAlignment="1">
      <alignment horizontal="center"/>
    </xf>
    <xf numFmtId="2" fontId="25" fillId="0" borderId="1" xfId="26" applyNumberFormat="1" applyBorder="1" applyAlignment="1">
      <alignment horizontal="center"/>
    </xf>
    <xf numFmtId="3" fontId="25" fillId="0" borderId="1" xfId="26" applyNumberFormat="1" applyBorder="1" applyAlignment="1">
      <alignment horizontal="center"/>
    </xf>
    <xf numFmtId="3" fontId="17" fillId="0" borderId="5" xfId="29" applyNumberFormat="1" applyBorder="1"/>
    <xf numFmtId="0" fontId="11" fillId="0" borderId="6" xfId="29" applyFont="1" applyBorder="1"/>
    <xf numFmtId="0" fontId="17" fillId="0" borderId="7" xfId="29" applyBorder="1"/>
    <xf numFmtId="0" fontId="15" fillId="0" borderId="22" xfId="29" applyFont="1" applyBorder="1" applyAlignment="1">
      <alignment horizontal="center" vertical="center" wrapText="1"/>
    </xf>
    <xf numFmtId="0" fontId="15" fillId="0" borderId="21" xfId="29" applyFont="1" applyBorder="1" applyAlignment="1">
      <alignment horizontal="center" vertical="center" wrapText="1"/>
    </xf>
    <xf numFmtId="0" fontId="17" fillId="0" borderId="22" xfId="29" applyBorder="1" applyAlignment="1">
      <alignment horizontal="center" vertical="center" wrapText="1"/>
    </xf>
    <xf numFmtId="4" fontId="17" fillId="3" borderId="21" xfId="29" applyNumberFormat="1" applyFill="1" applyBorder="1"/>
    <xf numFmtId="0" fontId="5" fillId="3" borderId="22" xfId="29" applyFont="1" applyFill="1" applyBorder="1"/>
    <xf numFmtId="2" fontId="31" fillId="0" borderId="0" xfId="26" applyNumberFormat="1" applyFont="1" applyAlignment="1">
      <alignment horizontal="center" vertical="center"/>
    </xf>
    <xf numFmtId="166" fontId="31" fillId="0" borderId="8" xfId="26" applyNumberFormat="1" applyFont="1" applyBorder="1" applyAlignment="1">
      <alignment horizontal="center" vertical="center"/>
    </xf>
    <xf numFmtId="168" fontId="31" fillId="0" borderId="0" xfId="26" applyNumberFormat="1" applyFont="1" applyAlignment="1">
      <alignment horizontal="center" vertical="center"/>
    </xf>
    <xf numFmtId="4" fontId="31" fillId="0" borderId="0" xfId="26" applyNumberFormat="1" applyFont="1" applyAlignment="1">
      <alignment horizontal="center" vertical="center"/>
    </xf>
    <xf numFmtId="4" fontId="31" fillId="0" borderId="13" xfId="26" applyNumberFormat="1" applyFont="1" applyBorder="1" applyAlignment="1">
      <alignment horizontal="center" vertical="center"/>
    </xf>
    <xf numFmtId="170" fontId="31" fillId="0" borderId="14" xfId="26" applyNumberFormat="1" applyFont="1" applyBorder="1" applyAlignment="1">
      <alignment horizontal="center" vertical="center"/>
    </xf>
    <xf numFmtId="170" fontId="31" fillId="0" borderId="15" xfId="26" applyNumberFormat="1" applyFont="1" applyBorder="1" applyAlignment="1">
      <alignment horizontal="center" vertical="center"/>
    </xf>
    <xf numFmtId="170" fontId="31" fillId="0" borderId="6" xfId="26" applyNumberFormat="1" applyFont="1" applyBorder="1" applyAlignment="1">
      <alignment horizontal="center" vertical="center"/>
    </xf>
    <xf numFmtId="170" fontId="31" fillId="0" borderId="7" xfId="26" applyNumberFormat="1" applyFont="1" applyBorder="1" applyAlignment="1">
      <alignment horizontal="center" vertical="center"/>
    </xf>
    <xf numFmtId="2" fontId="31" fillId="0" borderId="4" xfId="26" applyNumberFormat="1" applyFont="1" applyBorder="1" applyAlignment="1">
      <alignment horizontal="center" vertical="center"/>
    </xf>
    <xf numFmtId="0" fontId="31" fillId="0" borderId="4" xfId="26" applyFont="1" applyBorder="1" applyAlignment="1">
      <alignment horizontal="center" vertical="center"/>
    </xf>
    <xf numFmtId="168" fontId="31" fillId="0" borderId="4" xfId="26" applyNumberFormat="1" applyFont="1" applyBorder="1" applyAlignment="1">
      <alignment horizontal="center" vertical="center"/>
    </xf>
    <xf numFmtId="0" fontId="57" fillId="0" borderId="0" xfId="0" applyFont="1"/>
    <xf numFmtId="0" fontId="57" fillId="0" borderId="5" xfId="0" applyFont="1" applyBorder="1" applyAlignment="1">
      <alignment wrapText="1"/>
    </xf>
    <xf numFmtId="0" fontId="4" fillId="0" borderId="0" xfId="29" applyFont="1"/>
    <xf numFmtId="0" fontId="4" fillId="0" borderId="0" xfId="29" applyFont="1" applyAlignment="1">
      <alignment horizontal="right"/>
    </xf>
    <xf numFmtId="0" fontId="11" fillId="0" borderId="4" xfId="29" applyFont="1" applyBorder="1" applyAlignment="1">
      <alignment wrapText="1"/>
    </xf>
    <xf numFmtId="0" fontId="12" fillId="0" borderId="0" xfId="29" applyFont="1"/>
    <xf numFmtId="2" fontId="4" fillId="0" borderId="0" xfId="29" applyNumberFormat="1" applyFont="1"/>
    <xf numFmtId="0" fontId="5" fillId="0" borderId="24" xfId="29" applyFont="1" applyBorder="1" applyAlignment="1">
      <alignment horizontal="center"/>
    </xf>
    <xf numFmtId="0" fontId="5" fillId="0" borderId="22" xfId="29" applyFont="1" applyBorder="1" applyAlignment="1">
      <alignment horizontal="center"/>
    </xf>
    <xf numFmtId="166" fontId="17" fillId="0" borderId="2" xfId="29" applyNumberFormat="1" applyBorder="1"/>
    <xf numFmtId="0" fontId="14" fillId="0" borderId="21" xfId="29" applyFont="1" applyBorder="1" applyAlignment="1">
      <alignment horizontal="center" vertical="center" wrapText="1"/>
    </xf>
    <xf numFmtId="2" fontId="17" fillId="0" borderId="5" xfId="29" applyNumberFormat="1" applyBorder="1"/>
    <xf numFmtId="0" fontId="6" fillId="0" borderId="13" xfId="29" applyFont="1" applyBorder="1"/>
    <xf numFmtId="2" fontId="17" fillId="0" borderId="7" xfId="29" applyNumberFormat="1" applyBorder="1"/>
    <xf numFmtId="0" fontId="4" fillId="0" borderId="24" xfId="29" applyFont="1" applyBorder="1" applyAlignment="1">
      <alignment horizontal="center" wrapText="1"/>
    </xf>
    <xf numFmtId="2" fontId="17" fillId="0" borderId="2" xfId="29" applyNumberFormat="1" applyBorder="1"/>
    <xf numFmtId="0" fontId="4" fillId="0" borderId="21" xfId="29" applyFont="1" applyBorder="1" applyAlignment="1">
      <alignment horizontal="center" wrapText="1"/>
    </xf>
    <xf numFmtId="0" fontId="17" fillId="0" borderId="4" xfId="29" applyBorder="1"/>
    <xf numFmtId="0" fontId="17" fillId="0" borderId="6" xfId="29" applyBorder="1"/>
    <xf numFmtId="0" fontId="17" fillId="0" borderId="14" xfId="29" applyBorder="1"/>
    <xf numFmtId="168" fontId="17" fillId="0" borderId="16" xfId="29" applyNumberFormat="1" applyBorder="1"/>
    <xf numFmtId="2" fontId="17" fillId="0" borderId="15" xfId="29" applyNumberFormat="1" applyBorder="1"/>
    <xf numFmtId="168" fontId="17" fillId="0" borderId="0" xfId="29" applyNumberFormat="1"/>
    <xf numFmtId="168" fontId="17" fillId="0" borderId="13" xfId="29" applyNumberFormat="1" applyBorder="1"/>
    <xf numFmtId="166" fontId="17" fillId="0" borderId="16" xfId="29" applyNumberFormat="1" applyBorder="1"/>
    <xf numFmtId="0" fontId="4" fillId="0" borderId="21" xfId="29" applyFont="1" applyBorder="1" applyAlignment="1">
      <alignment horizontal="right"/>
    </xf>
    <xf numFmtId="2" fontId="17" fillId="0" borderId="24" xfId="29" applyNumberFormat="1" applyBorder="1"/>
    <xf numFmtId="0" fontId="4" fillId="0" borderId="22" xfId="29" applyFont="1" applyBorder="1"/>
    <xf numFmtId="0" fontId="51" fillId="0" borderId="0" xfId="0" applyFont="1"/>
    <xf numFmtId="171" fontId="18" fillId="0" borderId="0" xfId="0" applyNumberFormat="1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1" fontId="18" fillId="0" borderId="21" xfId="0" applyNumberFormat="1" applyFont="1" applyBorder="1" applyAlignment="1">
      <alignment horizontal="right"/>
    </xf>
    <xf numFmtId="2" fontId="0" fillId="0" borderId="24" xfId="0" applyNumberFormat="1" applyBorder="1"/>
    <xf numFmtId="0" fontId="18" fillId="3" borderId="14" xfId="0" applyFont="1" applyFill="1" applyBorder="1" applyAlignment="1">
      <alignment horizontal="right"/>
    </xf>
    <xf numFmtId="4" fontId="18" fillId="3" borderId="16" xfId="0" applyNumberFormat="1" applyFont="1" applyFill="1" applyBorder="1"/>
    <xf numFmtId="0" fontId="0" fillId="3" borderId="15" xfId="0" applyFill="1" applyBorder="1"/>
    <xf numFmtId="0" fontId="18" fillId="3" borderId="6" xfId="0" applyFont="1" applyFill="1" applyBorder="1" applyAlignment="1">
      <alignment horizontal="right"/>
    </xf>
    <xf numFmtId="4" fontId="18" fillId="3" borderId="13" xfId="0" applyNumberFormat="1" applyFont="1" applyFill="1" applyBorder="1"/>
    <xf numFmtId="0" fontId="0" fillId="3" borderId="7" xfId="0" applyFill="1" applyBorder="1"/>
    <xf numFmtId="164" fontId="0" fillId="0" borderId="0" xfId="0" applyNumberFormat="1"/>
    <xf numFmtId="0" fontId="16" fillId="0" borderId="22" xfId="29" applyFont="1" applyBorder="1" applyAlignment="1">
      <alignment horizontal="center" vertical="center" wrapText="1"/>
    </xf>
    <xf numFmtId="0" fontId="31" fillId="0" borderId="0" xfId="26" applyFont="1" applyAlignment="1">
      <alignment horizontal="right" vertical="center"/>
    </xf>
    <xf numFmtId="0" fontId="28" fillId="0" borderId="0" xfId="26" applyFont="1" applyAlignment="1">
      <alignment horizontal="center" vertical="center"/>
    </xf>
    <xf numFmtId="0" fontId="31" fillId="0" borderId="0" xfId="26" applyFont="1" applyAlignment="1">
      <alignment horizontal="left" vertical="center"/>
    </xf>
    <xf numFmtId="2" fontId="43" fillId="0" borderId="0" xfId="0" applyNumberFormat="1" applyFont="1" applyAlignment="1">
      <alignment horizontal="center" wrapText="1"/>
    </xf>
    <xf numFmtId="1" fontId="43" fillId="0" borderId="0" xfId="0" applyNumberFormat="1" applyFont="1" applyAlignment="1">
      <alignment horizontal="center" wrapText="1"/>
    </xf>
    <xf numFmtId="0" fontId="19" fillId="0" borderId="0" xfId="26" applyFont="1" applyAlignment="1">
      <alignment horizontal="right"/>
    </xf>
    <xf numFmtId="1" fontId="43" fillId="0" borderId="13" xfId="0" applyNumberFormat="1" applyFont="1" applyBorder="1" applyAlignment="1">
      <alignment horizontal="center" wrapText="1"/>
    </xf>
    <xf numFmtId="2" fontId="25" fillId="0" borderId="13" xfId="26" applyNumberFormat="1" applyBorder="1" applyAlignment="1">
      <alignment horizontal="center"/>
    </xf>
    <xf numFmtId="0" fontId="38" fillId="0" borderId="0" xfId="26" applyFont="1" applyAlignment="1">
      <alignment horizontal="center" vertical="center" wrapText="1"/>
    </xf>
    <xf numFmtId="2" fontId="19" fillId="0" borderId="0" xfId="26" applyNumberFormat="1" applyFont="1" applyAlignment="1">
      <alignment horizontal="center"/>
    </xf>
    <xf numFmtId="2" fontId="19" fillId="0" borderId="0" xfId="26" applyNumberFormat="1" applyFont="1" applyAlignment="1">
      <alignment horizontal="right"/>
    </xf>
    <xf numFmtId="2" fontId="0" fillId="0" borderId="13" xfId="0" applyNumberForma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4" borderId="19" xfId="0" applyFill="1" applyBorder="1"/>
    <xf numFmtId="3" fontId="0" fillId="0" borderId="14" xfId="0" applyNumberFormat="1" applyBorder="1"/>
    <xf numFmtId="3" fontId="19" fillId="0" borderId="0" xfId="1" applyNumberFormat="1"/>
    <xf numFmtId="0" fontId="4" fillId="0" borderId="12" xfId="29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18" fillId="0" borderId="13" xfId="0" applyFont="1" applyBorder="1" applyAlignment="1">
      <alignment horizontal="center" wrapText="1"/>
    </xf>
    <xf numFmtId="0" fontId="57" fillId="0" borderId="16" xfId="0" applyFont="1" applyBorder="1"/>
    <xf numFmtId="0" fontId="57" fillId="0" borderId="13" xfId="0" applyFont="1" applyBorder="1"/>
    <xf numFmtId="0" fontId="57" fillId="0" borderId="24" xfId="0" applyFont="1" applyBorder="1"/>
    <xf numFmtId="0" fontId="0" fillId="0" borderId="22" xfId="0" applyBorder="1" applyAlignment="1">
      <alignment horizontal="center"/>
    </xf>
    <xf numFmtId="0" fontId="57" fillId="0" borderId="19" xfId="0" applyFont="1" applyBorder="1" applyAlignment="1">
      <alignment wrapText="1"/>
    </xf>
    <xf numFmtId="0" fontId="57" fillId="0" borderId="24" xfId="0" applyFont="1" applyBorder="1" applyAlignment="1">
      <alignment wrapText="1"/>
    </xf>
    <xf numFmtId="0" fontId="0" fillId="0" borderId="22" xfId="0" applyBorder="1" applyAlignment="1">
      <alignment horizontal="center" wrapText="1"/>
    </xf>
    <xf numFmtId="0" fontId="62" fillId="0" borderId="0" xfId="29" applyFont="1"/>
    <xf numFmtId="0" fontId="37" fillId="0" borderId="0" xfId="26" applyFont="1" applyAlignment="1">
      <alignment vertical="center"/>
    </xf>
    <xf numFmtId="0" fontId="31" fillId="0" borderId="6" xfId="26" applyFont="1" applyBorder="1" applyAlignment="1">
      <alignment horizontal="center" vertical="center"/>
    </xf>
    <xf numFmtId="0" fontId="28" fillId="0" borderId="4" xfId="26" applyFont="1" applyBorder="1" applyAlignment="1">
      <alignment horizontal="center" vertical="center"/>
    </xf>
    <xf numFmtId="0" fontId="28" fillId="0" borderId="6" xfId="26" applyFont="1" applyBorder="1" applyAlignment="1">
      <alignment horizontal="center" vertical="center"/>
    </xf>
    <xf numFmtId="0" fontId="31" fillId="0" borderId="21" xfId="26" applyFont="1" applyBorder="1" applyAlignment="1">
      <alignment horizontal="center" vertical="center" wrapText="1"/>
    </xf>
    <xf numFmtId="0" fontId="31" fillId="0" borderId="22" xfId="26" applyFont="1" applyBorder="1" applyAlignment="1">
      <alignment horizontal="center" vertical="center" wrapText="1"/>
    </xf>
    <xf numFmtId="0" fontId="31" fillId="0" borderId="7" xfId="26" applyFont="1" applyBorder="1" applyAlignment="1">
      <alignment horizontal="center" vertical="center"/>
    </xf>
    <xf numFmtId="0" fontId="28" fillId="0" borderId="7" xfId="26" applyFont="1" applyBorder="1" applyAlignment="1">
      <alignment horizontal="center" vertical="center"/>
    </xf>
    <xf numFmtId="2" fontId="38" fillId="0" borderId="0" xfId="26" applyNumberFormat="1" applyFont="1" applyAlignment="1">
      <alignment horizontal="center"/>
    </xf>
    <xf numFmtId="0" fontId="39" fillId="0" borderId="0" xfId="26" applyFont="1"/>
    <xf numFmtId="0" fontId="37" fillId="0" borderId="0" xfId="1" applyFont="1"/>
    <xf numFmtId="0" fontId="30" fillId="0" borderId="21" xfId="26" applyFont="1" applyBorder="1" applyAlignment="1">
      <alignment vertical="center"/>
    </xf>
    <xf numFmtId="2" fontId="30" fillId="0" borderId="24" xfId="26" applyNumberFormat="1" applyFont="1" applyBorder="1" applyAlignment="1">
      <alignment horizontal="center" vertical="center"/>
    </xf>
    <xf numFmtId="0" fontId="30" fillId="0" borderId="22" xfId="26" applyFont="1" applyBorder="1" applyAlignment="1">
      <alignment horizontal="center" vertical="center"/>
    </xf>
    <xf numFmtId="0" fontId="19" fillId="0" borderId="7" xfId="26" applyFont="1" applyBorder="1" applyAlignment="1">
      <alignment horizontal="center"/>
    </xf>
    <xf numFmtId="3" fontId="25" fillId="0" borderId="13" xfId="26" applyNumberFormat="1" applyBorder="1" applyAlignment="1">
      <alignment horizontal="center"/>
    </xf>
    <xf numFmtId="3" fontId="25" fillId="0" borderId="7" xfId="26" applyNumberFormat="1" applyBorder="1" applyAlignment="1">
      <alignment horizontal="center"/>
    </xf>
    <xf numFmtId="0" fontId="38" fillId="0" borderId="0" xfId="26" applyFont="1" applyAlignment="1">
      <alignment horizontal="center"/>
    </xf>
    <xf numFmtId="168" fontId="19" fillId="0" borderId="13" xfId="26" applyNumberFormat="1" applyFont="1" applyBorder="1" applyAlignment="1">
      <alignment horizontal="center"/>
    </xf>
    <xf numFmtId="0" fontId="38" fillId="0" borderId="21" xfId="26" applyFont="1" applyBorder="1"/>
    <xf numFmtId="0" fontId="38" fillId="0" borderId="24" xfId="26" applyFont="1" applyBorder="1"/>
    <xf numFmtId="0" fontId="38" fillId="0" borderId="24" xfId="26" applyFont="1" applyBorder="1" applyAlignment="1">
      <alignment horizontal="center"/>
    </xf>
    <xf numFmtId="0" fontId="38" fillId="0" borderId="22" xfId="26" applyFont="1" applyBorder="1" applyAlignment="1">
      <alignment horizontal="center"/>
    </xf>
    <xf numFmtId="168" fontId="25" fillId="0" borderId="7" xfId="26" applyNumberFormat="1" applyBorder="1" applyAlignment="1">
      <alignment horizontal="center"/>
    </xf>
    <xf numFmtId="168" fontId="25" fillId="0" borderId="5" xfId="26" applyNumberFormat="1" applyBorder="1" applyAlignment="1">
      <alignment horizontal="center"/>
    </xf>
    <xf numFmtId="164" fontId="25" fillId="0" borderId="0" xfId="26" applyNumberFormat="1" applyAlignment="1">
      <alignment horizontal="center"/>
    </xf>
    <xf numFmtId="164" fontId="25" fillId="0" borderId="5" xfId="26" applyNumberFormat="1" applyBorder="1" applyAlignment="1">
      <alignment horizontal="center"/>
    </xf>
    <xf numFmtId="1" fontId="25" fillId="0" borderId="13" xfId="26" applyNumberFormat="1" applyBorder="1" applyAlignment="1">
      <alignment horizontal="center"/>
    </xf>
    <xf numFmtId="1" fontId="25" fillId="0" borderId="7" xfId="26" applyNumberFormat="1" applyBorder="1" applyAlignment="1">
      <alignment horizontal="center"/>
    </xf>
    <xf numFmtId="0" fontId="38" fillId="0" borderId="5" xfId="26" applyFont="1" applyBorder="1" applyAlignment="1">
      <alignment horizontal="center"/>
    </xf>
    <xf numFmtId="0" fontId="19" fillId="0" borderId="6" xfId="26" applyFont="1" applyBorder="1" applyAlignment="1">
      <alignment horizontal="center"/>
    </xf>
    <xf numFmtId="168" fontId="25" fillId="0" borderId="4" xfId="26" applyNumberFormat="1" applyBorder="1" applyAlignment="1">
      <alignment horizontal="center"/>
    </xf>
    <xf numFmtId="164" fontId="25" fillId="0" borderId="4" xfId="26" applyNumberFormat="1" applyBorder="1" applyAlignment="1">
      <alignment horizontal="center"/>
    </xf>
    <xf numFmtId="1" fontId="25" fillId="0" borderId="6" xfId="26" applyNumberFormat="1" applyBorder="1" applyAlignment="1">
      <alignment horizontal="center"/>
    </xf>
    <xf numFmtId="168" fontId="19" fillId="0" borderId="7" xfId="26" applyNumberFormat="1" applyFont="1" applyBorder="1" applyAlignment="1">
      <alignment horizontal="center"/>
    </xf>
    <xf numFmtId="2" fontId="25" fillId="0" borderId="4" xfId="26" applyNumberFormat="1" applyBorder="1" applyAlignment="1">
      <alignment horizontal="center"/>
    </xf>
    <xf numFmtId="3" fontId="25" fillId="0" borderId="6" xfId="26" applyNumberFormat="1" applyBorder="1" applyAlignment="1">
      <alignment horizontal="center"/>
    </xf>
    <xf numFmtId="0" fontId="38" fillId="0" borderId="4" xfId="26" applyFont="1" applyBorder="1" applyAlignment="1">
      <alignment horizontal="center"/>
    </xf>
    <xf numFmtId="0" fontId="25" fillId="0" borderId="18" xfId="26" applyBorder="1"/>
    <xf numFmtId="49" fontId="0" fillId="0" borderId="17" xfId="0" applyNumberFormat="1" applyBorder="1" applyAlignment="1">
      <alignment horizontal="center" vertical="center"/>
    </xf>
    <xf numFmtId="11" fontId="0" fillId="0" borderId="2" xfId="0" applyNumberFormat="1" applyBorder="1"/>
    <xf numFmtId="11" fontId="0" fillId="0" borderId="25" xfId="0" applyNumberFormat="1" applyBorder="1"/>
    <xf numFmtId="0" fontId="50" fillId="0" borderId="0" xfId="0" applyFont="1"/>
    <xf numFmtId="165" fontId="31" fillId="0" borderId="4" xfId="26" applyNumberFormat="1" applyFont="1" applyBorder="1" applyAlignment="1">
      <alignment horizontal="center" vertical="center"/>
    </xf>
    <xf numFmtId="0" fontId="19" fillId="0" borderId="13" xfId="26" applyFont="1" applyBorder="1"/>
    <xf numFmtId="165" fontId="43" fillId="0" borderId="13" xfId="0" applyNumberFormat="1" applyFont="1" applyBorder="1" applyAlignment="1">
      <alignment horizontal="center" wrapText="1"/>
    </xf>
    <xf numFmtId="49" fontId="19" fillId="0" borderId="13" xfId="26" applyNumberFormat="1" applyFont="1" applyBorder="1"/>
    <xf numFmtId="0" fontId="32" fillId="0" borderId="0" xfId="26" applyFont="1"/>
    <xf numFmtId="3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38" fillId="0" borderId="14" xfId="26" applyFont="1" applyBorder="1" applyAlignment="1">
      <alignment horizontal="center" vertical="center"/>
    </xf>
    <xf numFmtId="0" fontId="38" fillId="0" borderId="11" xfId="26" applyFont="1" applyBorder="1" applyAlignment="1">
      <alignment horizontal="center" vertical="center"/>
    </xf>
    <xf numFmtId="0" fontId="63" fillId="0" borderId="0" xfId="0" applyFont="1"/>
    <xf numFmtId="0" fontId="19" fillId="0" borderId="0" xfId="26" applyFont="1" applyAlignment="1">
      <alignment horizontal="left"/>
    </xf>
    <xf numFmtId="0" fontId="19" fillId="0" borderId="14" xfId="26" applyFont="1" applyBorder="1" applyAlignment="1">
      <alignment horizontal="left" vertical="center"/>
    </xf>
    <xf numFmtId="0" fontId="19" fillId="0" borderId="16" xfId="26" applyFont="1" applyBorder="1"/>
    <xf numFmtId="0" fontId="3" fillId="0" borderId="4" xfId="29" applyFont="1" applyBorder="1"/>
    <xf numFmtId="0" fontId="2" fillId="0" borderId="4" xfId="29" applyFont="1" applyBorder="1" applyAlignment="1">
      <alignment wrapText="1"/>
    </xf>
    <xf numFmtId="2" fontId="25" fillId="0" borderId="2" xfId="26" applyNumberFormat="1" applyBorder="1" applyAlignment="1">
      <alignment horizontal="center"/>
    </xf>
    <xf numFmtId="2" fontId="19" fillId="0" borderId="0" xfId="26" applyNumberFormat="1" applyFont="1" applyAlignment="1">
      <alignment horizontal="left"/>
    </xf>
    <xf numFmtId="0" fontId="19" fillId="0" borderId="18" xfId="26" applyFont="1" applyBorder="1" applyAlignment="1">
      <alignment wrapText="1"/>
    </xf>
    <xf numFmtId="0" fontId="19" fillId="0" borderId="10" xfId="26" applyFont="1" applyBorder="1" applyAlignment="1">
      <alignment horizontal="center"/>
    </xf>
    <xf numFmtId="0" fontId="19" fillId="0" borderId="0" xfId="26" applyFont="1" applyAlignment="1">
      <alignment horizontal="left" wrapText="1"/>
    </xf>
    <xf numFmtId="0" fontId="19" fillId="0" borderId="12" xfId="26" applyFont="1" applyBorder="1"/>
    <xf numFmtId="0" fontId="25" fillId="0" borderId="16" xfId="26" applyBorder="1" applyAlignment="1">
      <alignment horizontal="left" wrapText="1"/>
    </xf>
    <xf numFmtId="4" fontId="25" fillId="0" borderId="13" xfId="26" applyNumberFormat="1" applyBorder="1" applyAlignment="1">
      <alignment horizontal="left" wrapText="1"/>
    </xf>
    <xf numFmtId="0" fontId="25" fillId="0" borderId="12" xfId="26" applyBorder="1" applyAlignment="1">
      <alignment horizontal="left" wrapText="1"/>
    </xf>
    <xf numFmtId="0" fontId="25" fillId="0" borderId="13" xfId="26" applyBorder="1" applyAlignment="1">
      <alignment horizontal="left" wrapText="1"/>
    </xf>
    <xf numFmtId="2" fontId="25" fillId="0" borderId="0" xfId="26" applyNumberFormat="1" applyAlignment="1">
      <alignment horizontal="center" vertical="center"/>
    </xf>
    <xf numFmtId="2" fontId="27" fillId="0" borderId="0" xfId="26" applyNumberFormat="1" applyFont="1" applyAlignment="1">
      <alignment vertical="center"/>
    </xf>
    <xf numFmtId="0" fontId="0" fillId="0" borderId="2" xfId="0" applyBorder="1" applyAlignment="1">
      <alignment wrapText="1"/>
    </xf>
    <xf numFmtId="0" fontId="1" fillId="0" borderId="0" xfId="29" applyFont="1" applyAlignment="1">
      <alignment wrapText="1"/>
    </xf>
    <xf numFmtId="0" fontId="1" fillId="0" borderId="13" xfId="29" applyFont="1" applyBorder="1" applyAlignment="1">
      <alignment wrapText="1"/>
    </xf>
    <xf numFmtId="0" fontId="64" fillId="0" borderId="0" xfId="26" applyFont="1" applyAlignment="1">
      <alignment vertical="center"/>
    </xf>
    <xf numFmtId="0" fontId="31" fillId="0" borderId="19" xfId="26" applyFont="1" applyBorder="1" applyAlignment="1">
      <alignment vertical="center"/>
    </xf>
    <xf numFmtId="0" fontId="65" fillId="0" borderId="19" xfId="26" applyFont="1" applyBorder="1" applyAlignment="1">
      <alignment horizontal="center" vertical="center"/>
    </xf>
    <xf numFmtId="0" fontId="65" fillId="0" borderId="19" xfId="26" applyFont="1" applyBorder="1" applyAlignment="1">
      <alignment horizontal="center" vertical="center" wrapText="1"/>
    </xf>
    <xf numFmtId="2" fontId="31" fillId="0" borderId="19" xfId="26" applyNumberFormat="1" applyFont="1" applyBorder="1" applyAlignment="1">
      <alignment horizontal="center" vertical="center"/>
    </xf>
    <xf numFmtId="166" fontId="31" fillId="0" borderId="19" xfId="26" applyNumberFormat="1" applyFont="1" applyBorder="1" applyAlignment="1">
      <alignment horizontal="center" vertical="center"/>
    </xf>
    <xf numFmtId="0" fontId="25" fillId="0" borderId="21" xfId="26" applyBorder="1"/>
    <xf numFmtId="0" fontId="25" fillId="0" borderId="24" xfId="26" applyBorder="1" applyAlignment="1">
      <alignment horizontal="center"/>
    </xf>
    <xf numFmtId="0" fontId="25" fillId="0" borderId="24" xfId="26" applyBorder="1" applyAlignment="1">
      <alignment horizontal="left"/>
    </xf>
    <xf numFmtId="0" fontId="25" fillId="0" borderId="22" xfId="26" applyBorder="1" applyAlignment="1">
      <alignment horizontal="center"/>
    </xf>
    <xf numFmtId="0" fontId="25" fillId="0" borderId="0" xfId="26" applyAlignment="1">
      <alignment vertical="center"/>
    </xf>
    <xf numFmtId="0" fontId="19" fillId="0" borderId="12" xfId="26" applyFont="1" applyBorder="1" applyAlignment="1">
      <alignment horizontal="left"/>
    </xf>
    <xf numFmtId="9" fontId="31" fillId="0" borderId="0" xfId="26" applyNumberFormat="1" applyFont="1" applyAlignment="1">
      <alignment vertical="center"/>
    </xf>
    <xf numFmtId="0" fontId="0" fillId="0" borderId="16" xfId="0" applyBorder="1"/>
    <xf numFmtId="0" fontId="18" fillId="6" borderId="21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center"/>
    </xf>
    <xf numFmtId="0" fontId="18" fillId="6" borderId="22" xfId="0" applyFont="1" applyFill="1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8" fillId="4" borderId="21" xfId="0" applyFont="1" applyFill="1" applyBorder="1" applyAlignment="1">
      <alignment horizontal="center"/>
    </xf>
    <xf numFmtId="0" fontId="18" fillId="4" borderId="24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57" fillId="0" borderId="18" xfId="0" applyFont="1" applyBorder="1" applyAlignment="1">
      <alignment horizontal="left" vertical="center" wrapText="1"/>
    </xf>
    <xf numFmtId="0" fontId="57" fillId="0" borderId="8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7" fillId="0" borderId="18" xfId="0" applyFont="1" applyBorder="1" applyAlignment="1">
      <alignment horizontal="left" vertical="center"/>
    </xf>
    <xf numFmtId="0" fontId="57" fillId="0" borderId="8" xfId="0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1" xfId="29" applyFont="1" applyBorder="1" applyAlignment="1">
      <alignment horizontal="center"/>
    </xf>
    <xf numFmtId="0" fontId="5" fillId="0" borderId="24" xfId="29" applyFont="1" applyBorder="1" applyAlignment="1">
      <alignment horizontal="center"/>
    </xf>
    <xf numFmtId="0" fontId="5" fillId="0" borderId="22" xfId="29" applyFont="1" applyBorder="1" applyAlignment="1">
      <alignment horizontal="center"/>
    </xf>
    <xf numFmtId="0" fontId="4" fillId="0" borderId="21" xfId="29" applyFont="1" applyBorder="1" applyAlignment="1">
      <alignment horizontal="center"/>
    </xf>
    <xf numFmtId="0" fontId="4" fillId="0" borderId="24" xfId="29" applyFont="1" applyBorder="1" applyAlignment="1">
      <alignment horizontal="center"/>
    </xf>
    <xf numFmtId="0" fontId="4" fillId="0" borderId="22" xfId="29" applyFont="1" applyBorder="1" applyAlignment="1">
      <alignment horizontal="center"/>
    </xf>
    <xf numFmtId="0" fontId="20" fillId="0" borderId="14" xfId="29" applyFont="1" applyBorder="1" applyAlignment="1">
      <alignment horizontal="center" wrapText="1"/>
    </xf>
    <xf numFmtId="0" fontId="20" fillId="0" borderId="15" xfId="29" applyFont="1" applyBorder="1" applyAlignment="1">
      <alignment horizontal="center" wrapText="1"/>
    </xf>
    <xf numFmtId="0" fontId="30" fillId="0" borderId="21" xfId="26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45" fillId="0" borderId="0" xfId="26" applyFont="1" applyAlignment="1">
      <alignment horizontal="left" vertical="center"/>
    </xf>
    <xf numFmtId="0" fontId="26" fillId="0" borderId="0" xfId="26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1" fillId="0" borderId="21" xfId="26" applyFont="1" applyBorder="1" applyAlignment="1">
      <alignment horizontal="center" vertical="center"/>
    </xf>
    <xf numFmtId="0" fontId="31" fillId="0" borderId="22" xfId="26" applyFont="1" applyBorder="1" applyAlignment="1">
      <alignment horizontal="center" vertical="center"/>
    </xf>
    <xf numFmtId="0" fontId="31" fillId="0" borderId="16" xfId="26" applyFont="1" applyBorder="1" applyAlignment="1">
      <alignment horizontal="left" vertical="center" wrapText="1"/>
    </xf>
    <xf numFmtId="0" fontId="31" fillId="0" borderId="0" xfId="26" applyFont="1" applyAlignment="1">
      <alignment horizontal="left" vertical="center" wrapText="1"/>
    </xf>
    <xf numFmtId="0" fontId="31" fillId="0" borderId="14" xfId="26" applyFont="1" applyBorder="1" applyAlignment="1">
      <alignment horizontal="center" vertical="center"/>
    </xf>
    <xf numFmtId="0" fontId="31" fillId="0" borderId="15" xfId="26" applyFont="1" applyBorder="1" applyAlignment="1">
      <alignment horizontal="center" vertical="center"/>
    </xf>
    <xf numFmtId="49" fontId="31" fillId="0" borderId="21" xfId="26" applyNumberFormat="1" applyFont="1" applyBorder="1" applyAlignment="1">
      <alignment horizontal="center" vertical="center"/>
    </xf>
    <xf numFmtId="49" fontId="31" fillId="0" borderId="22" xfId="26" applyNumberFormat="1" applyFont="1" applyBorder="1" applyAlignment="1">
      <alignment horizontal="center" vertical="center"/>
    </xf>
    <xf numFmtId="0" fontId="38" fillId="0" borderId="11" xfId="26" applyFont="1" applyBorder="1" applyAlignment="1">
      <alignment horizontal="center"/>
    </xf>
    <xf numFmtId="0" fontId="38" fillId="0" borderId="12" xfId="26" applyFont="1" applyBorder="1" applyAlignment="1">
      <alignment horizontal="center"/>
    </xf>
    <xf numFmtId="0" fontId="38" fillId="0" borderId="9" xfId="26" applyFont="1" applyBorder="1" applyAlignment="1">
      <alignment horizontal="center"/>
    </xf>
    <xf numFmtId="0" fontId="38" fillId="0" borderId="21" xfId="26" applyFont="1" applyBorder="1" applyAlignment="1">
      <alignment horizontal="center"/>
    </xf>
    <xf numFmtId="0" fontId="38" fillId="0" borderId="24" xfId="26" applyFont="1" applyBorder="1" applyAlignment="1">
      <alignment horizontal="center"/>
    </xf>
    <xf numFmtId="0" fontId="38" fillId="0" borderId="22" xfId="26" applyFont="1" applyBorder="1" applyAlignment="1">
      <alignment horizontal="center"/>
    </xf>
    <xf numFmtId="0" fontId="38" fillId="3" borderId="21" xfId="26" applyFont="1" applyFill="1" applyBorder="1" applyAlignment="1">
      <alignment horizontal="center"/>
    </xf>
    <xf numFmtId="0" fontId="38" fillId="3" borderId="24" xfId="26" applyFont="1" applyFill="1" applyBorder="1" applyAlignment="1">
      <alignment horizontal="center"/>
    </xf>
    <xf numFmtId="0" fontId="38" fillId="3" borderId="22" xfId="26" applyFont="1" applyFill="1" applyBorder="1" applyAlignment="1">
      <alignment horizontal="center"/>
    </xf>
    <xf numFmtId="0" fontId="38" fillId="0" borderId="14" xfId="26" applyFont="1" applyBorder="1" applyAlignment="1">
      <alignment horizontal="center"/>
    </xf>
    <xf numFmtId="0" fontId="38" fillId="0" borderId="16" xfId="26" applyFont="1" applyBorder="1" applyAlignment="1">
      <alignment horizontal="center"/>
    </xf>
    <xf numFmtId="0" fontId="38" fillId="0" borderId="15" xfId="26" applyFont="1" applyBorder="1" applyAlignment="1">
      <alignment horizontal="center"/>
    </xf>
  </cellXfs>
  <cellStyles count="85">
    <cellStyle name="Comma 2" xfId="32" xr:uid="{00000000-0005-0000-0000-000001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Good" xfId="77" builtinId="26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10 3" xfId="1" xr:uid="{00000000-0005-0000-0000-00004D000000}"/>
    <cellStyle name="Normal 2" xfId="3" xr:uid="{00000000-0005-0000-0000-00004E000000}"/>
    <cellStyle name="Normal 3" xfId="26" xr:uid="{00000000-0005-0000-0000-00004F000000}"/>
    <cellStyle name="Normal 4" xfId="28" xr:uid="{00000000-0005-0000-0000-000050000000}"/>
    <cellStyle name="Normal 5" xfId="29" xr:uid="{00000000-0005-0000-0000-000051000000}"/>
    <cellStyle name="Normal 5 2" xfId="31" xr:uid="{00000000-0005-0000-0000-000052000000}"/>
    <cellStyle name="Normal 6" xfId="33" xr:uid="{00000000-0005-0000-0000-000053000000}"/>
    <cellStyle name="Normal 658" xfId="2" xr:uid="{00000000-0005-0000-0000-000054000000}"/>
    <cellStyle name="Percent" xfId="27" builtinId="5"/>
    <cellStyle name="Percent 2" xfId="30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110068</xdr:rowOff>
    </xdr:from>
    <xdr:to>
      <xdr:col>3</xdr:col>
      <xdr:colOff>1115786</xdr:colOff>
      <xdr:row>38</xdr:row>
      <xdr:rowOff>107950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A3277CA-4783-C34E-AD7E-52C41B8400EB}"/>
            </a:ext>
          </a:extLst>
        </xdr:cNvPr>
        <xdr:cNvSpPr txBox="1"/>
      </xdr:nvSpPr>
      <xdr:spPr>
        <a:xfrm>
          <a:off x="0" y="26970568"/>
          <a:ext cx="6475186" cy="1483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  <a:p>
          <a:endParaRPr lang="en-US" sz="1100" baseline="0"/>
        </a:p>
        <a:p>
          <a:r>
            <a:rPr lang="en-US" sz="1100" baseline="0"/>
            <a:t>**The volume of combusted gases includes the volume of assist gas plus the volume of marine vapors displaced.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109613</xdr:rowOff>
    </xdr:from>
    <xdr:to>
      <xdr:col>11</xdr:col>
      <xdr:colOff>0</xdr:colOff>
      <xdr:row>26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133FCCE-48B9-664B-88C7-8BBC6893F3C6}"/>
            </a:ext>
          </a:extLst>
        </xdr:cNvPr>
        <xdr:cNvSpPr txBox="1"/>
      </xdr:nvSpPr>
      <xdr:spPr>
        <a:xfrm>
          <a:off x="0" y="4732413"/>
          <a:ext cx="10617200" cy="8682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* Emission factors from Table 2-3 of 1995 Protocol for Equipment Leak Emission Estimates, EPA document EPA-453/R-95-017</a:t>
          </a:r>
          <a:r>
            <a:rPr lang="en-US" sz="1100" baseline="0"/>
            <a:t>).  The emission factor for light liquids (LL) service was used for components in heavy liquid (HL) service.</a:t>
          </a:r>
        </a:p>
      </xdr:txBody>
    </xdr:sp>
    <xdr:clientData/>
  </xdr:twoCellAnchor>
  <xdr:twoCellAnchor>
    <xdr:from>
      <xdr:col>0</xdr:col>
      <xdr:colOff>0</xdr:colOff>
      <xdr:row>43</xdr:row>
      <xdr:rowOff>4537</xdr:rowOff>
    </xdr:from>
    <xdr:to>
      <xdr:col>5</xdr:col>
      <xdr:colOff>600363</xdr:colOff>
      <xdr:row>47</xdr:row>
      <xdr:rowOff>152401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66115FD-8A7B-344A-926E-97426CC82F0F}"/>
            </a:ext>
          </a:extLst>
        </xdr:cNvPr>
        <xdr:cNvSpPr txBox="1"/>
      </xdr:nvSpPr>
      <xdr:spPr>
        <a:xfrm>
          <a:off x="0" y="9631137"/>
          <a:ext cx="6239163" cy="808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* </a:t>
          </a:r>
          <a:r>
            <a:rPr lang="en-US" sz="1100" baseline="0"/>
            <a:t>The emissions were calculated using the SDS weight percents in crude oil, Bakken Crude Oil, Tesoro, 3/7/2018.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12701</xdr:rowOff>
    </xdr:from>
    <xdr:to>
      <xdr:col>1</xdr:col>
      <xdr:colOff>1028700</xdr:colOff>
      <xdr:row>25</xdr:row>
      <xdr:rowOff>50801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875055-B632-A543-BAA6-8D7E39BCD5BD}"/>
            </a:ext>
          </a:extLst>
        </xdr:cNvPr>
        <xdr:cNvSpPr txBox="1"/>
      </xdr:nvSpPr>
      <xdr:spPr>
        <a:xfrm>
          <a:off x="0" y="4330701"/>
          <a:ext cx="44323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Note:</a:t>
          </a:r>
        </a:p>
        <a:p>
          <a:r>
            <a:rPr lang="en-US" sz="1100" baseline="0"/>
            <a:t>*The emissions were calculated using the SDS weight percents in crude oil, Bakken Crude Oil, Tesoro, 3/7/2018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33865</xdr:colOff>
      <xdr:row>39</xdr:row>
      <xdr:rowOff>25400</xdr:rowOff>
    </xdr:from>
    <xdr:to>
      <xdr:col>4</xdr:col>
      <xdr:colOff>872066</xdr:colOff>
      <xdr:row>44</xdr:row>
      <xdr:rowOff>61686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624CEBF-2395-6B43-9383-820F7C49CCAD}"/>
            </a:ext>
          </a:extLst>
        </xdr:cNvPr>
        <xdr:cNvSpPr txBox="1"/>
      </xdr:nvSpPr>
      <xdr:spPr>
        <a:xfrm>
          <a:off x="33865" y="8242300"/>
          <a:ext cx="7531101" cy="8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</xdr:txBody>
    </xdr:sp>
    <xdr:clientData/>
  </xdr:twoCellAnchor>
  <xdr:twoCellAnchor>
    <xdr:from>
      <xdr:col>0</xdr:col>
      <xdr:colOff>16934</xdr:colOff>
      <xdr:row>79</xdr:row>
      <xdr:rowOff>25400</xdr:rowOff>
    </xdr:from>
    <xdr:to>
      <xdr:col>4</xdr:col>
      <xdr:colOff>855135</xdr:colOff>
      <xdr:row>84</xdr:row>
      <xdr:rowOff>65919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0EEF90D-5087-B543-A42A-7D78B6936A54}"/>
            </a:ext>
          </a:extLst>
        </xdr:cNvPr>
        <xdr:cNvSpPr txBox="1"/>
      </xdr:nvSpPr>
      <xdr:spPr>
        <a:xfrm>
          <a:off x="16934" y="17669933"/>
          <a:ext cx="7543801" cy="8871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</xdr:txBody>
    </xdr:sp>
    <xdr:clientData/>
  </xdr:twoCellAnchor>
  <xdr:twoCellAnchor>
    <xdr:from>
      <xdr:col>0</xdr:col>
      <xdr:colOff>25400</xdr:colOff>
      <xdr:row>119</xdr:row>
      <xdr:rowOff>76200</xdr:rowOff>
    </xdr:from>
    <xdr:to>
      <xdr:col>4</xdr:col>
      <xdr:colOff>863601</xdr:colOff>
      <xdr:row>124</xdr:row>
      <xdr:rowOff>116719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433B65E-0926-2446-98BF-0AFFC33A73EA}"/>
            </a:ext>
          </a:extLst>
        </xdr:cNvPr>
        <xdr:cNvSpPr txBox="1"/>
      </xdr:nvSpPr>
      <xdr:spPr>
        <a:xfrm>
          <a:off x="25400" y="24828500"/>
          <a:ext cx="7531101" cy="866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*</a:t>
          </a:r>
          <a:r>
            <a:rPr lang="en-US" sz="1100"/>
            <a:t>ODEQ,</a:t>
          </a:r>
          <a:r>
            <a:rPr lang="en-US" sz="1100" baseline="0"/>
            <a:t> Combustion Emission Factor Search Tool, CAO NG Ext. Comb. (b), (10-100 MMBTU/hr unit). The emission factors are from three sources: SCAQMD AB2588 and Webfire/AP-42 Section 1.4 (metals).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hatch\Bridgewater%20Group%20Dropbox\Candice%20Hatch\Zenith%20Energy\2022_ACDP_App\From_Zenith\Tank%20emission%20calcs\Crude%20Portland%20-%202022%20ACDP%20Crude%20Scenario%20Tank%20Emiss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D:\D:\E:\Users\jbrowning\Bridgewater%20Group%20Dropbox\John%20Browning\Zenith%20Energy-Confidential\CAO_Level_3_RA_WIP\Tank_Calcs_Other_From_Andrew_Zenith\110tpy_set\110%20TPY%20-%20Refining%20Tank%20Emissions_8_14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 Pro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-Tanks Fixed Roof Monthly"/>
      <sheetName val="CALC-Floating Roof Monthly"/>
      <sheetName val="Floating Roof Input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205B-240B-45D0-827F-0F495F651E79}">
  <sheetPr codeName="Sheet3"/>
  <dimension ref="A1"/>
  <sheetViews>
    <sheetView workbookViewId="0">
      <selection activeCell="C13" sqref="C13"/>
    </sheetView>
  </sheetViews>
  <sheetFormatPr defaultColWidth="8.84375" defaultRowHeight="14.6"/>
  <sheetData>
    <row r="1" spans="1:1">
      <c r="A1" t="s">
        <v>480</v>
      </c>
    </row>
  </sheetData>
  <sheetProtection algorithmName="SHA-512" hashValue="B8gwhCLRf8LlHZIlEC3kLoXymfNcCeHuGV0SXwbT9WaWydDU6TdB3Ks87mZ0uR54VqIoL+hz6XPYB7at5bMFtQ==" saltValue="vIo7nUdf0cZoQlP5eBTbY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6">
    <tabColor rgb="FF00B050"/>
    <pageSetUpPr fitToPage="1"/>
  </sheetPr>
  <dimension ref="A1:Y44"/>
  <sheetViews>
    <sheetView zoomScale="170" zoomScaleNormal="170" workbookViewId="0">
      <selection activeCell="E13" sqref="E13"/>
    </sheetView>
  </sheetViews>
  <sheetFormatPr defaultColWidth="9.15234375" defaultRowHeight="12.45"/>
  <cols>
    <col min="1" max="1" width="30.4609375" style="134" customWidth="1"/>
    <col min="2" max="2" width="9.4609375" style="134" customWidth="1"/>
    <col min="3" max="3" width="11.15234375" style="134" customWidth="1"/>
    <col min="4" max="4" width="12" style="134" customWidth="1"/>
    <col min="5" max="5" width="10.84375" style="134" customWidth="1"/>
    <col min="6" max="6" width="9.84375" style="134" customWidth="1"/>
    <col min="7" max="7" width="12.15234375" style="134" customWidth="1"/>
    <col min="8" max="8" width="8.84375" style="134" customWidth="1"/>
    <col min="9" max="9" width="12.3046875" style="134" customWidth="1"/>
    <col min="10" max="10" width="8.84375" style="134" customWidth="1"/>
    <col min="11" max="11" width="13.3046875" style="134" customWidth="1"/>
    <col min="12" max="12" width="13.84375" style="134" customWidth="1"/>
    <col min="13" max="13" width="9.15234375" style="134"/>
    <col min="14" max="14" width="12.3046875" style="134" customWidth="1"/>
    <col min="15" max="20" width="9.15234375" style="134"/>
    <col min="21" max="21" width="10.15234375" style="134" bestFit="1" customWidth="1"/>
    <col min="22" max="22" width="11.3046875" style="134" customWidth="1"/>
    <col min="23" max="16384" width="9.15234375" style="134"/>
  </cols>
  <sheetData>
    <row r="1" spans="1:25" ht="18.45">
      <c r="A1" s="502" t="s">
        <v>429</v>
      </c>
    </row>
    <row r="2" spans="1:25" ht="15.45">
      <c r="A2" s="460"/>
    </row>
    <row r="4" spans="1:25" ht="14.15">
      <c r="A4" s="459" t="s">
        <v>408</v>
      </c>
    </row>
    <row r="6" spans="1:25" ht="49.75">
      <c r="A6" s="181" t="s">
        <v>230</v>
      </c>
      <c r="B6" s="182" t="s">
        <v>212</v>
      </c>
      <c r="C6" s="181" t="s">
        <v>319</v>
      </c>
      <c r="D6" s="182" t="s">
        <v>407</v>
      </c>
      <c r="E6" s="254" t="s">
        <v>350</v>
      </c>
      <c r="F6" s="182" t="s">
        <v>229</v>
      </c>
      <c r="G6" s="258" t="s">
        <v>318</v>
      </c>
      <c r="H6" s="182" t="s">
        <v>317</v>
      </c>
      <c r="I6" s="182" t="s">
        <v>324</v>
      </c>
      <c r="J6" s="182" t="s">
        <v>353</v>
      </c>
      <c r="K6" s="258" t="s">
        <v>256</v>
      </c>
      <c r="L6" s="205"/>
      <c r="N6" s="142"/>
      <c r="O6" s="142"/>
      <c r="P6" s="155"/>
      <c r="Q6" s="142"/>
      <c r="R6" s="142"/>
      <c r="S6" s="142"/>
      <c r="T6" s="142"/>
      <c r="U6" s="142"/>
      <c r="V6" s="142"/>
      <c r="W6" s="142"/>
      <c r="X6" s="142"/>
      <c r="Y6" s="142"/>
    </row>
    <row r="7" spans="1:25">
      <c r="A7" s="138" t="s">
        <v>228</v>
      </c>
      <c r="B7" s="135" t="s">
        <v>227</v>
      </c>
      <c r="C7" s="138">
        <f>2399+55+44</f>
        <v>2498</v>
      </c>
      <c r="D7" s="135">
        <f>189*3</f>
        <v>567</v>
      </c>
      <c r="E7" s="255">
        <v>48</v>
      </c>
      <c r="F7" s="135">
        <v>8760</v>
      </c>
      <c r="G7" s="278">
        <v>4.3000000000000002E-5</v>
      </c>
      <c r="H7" s="226">
        <f>C7*G7*$G$18</f>
        <v>0.23659007640000002</v>
      </c>
      <c r="I7" s="226">
        <f t="shared" ref="I7:I14" si="0">D7*G7*$G$18</f>
        <v>5.3701590599999995E-2</v>
      </c>
      <c r="J7" s="226">
        <f>E7*G7*$G$18</f>
        <v>4.5461663999999992E-3</v>
      </c>
      <c r="K7" s="259">
        <f t="shared" ref="K7:K14" si="1">(H7+I7+J7)*F7/2000</f>
        <v>1.291389710292</v>
      </c>
      <c r="Q7" s="140"/>
      <c r="Y7" s="139"/>
    </row>
    <row r="8" spans="1:25">
      <c r="A8" s="141" t="s">
        <v>228</v>
      </c>
      <c r="B8" s="134" t="s">
        <v>225</v>
      </c>
      <c r="C8" s="141">
        <v>43</v>
      </c>
      <c r="E8" s="256">
        <v>10</v>
      </c>
      <c r="F8" s="134">
        <v>8760</v>
      </c>
      <c r="G8" s="278">
        <v>4.3000000000000002E-5</v>
      </c>
      <c r="H8" s="227">
        <f t="shared" ref="H8:H14" si="2">C8*G8*$G$18</f>
        <v>4.0726073999999999E-3</v>
      </c>
      <c r="I8" s="227">
        <f t="shared" si="0"/>
        <v>0</v>
      </c>
      <c r="J8" s="227">
        <f>E8*G8*$G$18</f>
        <v>9.4711800000000005E-4</v>
      </c>
      <c r="K8" s="260">
        <f t="shared" si="1"/>
        <v>2.1986397251999999E-2</v>
      </c>
      <c r="Q8" s="140"/>
      <c r="Y8" s="139"/>
    </row>
    <row r="9" spans="1:25">
      <c r="A9" s="141" t="s">
        <v>228</v>
      </c>
      <c r="B9" s="134" t="s">
        <v>223</v>
      </c>
      <c r="C9" s="141"/>
      <c r="E9" s="256"/>
      <c r="F9" s="134">
        <v>8760</v>
      </c>
      <c r="G9" s="278">
        <v>1.2999999999999999E-5</v>
      </c>
      <c r="H9" s="227">
        <f t="shared" si="2"/>
        <v>0</v>
      </c>
      <c r="I9" s="227">
        <f t="shared" si="0"/>
        <v>0</v>
      </c>
      <c r="J9" s="227">
        <f t="shared" ref="J9:J14" si="3">E9*G9*$G$18</f>
        <v>0</v>
      </c>
      <c r="K9" s="260">
        <f t="shared" si="1"/>
        <v>0</v>
      </c>
      <c r="Q9" s="140"/>
      <c r="Y9" s="139"/>
    </row>
    <row r="10" spans="1:25">
      <c r="A10" s="141" t="s">
        <v>226</v>
      </c>
      <c r="B10" s="134" t="s">
        <v>227</v>
      </c>
      <c r="C10" s="141">
        <f>71+4</f>
        <v>75</v>
      </c>
      <c r="D10" s="134">
        <f>8*3</f>
        <v>24</v>
      </c>
      <c r="E10" s="256"/>
      <c r="F10" s="134">
        <v>8760</v>
      </c>
      <c r="G10" s="278">
        <v>5.4000000000000001E-4</v>
      </c>
      <c r="H10" s="227">
        <f t="shared" si="2"/>
        <v>8.9205300000000001E-2</v>
      </c>
      <c r="I10" s="227">
        <f t="shared" si="0"/>
        <v>2.8545695999999995E-2</v>
      </c>
      <c r="J10" s="227">
        <f t="shared" si="3"/>
        <v>0</v>
      </c>
      <c r="K10" s="260">
        <f t="shared" si="1"/>
        <v>0.51574936247999992</v>
      </c>
      <c r="Q10" s="140"/>
      <c r="Y10" s="139"/>
    </row>
    <row r="11" spans="1:25">
      <c r="A11" s="141" t="s">
        <v>226</v>
      </c>
      <c r="B11" s="134" t="s">
        <v>225</v>
      </c>
      <c r="C11" s="141">
        <v>2</v>
      </c>
      <c r="E11" s="256"/>
      <c r="F11" s="134">
        <v>8760</v>
      </c>
      <c r="G11" s="278">
        <v>5.4000000000000001E-4</v>
      </c>
      <c r="H11" s="227">
        <f t="shared" si="2"/>
        <v>2.3788080000000001E-3</v>
      </c>
      <c r="I11" s="227">
        <f t="shared" si="0"/>
        <v>0</v>
      </c>
      <c r="J11" s="227">
        <f t="shared" si="3"/>
        <v>0</v>
      </c>
      <c r="K11" s="260">
        <f t="shared" si="1"/>
        <v>1.0419179039999999E-2</v>
      </c>
      <c r="Q11" s="140"/>
      <c r="Y11" s="139"/>
    </row>
    <row r="12" spans="1:25">
      <c r="A12" s="141" t="s">
        <v>224</v>
      </c>
      <c r="B12" s="134" t="s">
        <v>223</v>
      </c>
      <c r="C12" s="141"/>
      <c r="D12" s="134">
        <f>9*3</f>
        <v>27</v>
      </c>
      <c r="E12" s="256"/>
      <c r="F12" s="134">
        <v>8760</v>
      </c>
      <c r="G12" s="278">
        <v>1.2E-4</v>
      </c>
      <c r="H12" s="227">
        <f t="shared" si="2"/>
        <v>0</v>
      </c>
      <c r="I12" s="227">
        <f t="shared" si="0"/>
        <v>7.1364240000000006E-3</v>
      </c>
      <c r="J12" s="227">
        <f t="shared" si="3"/>
        <v>0</v>
      </c>
      <c r="K12" s="260">
        <f t="shared" si="1"/>
        <v>3.1257537120000005E-2</v>
      </c>
      <c r="Q12" s="140"/>
      <c r="Y12" s="139"/>
    </row>
    <row r="13" spans="1:25">
      <c r="A13" s="141" t="s">
        <v>222</v>
      </c>
      <c r="B13" s="134" t="s">
        <v>221</v>
      </c>
      <c r="C13" s="141">
        <f>7269+302+248</f>
        <v>7819</v>
      </c>
      <c r="D13" s="134">
        <f>750*3</f>
        <v>2250</v>
      </c>
      <c r="E13" s="256">
        <f>60+83</f>
        <v>143</v>
      </c>
      <c r="F13" s="134">
        <v>8760</v>
      </c>
      <c r="G13" s="278">
        <v>7.9999999999999996E-6</v>
      </c>
      <c r="H13" s="227">
        <f t="shared" si="2"/>
        <v>0.13777703519999998</v>
      </c>
      <c r="I13" s="227">
        <f t="shared" si="0"/>
        <v>3.9646799999999996E-2</v>
      </c>
      <c r="J13" s="227">
        <f t="shared" si="3"/>
        <v>2.5197743999999999E-3</v>
      </c>
      <c r="K13" s="260">
        <f t="shared" si="1"/>
        <v>0.78815301004799998</v>
      </c>
      <c r="Y13" s="139"/>
    </row>
    <row r="14" spans="1:25">
      <c r="A14" s="137" t="s">
        <v>316</v>
      </c>
      <c r="B14" s="136" t="s">
        <v>221</v>
      </c>
      <c r="C14" s="137">
        <f>11+44</f>
        <v>55</v>
      </c>
      <c r="D14" s="136"/>
      <c r="E14" s="257"/>
      <c r="F14" s="136">
        <v>8760</v>
      </c>
      <c r="G14" s="279">
        <v>1.2999999999999999E-4</v>
      </c>
      <c r="H14" s="228">
        <f t="shared" si="2"/>
        <v>1.5748589999999996E-2</v>
      </c>
      <c r="I14" s="228">
        <f t="shared" si="0"/>
        <v>0</v>
      </c>
      <c r="J14" s="277">
        <f t="shared" si="3"/>
        <v>0</v>
      </c>
      <c r="K14" s="261">
        <f t="shared" si="1"/>
        <v>6.8978824199999983E-2</v>
      </c>
      <c r="Y14" s="139"/>
    </row>
    <row r="15" spans="1:25">
      <c r="A15" s="137" t="s">
        <v>213</v>
      </c>
      <c r="B15" s="136"/>
      <c r="C15" s="137">
        <f>SUM(C7:C14)</f>
        <v>10492</v>
      </c>
      <c r="D15" s="136">
        <f>SUM(D7:D14)</f>
        <v>2868</v>
      </c>
      <c r="E15" s="257">
        <f>SUM(E7:E14)</f>
        <v>201</v>
      </c>
      <c r="F15" s="136"/>
      <c r="G15" s="279"/>
      <c r="H15" s="228">
        <f>SUM(H7:H14)</f>
        <v>0.48577241700000001</v>
      </c>
      <c r="I15" s="228">
        <f>SUM(I7:I14)</f>
        <v>0.12903051059999998</v>
      </c>
      <c r="J15" s="228">
        <f>SUM(J7:J14)</f>
        <v>8.0130588000000003E-3</v>
      </c>
      <c r="K15" s="261">
        <f>SUM(K7:K14)</f>
        <v>2.7279340204319995</v>
      </c>
      <c r="N15" s="227"/>
    </row>
    <row r="16" spans="1:25" ht="25" customHeight="1">
      <c r="E16" s="140"/>
      <c r="K16" s="139"/>
      <c r="N16" s="180"/>
    </row>
    <row r="17" spans="1:14" ht="37.299999999999997">
      <c r="A17" s="144" t="s">
        <v>232</v>
      </c>
      <c r="B17" s="144" t="s">
        <v>235</v>
      </c>
      <c r="C17" s="144" t="s">
        <v>233</v>
      </c>
      <c r="D17" s="250"/>
      <c r="E17" s="140"/>
      <c r="K17" s="139"/>
      <c r="N17" s="180"/>
    </row>
    <row r="18" spans="1:14">
      <c r="A18" s="145" t="s">
        <v>352</v>
      </c>
      <c r="B18" s="338">
        <f>J15*24</f>
        <v>0.19231341120000001</v>
      </c>
      <c r="C18" s="229">
        <f>J15*8760</f>
        <v>70.194395088000007</v>
      </c>
      <c r="D18" s="251"/>
      <c r="E18" s="140"/>
      <c r="F18" s="230" t="s">
        <v>138</v>
      </c>
      <c r="G18" s="231">
        <v>2.2025999999999999</v>
      </c>
      <c r="H18" s="276" t="s">
        <v>139</v>
      </c>
      <c r="K18" s="139"/>
    </row>
    <row r="19" spans="1:14">
      <c r="A19" s="252" t="s">
        <v>323</v>
      </c>
      <c r="B19" s="253">
        <f>I15*24</f>
        <v>3.0967322543999996</v>
      </c>
      <c r="C19" s="229">
        <f>I15*8760</f>
        <v>1130.3072728559998</v>
      </c>
      <c r="D19" s="251"/>
      <c r="E19" s="140"/>
      <c r="K19" s="139"/>
    </row>
    <row r="20" spans="1:14">
      <c r="A20" s="145" t="s">
        <v>234</v>
      </c>
      <c r="B20" s="146">
        <f>H15*24</f>
        <v>11.658538008000001</v>
      </c>
      <c r="C20" s="229">
        <f>H15*8760</f>
        <v>4255.3663729199998</v>
      </c>
      <c r="D20" s="251"/>
      <c r="E20" s="140"/>
      <c r="K20" s="139"/>
    </row>
    <row r="21" spans="1:14">
      <c r="A21" s="340" t="s">
        <v>47</v>
      </c>
      <c r="B21" s="253">
        <f>SUM(B18:B20)</f>
        <v>14.947583673600001</v>
      </c>
      <c r="C21" s="253">
        <f>SUM(C18:C20)</f>
        <v>5455.8680408639993</v>
      </c>
      <c r="D21" s="251"/>
      <c r="E21" s="140"/>
      <c r="K21" s="139"/>
    </row>
    <row r="22" spans="1:14">
      <c r="E22" s="140"/>
      <c r="K22" s="139"/>
    </row>
    <row r="23" spans="1:14">
      <c r="E23" s="140"/>
      <c r="K23" s="139"/>
    </row>
    <row r="24" spans="1:14">
      <c r="E24" s="140"/>
      <c r="K24" s="139"/>
    </row>
    <row r="25" spans="1:14">
      <c r="E25" s="140"/>
      <c r="K25" s="139"/>
    </row>
    <row r="26" spans="1:14">
      <c r="E26" s="140"/>
      <c r="K26" s="139"/>
    </row>
    <row r="27" spans="1:14">
      <c r="E27" s="140"/>
      <c r="K27" s="139"/>
    </row>
    <row r="28" spans="1:14">
      <c r="E28" s="140"/>
      <c r="K28" s="139"/>
    </row>
    <row r="29" spans="1:14" s="44" customFormat="1">
      <c r="A29" s="111"/>
      <c r="B29" s="99"/>
    </row>
    <row r="30" spans="1:14" s="44" customFormat="1">
      <c r="A30" s="111"/>
      <c r="B30" s="99"/>
    </row>
    <row r="31" spans="1:14" s="44" customFormat="1" ht="30" customHeight="1">
      <c r="A31" s="459" t="s">
        <v>448</v>
      </c>
      <c r="B31" s="99"/>
    </row>
    <row r="33" spans="1:11" s="44" customFormat="1" ht="37.299999999999997">
      <c r="A33" s="501" t="s">
        <v>426</v>
      </c>
      <c r="B33" s="130" t="s">
        <v>61</v>
      </c>
      <c r="C33" s="131" t="s">
        <v>387</v>
      </c>
      <c r="D33" s="132" t="s">
        <v>143</v>
      </c>
      <c r="E33" s="133" t="s">
        <v>140</v>
      </c>
      <c r="G33" s="51"/>
      <c r="H33" s="51"/>
      <c r="I33" s="51"/>
      <c r="J33" s="51"/>
      <c r="K33" s="51"/>
    </row>
    <row r="34" spans="1:11" s="44" customFormat="1" ht="17.05" customHeight="1">
      <c r="A34" s="116" t="s">
        <v>53</v>
      </c>
      <c r="B34" s="111" t="s">
        <v>144</v>
      </c>
      <c r="C34" s="427">
        <v>5</v>
      </c>
      <c r="D34" s="92">
        <f>(C34/100)*$B$21</f>
        <v>0.74737918368000011</v>
      </c>
      <c r="E34" s="92">
        <f>(C34/100)*$C$21</f>
        <v>272.79340204319999</v>
      </c>
      <c r="G34" s="51"/>
      <c r="H34" s="51"/>
      <c r="I34" s="51"/>
      <c r="J34" s="51"/>
      <c r="K34" s="51"/>
    </row>
    <row r="35" spans="1:11" s="44" customFormat="1" ht="17.05" customHeight="1">
      <c r="A35" s="70" t="s">
        <v>50</v>
      </c>
      <c r="B35" s="44" t="s">
        <v>145</v>
      </c>
      <c r="C35" s="427">
        <v>7</v>
      </c>
      <c r="D35" s="92">
        <f t="shared" ref="D35:D40" si="4">(C35/100)*$B$21</f>
        <v>1.046330857152</v>
      </c>
      <c r="E35" s="92">
        <f t="shared" ref="E35:E40" si="5">(C35/100)*$C$21</f>
        <v>381.91076286047996</v>
      </c>
      <c r="G35" s="51"/>
      <c r="H35" s="51"/>
      <c r="I35" s="51"/>
      <c r="J35" s="51"/>
      <c r="K35" s="51"/>
    </row>
    <row r="36" spans="1:11" s="44" customFormat="1" ht="17.05" customHeight="1">
      <c r="A36" s="70" t="s">
        <v>54</v>
      </c>
      <c r="B36" s="44" t="s">
        <v>146</v>
      </c>
      <c r="C36" s="427">
        <v>7</v>
      </c>
      <c r="D36" s="92">
        <f t="shared" si="4"/>
        <v>1.046330857152</v>
      </c>
      <c r="E36" s="92">
        <f t="shared" si="5"/>
        <v>381.91076286047996</v>
      </c>
      <c r="G36" s="51"/>
      <c r="H36" s="51"/>
      <c r="I36" s="51"/>
      <c r="J36" s="51"/>
      <c r="K36" s="51"/>
    </row>
    <row r="37" spans="1:11" s="44" customFormat="1" ht="17.05" customHeight="1">
      <c r="A37" s="70" t="s">
        <v>170</v>
      </c>
      <c r="B37" s="44" t="s">
        <v>147</v>
      </c>
      <c r="C37" s="427">
        <v>7</v>
      </c>
      <c r="D37" s="92">
        <f t="shared" si="4"/>
        <v>1.046330857152</v>
      </c>
      <c r="E37" s="92">
        <f t="shared" si="5"/>
        <v>381.91076286047996</v>
      </c>
      <c r="G37" s="51"/>
      <c r="H37" s="51"/>
      <c r="I37" s="51"/>
      <c r="J37" s="51"/>
      <c r="K37" s="51"/>
    </row>
    <row r="38" spans="1:11" s="44" customFormat="1" ht="17.05" customHeight="1">
      <c r="A38" s="70" t="s">
        <v>51</v>
      </c>
      <c r="B38" s="44" t="s">
        <v>148</v>
      </c>
      <c r="C38" s="427">
        <v>7</v>
      </c>
      <c r="D38" s="92">
        <f t="shared" si="4"/>
        <v>1.046330857152</v>
      </c>
      <c r="E38" s="92">
        <f t="shared" si="5"/>
        <v>381.91076286047996</v>
      </c>
      <c r="G38" s="51"/>
      <c r="H38" s="51"/>
      <c r="I38" s="51"/>
      <c r="J38" s="51"/>
      <c r="K38" s="51"/>
    </row>
    <row r="39" spans="1:11" s="44" customFormat="1" ht="17.05" customHeight="1">
      <c r="A39" s="44" t="s">
        <v>55</v>
      </c>
      <c r="B39" s="44" t="s">
        <v>149</v>
      </c>
      <c r="C39" s="427">
        <v>1</v>
      </c>
      <c r="D39" s="92">
        <f t="shared" si="4"/>
        <v>0.14947583673600001</v>
      </c>
      <c r="E39" s="92">
        <f t="shared" si="5"/>
        <v>54.558680408639994</v>
      </c>
      <c r="G39" s="51"/>
      <c r="H39" s="51"/>
      <c r="I39" s="51"/>
      <c r="J39" s="51"/>
      <c r="K39" s="51"/>
    </row>
    <row r="40" spans="1:11" s="44" customFormat="1" ht="17.05" customHeight="1">
      <c r="A40" s="494" t="s">
        <v>244</v>
      </c>
      <c r="B40" s="496" t="s">
        <v>174</v>
      </c>
      <c r="C40" s="495">
        <v>0.5</v>
      </c>
      <c r="D40" s="430">
        <f t="shared" si="4"/>
        <v>7.4737918368000006E-2</v>
      </c>
      <c r="E40" s="430">
        <f t="shared" si="5"/>
        <v>27.279340204319997</v>
      </c>
      <c r="F40" s="111" t="s">
        <v>447</v>
      </c>
      <c r="G40" s="51"/>
      <c r="H40" s="51"/>
      <c r="I40" s="51"/>
      <c r="J40" s="51"/>
      <c r="K40" s="51"/>
    </row>
    <row r="41" spans="1:11" s="44" customFormat="1" ht="17.05" customHeight="1">
      <c r="A41" s="428" t="s">
        <v>47</v>
      </c>
      <c r="C41" s="427"/>
      <c r="D41" s="458">
        <f>SUM(D34:D39)</f>
        <v>5.082178449024001</v>
      </c>
      <c r="E41" s="458">
        <f>SUM(E34:E39)</f>
        <v>1854.9951338937597</v>
      </c>
      <c r="F41" s="509" t="s">
        <v>443</v>
      </c>
      <c r="G41" s="51"/>
      <c r="H41" s="51"/>
      <c r="I41" s="51"/>
      <c r="J41" s="51"/>
      <c r="K41" s="51"/>
    </row>
    <row r="42" spans="1:11" s="44" customFormat="1" ht="17.05" customHeight="1">
      <c r="A42" s="428"/>
      <c r="C42" s="427"/>
      <c r="D42" s="426"/>
      <c r="E42" s="114"/>
      <c r="F42" s="92"/>
      <c r="G42" s="51"/>
      <c r="H42" s="51"/>
      <c r="I42" s="51"/>
      <c r="J42" s="51"/>
      <c r="K42" s="51"/>
    </row>
    <row r="43" spans="1:11" s="44" customFormat="1">
      <c r="B43" s="51"/>
      <c r="C43" s="51"/>
      <c r="D43" s="51"/>
      <c r="E43" s="51"/>
      <c r="F43" s="51"/>
      <c r="G43" s="51"/>
    </row>
    <row r="44" spans="1:11" s="44" customFormat="1">
      <c r="A44" s="111"/>
    </row>
  </sheetData>
  <sheetProtection algorithmName="SHA-512" hashValue="veTkunukmQBUseWrge1Pv74s8Ho/HyrGRrYaodmpZbFHZpvhswf6ssWYKVky+4Edb9gZJzB5CdeDp2csiIOHzw==" saltValue="E/UPNMkkpi1kN4xdOokQSw==" spinCount="100000" sheet="1" objects="1" scenarios="1"/>
  <pageMargins left="0.75" right="0.75" top="1" bottom="1" header="0.5" footer="0.5"/>
  <pageSetup scale="98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8">
    <tabColor rgb="FF00B050"/>
    <pageSetUpPr fitToPage="1"/>
  </sheetPr>
  <dimension ref="A1:J22"/>
  <sheetViews>
    <sheetView workbookViewId="0">
      <selection activeCell="D7" sqref="D7"/>
    </sheetView>
  </sheetViews>
  <sheetFormatPr defaultColWidth="9.15234375" defaultRowHeight="12.45"/>
  <cols>
    <col min="1" max="1" width="44.69140625" style="134" customWidth="1"/>
    <col min="2" max="5" width="13.69140625" style="134" customWidth="1"/>
    <col min="6" max="6" width="10" style="134" customWidth="1"/>
    <col min="7" max="7" width="12.3046875" style="134" bestFit="1" customWidth="1"/>
    <col min="8" max="8" width="10.3046875" style="134" customWidth="1"/>
    <col min="9" max="9" width="19.15234375" style="134" bestFit="1" customWidth="1"/>
    <col min="10" max="10" width="24.84375" style="134" customWidth="1"/>
    <col min="11" max="16384" width="9.15234375" style="134"/>
  </cols>
  <sheetData>
    <row r="1" spans="1:10" ht="18.45">
      <c r="A1" s="502" t="s">
        <v>429</v>
      </c>
      <c r="B1" s="8"/>
      <c r="D1"/>
    </row>
    <row r="2" spans="1:10" ht="14.6">
      <c r="D2"/>
    </row>
    <row r="3" spans="1:10" s="119" customFormat="1" ht="20.6">
      <c r="A3" s="120"/>
    </row>
    <row r="4" spans="1:10" s="44" customFormat="1" ht="14.6">
      <c r="A4" s="111"/>
      <c r="B4" s="99"/>
      <c r="E4"/>
      <c r="F4"/>
    </row>
    <row r="5" spans="1:10" s="44" customFormat="1" ht="15.45">
      <c r="A5" s="45" t="s">
        <v>424</v>
      </c>
      <c r="B5" s="99"/>
      <c r="E5"/>
      <c r="F5"/>
    </row>
    <row r="6" spans="1:10" ht="14.6">
      <c r="D6"/>
    </row>
    <row r="7" spans="1:10">
      <c r="A7" s="134" t="s">
        <v>254</v>
      </c>
      <c r="B7" s="438">
        <f>1.5*18500000</f>
        <v>27750000</v>
      </c>
      <c r="C7" s="134" t="s">
        <v>245</v>
      </c>
      <c r="D7" s="134" t="s">
        <v>354</v>
      </c>
    </row>
    <row r="8" spans="1:10" s="44" customFormat="1" ht="14.6">
      <c r="A8" s="111" t="s">
        <v>255</v>
      </c>
      <c r="B8" s="180">
        <v>0.2</v>
      </c>
      <c r="C8" s="111" t="s">
        <v>85</v>
      </c>
      <c r="D8" s="111"/>
      <c r="E8"/>
      <c r="F8"/>
    </row>
    <row r="9" spans="1:10" s="44" customFormat="1" ht="14.6">
      <c r="A9" s="111" t="s">
        <v>56</v>
      </c>
      <c r="B9" s="180">
        <f>B8*B7/1000</f>
        <v>5550</v>
      </c>
      <c r="C9" s="111" t="s">
        <v>62</v>
      </c>
      <c r="E9"/>
      <c r="F9"/>
    </row>
    <row r="10" spans="1:10" s="44" customFormat="1" ht="14.6">
      <c r="A10" s="111" t="s">
        <v>56</v>
      </c>
      <c r="B10" s="339">
        <f>B9/2000</f>
        <v>2.7749999999999999</v>
      </c>
      <c r="C10" s="111" t="s">
        <v>115</v>
      </c>
      <c r="E10"/>
      <c r="F10"/>
    </row>
    <row r="11" spans="1:10">
      <c r="H11" s="438"/>
      <c r="I11" s="438"/>
      <c r="J11" s="438"/>
    </row>
    <row r="12" spans="1:10" s="44" customFormat="1" ht="37.299999999999997">
      <c r="A12" s="501" t="s">
        <v>426</v>
      </c>
      <c r="B12" s="130" t="s">
        <v>61</v>
      </c>
      <c r="C12" s="131" t="s">
        <v>388</v>
      </c>
      <c r="D12" s="133" t="s">
        <v>140</v>
      </c>
      <c r="E12"/>
      <c r="F12"/>
      <c r="G12" s="134"/>
      <c r="H12" s="85"/>
      <c r="I12" s="438"/>
      <c r="J12" s="438"/>
    </row>
    <row r="13" spans="1:10" s="44" customFormat="1" ht="14.6">
      <c r="A13" s="116" t="s">
        <v>53</v>
      </c>
      <c r="B13" s="111" t="s">
        <v>144</v>
      </c>
      <c r="C13" s="427">
        <v>5</v>
      </c>
      <c r="D13" s="101">
        <f>(C13/100)*$B$9</f>
        <v>277.5</v>
      </c>
      <c r="E13"/>
      <c r="F13"/>
      <c r="G13" s="51"/>
      <c r="H13" s="51"/>
      <c r="I13" s="51"/>
    </row>
    <row r="14" spans="1:10" s="44" customFormat="1" ht="14.6">
      <c r="A14" s="70" t="s">
        <v>50</v>
      </c>
      <c r="B14" s="44" t="s">
        <v>145</v>
      </c>
      <c r="C14" s="427">
        <v>7</v>
      </c>
      <c r="D14" s="101">
        <f t="shared" ref="D14:D18" si="0">(C14/100)*$B$9</f>
        <v>388.50000000000006</v>
      </c>
      <c r="E14"/>
      <c r="F14"/>
      <c r="G14" s="51"/>
      <c r="H14" s="51"/>
      <c r="I14" s="51"/>
    </row>
    <row r="15" spans="1:10" s="44" customFormat="1" ht="14.6">
      <c r="A15" s="70" t="s">
        <v>54</v>
      </c>
      <c r="B15" s="44" t="s">
        <v>146</v>
      </c>
      <c r="C15" s="427">
        <v>7</v>
      </c>
      <c r="D15" s="101">
        <f t="shared" si="0"/>
        <v>388.50000000000006</v>
      </c>
      <c r="E15"/>
      <c r="F15"/>
      <c r="G15" s="51"/>
      <c r="H15" s="51"/>
      <c r="I15" s="51"/>
    </row>
    <row r="16" spans="1:10" s="44" customFormat="1" ht="14.6">
      <c r="A16" s="70" t="s">
        <v>170</v>
      </c>
      <c r="B16" s="44" t="s">
        <v>147</v>
      </c>
      <c r="C16" s="427">
        <v>7</v>
      </c>
      <c r="D16" s="101">
        <f t="shared" si="0"/>
        <v>388.50000000000006</v>
      </c>
      <c r="E16"/>
      <c r="F16"/>
      <c r="G16" s="51"/>
      <c r="H16" s="51"/>
      <c r="I16" s="51"/>
    </row>
    <row r="17" spans="1:9" s="44" customFormat="1" ht="14.6">
      <c r="A17" s="70" t="s">
        <v>51</v>
      </c>
      <c r="B17" s="44" t="s">
        <v>148</v>
      </c>
      <c r="C17" s="427">
        <v>7</v>
      </c>
      <c r="D17" s="101">
        <f t="shared" si="0"/>
        <v>388.50000000000006</v>
      </c>
      <c r="E17"/>
      <c r="F17"/>
      <c r="G17" s="51"/>
      <c r="H17" s="51"/>
      <c r="I17" s="51"/>
    </row>
    <row r="18" spans="1:9" s="44" customFormat="1" ht="14.6">
      <c r="A18" s="63" t="s">
        <v>55</v>
      </c>
      <c r="B18" s="89" t="s">
        <v>149</v>
      </c>
      <c r="C18" s="429">
        <v>1</v>
      </c>
      <c r="D18" s="102">
        <f t="shared" si="0"/>
        <v>55.5</v>
      </c>
      <c r="E18"/>
      <c r="F18"/>
      <c r="G18" s="51"/>
      <c r="H18" s="51"/>
      <c r="I18" s="51"/>
    </row>
    <row r="19" spans="1:9" s="44" customFormat="1" ht="14.6">
      <c r="A19" s="428" t="s">
        <v>47</v>
      </c>
      <c r="C19" s="427"/>
      <c r="D19" s="92">
        <f>SUM(D13:D18)</f>
        <v>1887</v>
      </c>
      <c r="E19"/>
      <c r="F19"/>
      <c r="G19" s="51"/>
      <c r="H19" s="51"/>
      <c r="I19" s="51"/>
    </row>
    <row r="20" spans="1:9" s="44" customFormat="1" ht="14.6">
      <c r="A20" s="111"/>
      <c r="B20" s="111"/>
      <c r="C20" s="147"/>
      <c r="D20" s="92"/>
      <c r="E20"/>
      <c r="F20"/>
      <c r="G20" s="51"/>
      <c r="H20" s="51"/>
      <c r="I20" s="51"/>
    </row>
    <row r="21" spans="1:9" s="44" customFormat="1" ht="14.6">
      <c r="B21" s="51"/>
      <c r="C21" s="51"/>
      <c r="D21" s="51"/>
      <c r="E21"/>
      <c r="F21"/>
      <c r="G21" s="51"/>
    </row>
    <row r="22" spans="1:9" s="44" customFormat="1" ht="14.6">
      <c r="A22" s="111"/>
      <c r="E22"/>
      <c r="F22"/>
    </row>
  </sheetData>
  <sheetProtection algorithmName="SHA-512" hashValue="d84ErQnCJXRYj+rGmh/oVNKGBFdtYO2qhKr2678GxJaS1R1WHpNsiDr6G/veuqgMikSgCh1VTgdBFMexxLDCBQ==" saltValue="fI1okHtOauL8w/UlMbcRcw==" spinCount="100000" sheet="1" objects="1" scenarios="1"/>
  <phoneticPr fontId="48" type="noConversion"/>
  <pageMargins left="0.75" right="0.75" top="1" bottom="1" header="0.5" footer="0.5"/>
  <pageSetup scale="97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>
    <tabColor rgb="FF00B050"/>
    <pageSetUpPr fitToPage="1"/>
  </sheetPr>
  <dimension ref="A1:O118"/>
  <sheetViews>
    <sheetView tabSelected="1" workbookViewId="0">
      <selection activeCell="E10" sqref="E10"/>
    </sheetView>
  </sheetViews>
  <sheetFormatPr defaultColWidth="11.4609375" defaultRowHeight="12.45"/>
  <cols>
    <col min="1" max="1" width="44.15234375" style="44" customWidth="1"/>
    <col min="2" max="2" width="14.69140625" style="44" customWidth="1"/>
    <col min="3" max="3" width="13.15234375" style="44" customWidth="1"/>
    <col min="4" max="4" width="15.84375" style="44" customWidth="1"/>
    <col min="5" max="6" width="15.4609375" style="44" customWidth="1"/>
    <col min="7" max="7" width="9.15234375" style="44" customWidth="1"/>
    <col min="8" max="8" width="13.69140625" style="44" customWidth="1"/>
    <col min="9" max="9" width="13" style="44" customWidth="1"/>
    <col min="10" max="257" width="11.4609375" style="44"/>
    <col min="258" max="258" width="28.4609375" style="44" customWidth="1"/>
    <col min="259" max="259" width="14.69140625" style="44" customWidth="1"/>
    <col min="260" max="260" width="12.3046875" style="44" bestFit="1" customWidth="1"/>
    <col min="261" max="261" width="15.84375" style="44" customWidth="1"/>
    <col min="262" max="262" width="15.4609375" style="44" customWidth="1"/>
    <col min="263" max="513" width="11.4609375" style="44"/>
    <col min="514" max="514" width="28.4609375" style="44" customWidth="1"/>
    <col min="515" max="515" width="14.69140625" style="44" customWidth="1"/>
    <col min="516" max="516" width="12.3046875" style="44" bestFit="1" customWidth="1"/>
    <col min="517" max="517" width="15.84375" style="44" customWidth="1"/>
    <col min="518" max="518" width="15.4609375" style="44" customWidth="1"/>
    <col min="519" max="769" width="11.4609375" style="44"/>
    <col min="770" max="770" width="28.4609375" style="44" customWidth="1"/>
    <col min="771" max="771" width="14.69140625" style="44" customWidth="1"/>
    <col min="772" max="772" width="12.3046875" style="44" bestFit="1" customWidth="1"/>
    <col min="773" max="773" width="15.84375" style="44" customWidth="1"/>
    <col min="774" max="774" width="15.4609375" style="44" customWidth="1"/>
    <col min="775" max="1025" width="11.4609375" style="44"/>
    <col min="1026" max="1026" width="28.4609375" style="44" customWidth="1"/>
    <col min="1027" max="1027" width="14.69140625" style="44" customWidth="1"/>
    <col min="1028" max="1028" width="12.3046875" style="44" bestFit="1" customWidth="1"/>
    <col min="1029" max="1029" width="15.84375" style="44" customWidth="1"/>
    <col min="1030" max="1030" width="15.4609375" style="44" customWidth="1"/>
    <col min="1031" max="1281" width="11.4609375" style="44"/>
    <col min="1282" max="1282" width="28.4609375" style="44" customWidth="1"/>
    <col min="1283" max="1283" width="14.69140625" style="44" customWidth="1"/>
    <col min="1284" max="1284" width="12.3046875" style="44" bestFit="1" customWidth="1"/>
    <col min="1285" max="1285" width="15.84375" style="44" customWidth="1"/>
    <col min="1286" max="1286" width="15.4609375" style="44" customWidth="1"/>
    <col min="1287" max="1537" width="11.4609375" style="44"/>
    <col min="1538" max="1538" width="28.4609375" style="44" customWidth="1"/>
    <col min="1539" max="1539" width="14.69140625" style="44" customWidth="1"/>
    <col min="1540" max="1540" width="12.3046875" style="44" bestFit="1" customWidth="1"/>
    <col min="1541" max="1541" width="15.84375" style="44" customWidth="1"/>
    <col min="1542" max="1542" width="15.4609375" style="44" customWidth="1"/>
    <col min="1543" max="1793" width="11.4609375" style="44"/>
    <col min="1794" max="1794" width="28.4609375" style="44" customWidth="1"/>
    <col min="1795" max="1795" width="14.69140625" style="44" customWidth="1"/>
    <col min="1796" max="1796" width="12.3046875" style="44" bestFit="1" customWidth="1"/>
    <col min="1797" max="1797" width="15.84375" style="44" customWidth="1"/>
    <col min="1798" max="1798" width="15.4609375" style="44" customWidth="1"/>
    <col min="1799" max="2049" width="11.4609375" style="44"/>
    <col min="2050" max="2050" width="28.4609375" style="44" customWidth="1"/>
    <col min="2051" max="2051" width="14.69140625" style="44" customWidth="1"/>
    <col min="2052" max="2052" width="12.3046875" style="44" bestFit="1" customWidth="1"/>
    <col min="2053" max="2053" width="15.84375" style="44" customWidth="1"/>
    <col min="2054" max="2054" width="15.4609375" style="44" customWidth="1"/>
    <col min="2055" max="2305" width="11.4609375" style="44"/>
    <col min="2306" max="2306" width="28.4609375" style="44" customWidth="1"/>
    <col min="2307" max="2307" width="14.69140625" style="44" customWidth="1"/>
    <col min="2308" max="2308" width="12.3046875" style="44" bestFit="1" customWidth="1"/>
    <col min="2309" max="2309" width="15.84375" style="44" customWidth="1"/>
    <col min="2310" max="2310" width="15.4609375" style="44" customWidth="1"/>
    <col min="2311" max="2561" width="11.4609375" style="44"/>
    <col min="2562" max="2562" width="28.4609375" style="44" customWidth="1"/>
    <col min="2563" max="2563" width="14.69140625" style="44" customWidth="1"/>
    <col min="2564" max="2564" width="12.3046875" style="44" bestFit="1" customWidth="1"/>
    <col min="2565" max="2565" width="15.84375" style="44" customWidth="1"/>
    <col min="2566" max="2566" width="15.4609375" style="44" customWidth="1"/>
    <col min="2567" max="2817" width="11.4609375" style="44"/>
    <col min="2818" max="2818" width="28.4609375" style="44" customWidth="1"/>
    <col min="2819" max="2819" width="14.69140625" style="44" customWidth="1"/>
    <col min="2820" max="2820" width="12.3046875" style="44" bestFit="1" customWidth="1"/>
    <col min="2821" max="2821" width="15.84375" style="44" customWidth="1"/>
    <col min="2822" max="2822" width="15.4609375" style="44" customWidth="1"/>
    <col min="2823" max="3073" width="11.4609375" style="44"/>
    <col min="3074" max="3074" width="28.4609375" style="44" customWidth="1"/>
    <col min="3075" max="3075" width="14.69140625" style="44" customWidth="1"/>
    <col min="3076" max="3076" width="12.3046875" style="44" bestFit="1" customWidth="1"/>
    <col min="3077" max="3077" width="15.84375" style="44" customWidth="1"/>
    <col min="3078" max="3078" width="15.4609375" style="44" customWidth="1"/>
    <col min="3079" max="3329" width="11.4609375" style="44"/>
    <col min="3330" max="3330" width="28.4609375" style="44" customWidth="1"/>
    <col min="3331" max="3331" width="14.69140625" style="44" customWidth="1"/>
    <col min="3332" max="3332" width="12.3046875" style="44" bestFit="1" customWidth="1"/>
    <col min="3333" max="3333" width="15.84375" style="44" customWidth="1"/>
    <col min="3334" max="3334" width="15.4609375" style="44" customWidth="1"/>
    <col min="3335" max="3585" width="11.4609375" style="44"/>
    <col min="3586" max="3586" width="28.4609375" style="44" customWidth="1"/>
    <col min="3587" max="3587" width="14.69140625" style="44" customWidth="1"/>
    <col min="3588" max="3588" width="12.3046875" style="44" bestFit="1" customWidth="1"/>
    <col min="3589" max="3589" width="15.84375" style="44" customWidth="1"/>
    <col min="3590" max="3590" width="15.4609375" style="44" customWidth="1"/>
    <col min="3591" max="3841" width="11.4609375" style="44"/>
    <col min="3842" max="3842" width="28.4609375" style="44" customWidth="1"/>
    <col min="3843" max="3843" width="14.69140625" style="44" customWidth="1"/>
    <col min="3844" max="3844" width="12.3046875" style="44" bestFit="1" customWidth="1"/>
    <col min="3845" max="3845" width="15.84375" style="44" customWidth="1"/>
    <col min="3846" max="3846" width="15.4609375" style="44" customWidth="1"/>
    <col min="3847" max="4097" width="11.4609375" style="44"/>
    <col min="4098" max="4098" width="28.4609375" style="44" customWidth="1"/>
    <col min="4099" max="4099" width="14.69140625" style="44" customWidth="1"/>
    <col min="4100" max="4100" width="12.3046875" style="44" bestFit="1" customWidth="1"/>
    <col min="4101" max="4101" width="15.84375" style="44" customWidth="1"/>
    <col min="4102" max="4102" width="15.4609375" style="44" customWidth="1"/>
    <col min="4103" max="4353" width="11.4609375" style="44"/>
    <col min="4354" max="4354" width="28.4609375" style="44" customWidth="1"/>
    <col min="4355" max="4355" width="14.69140625" style="44" customWidth="1"/>
    <col min="4356" max="4356" width="12.3046875" style="44" bestFit="1" customWidth="1"/>
    <col min="4357" max="4357" width="15.84375" style="44" customWidth="1"/>
    <col min="4358" max="4358" width="15.4609375" style="44" customWidth="1"/>
    <col min="4359" max="4609" width="11.4609375" style="44"/>
    <col min="4610" max="4610" width="28.4609375" style="44" customWidth="1"/>
    <col min="4611" max="4611" width="14.69140625" style="44" customWidth="1"/>
    <col min="4612" max="4612" width="12.3046875" style="44" bestFit="1" customWidth="1"/>
    <col min="4613" max="4613" width="15.84375" style="44" customWidth="1"/>
    <col min="4614" max="4614" width="15.4609375" style="44" customWidth="1"/>
    <col min="4615" max="4865" width="11.4609375" style="44"/>
    <col min="4866" max="4866" width="28.4609375" style="44" customWidth="1"/>
    <col min="4867" max="4867" width="14.69140625" style="44" customWidth="1"/>
    <col min="4868" max="4868" width="12.3046875" style="44" bestFit="1" customWidth="1"/>
    <col min="4869" max="4869" width="15.84375" style="44" customWidth="1"/>
    <col min="4870" max="4870" width="15.4609375" style="44" customWidth="1"/>
    <col min="4871" max="5121" width="11.4609375" style="44"/>
    <col min="5122" max="5122" width="28.4609375" style="44" customWidth="1"/>
    <col min="5123" max="5123" width="14.69140625" style="44" customWidth="1"/>
    <col min="5124" max="5124" width="12.3046875" style="44" bestFit="1" customWidth="1"/>
    <col min="5125" max="5125" width="15.84375" style="44" customWidth="1"/>
    <col min="5126" max="5126" width="15.4609375" style="44" customWidth="1"/>
    <col min="5127" max="5377" width="11.4609375" style="44"/>
    <col min="5378" max="5378" width="28.4609375" style="44" customWidth="1"/>
    <col min="5379" max="5379" width="14.69140625" style="44" customWidth="1"/>
    <col min="5380" max="5380" width="12.3046875" style="44" bestFit="1" customWidth="1"/>
    <col min="5381" max="5381" width="15.84375" style="44" customWidth="1"/>
    <col min="5382" max="5382" width="15.4609375" style="44" customWidth="1"/>
    <col min="5383" max="5633" width="11.4609375" style="44"/>
    <col min="5634" max="5634" width="28.4609375" style="44" customWidth="1"/>
    <col min="5635" max="5635" width="14.69140625" style="44" customWidth="1"/>
    <col min="5636" max="5636" width="12.3046875" style="44" bestFit="1" customWidth="1"/>
    <col min="5637" max="5637" width="15.84375" style="44" customWidth="1"/>
    <col min="5638" max="5638" width="15.4609375" style="44" customWidth="1"/>
    <col min="5639" max="5889" width="11.4609375" style="44"/>
    <col min="5890" max="5890" width="28.4609375" style="44" customWidth="1"/>
    <col min="5891" max="5891" width="14.69140625" style="44" customWidth="1"/>
    <col min="5892" max="5892" width="12.3046875" style="44" bestFit="1" customWidth="1"/>
    <col min="5893" max="5893" width="15.84375" style="44" customWidth="1"/>
    <col min="5894" max="5894" width="15.4609375" style="44" customWidth="1"/>
    <col min="5895" max="6145" width="11.4609375" style="44"/>
    <col min="6146" max="6146" width="28.4609375" style="44" customWidth="1"/>
    <col min="6147" max="6147" width="14.69140625" style="44" customWidth="1"/>
    <col min="6148" max="6148" width="12.3046875" style="44" bestFit="1" customWidth="1"/>
    <col min="6149" max="6149" width="15.84375" style="44" customWidth="1"/>
    <col min="6150" max="6150" width="15.4609375" style="44" customWidth="1"/>
    <col min="6151" max="6401" width="11.4609375" style="44"/>
    <col min="6402" max="6402" width="28.4609375" style="44" customWidth="1"/>
    <col min="6403" max="6403" width="14.69140625" style="44" customWidth="1"/>
    <col min="6404" max="6404" width="12.3046875" style="44" bestFit="1" customWidth="1"/>
    <col min="6405" max="6405" width="15.84375" style="44" customWidth="1"/>
    <col min="6406" max="6406" width="15.4609375" style="44" customWidth="1"/>
    <col min="6407" max="6657" width="11.4609375" style="44"/>
    <col min="6658" max="6658" width="28.4609375" style="44" customWidth="1"/>
    <col min="6659" max="6659" width="14.69140625" style="44" customWidth="1"/>
    <col min="6660" max="6660" width="12.3046875" style="44" bestFit="1" customWidth="1"/>
    <col min="6661" max="6661" width="15.84375" style="44" customWidth="1"/>
    <col min="6662" max="6662" width="15.4609375" style="44" customWidth="1"/>
    <col min="6663" max="6913" width="11.4609375" style="44"/>
    <col min="6914" max="6914" width="28.4609375" style="44" customWidth="1"/>
    <col min="6915" max="6915" width="14.69140625" style="44" customWidth="1"/>
    <col min="6916" max="6916" width="12.3046875" style="44" bestFit="1" customWidth="1"/>
    <col min="6917" max="6917" width="15.84375" style="44" customWidth="1"/>
    <col min="6918" max="6918" width="15.4609375" style="44" customWidth="1"/>
    <col min="6919" max="7169" width="11.4609375" style="44"/>
    <col min="7170" max="7170" width="28.4609375" style="44" customWidth="1"/>
    <col min="7171" max="7171" width="14.69140625" style="44" customWidth="1"/>
    <col min="7172" max="7172" width="12.3046875" style="44" bestFit="1" customWidth="1"/>
    <col min="7173" max="7173" width="15.84375" style="44" customWidth="1"/>
    <col min="7174" max="7174" width="15.4609375" style="44" customWidth="1"/>
    <col min="7175" max="7425" width="11.4609375" style="44"/>
    <col min="7426" max="7426" width="28.4609375" style="44" customWidth="1"/>
    <col min="7427" max="7427" width="14.69140625" style="44" customWidth="1"/>
    <col min="7428" max="7428" width="12.3046875" style="44" bestFit="1" customWidth="1"/>
    <col min="7429" max="7429" width="15.84375" style="44" customWidth="1"/>
    <col min="7430" max="7430" width="15.4609375" style="44" customWidth="1"/>
    <col min="7431" max="7681" width="11.4609375" style="44"/>
    <col min="7682" max="7682" width="28.4609375" style="44" customWidth="1"/>
    <col min="7683" max="7683" width="14.69140625" style="44" customWidth="1"/>
    <col min="7684" max="7684" width="12.3046875" style="44" bestFit="1" customWidth="1"/>
    <col min="7685" max="7685" width="15.84375" style="44" customWidth="1"/>
    <col min="7686" max="7686" width="15.4609375" style="44" customWidth="1"/>
    <col min="7687" max="7937" width="11.4609375" style="44"/>
    <col min="7938" max="7938" width="28.4609375" style="44" customWidth="1"/>
    <col min="7939" max="7939" width="14.69140625" style="44" customWidth="1"/>
    <col min="7940" max="7940" width="12.3046875" style="44" bestFit="1" customWidth="1"/>
    <col min="7941" max="7941" width="15.84375" style="44" customWidth="1"/>
    <col min="7942" max="7942" width="15.4609375" style="44" customWidth="1"/>
    <col min="7943" max="8193" width="11.4609375" style="44"/>
    <col min="8194" max="8194" width="28.4609375" style="44" customWidth="1"/>
    <col min="8195" max="8195" width="14.69140625" style="44" customWidth="1"/>
    <col min="8196" max="8196" width="12.3046875" style="44" bestFit="1" customWidth="1"/>
    <col min="8197" max="8197" width="15.84375" style="44" customWidth="1"/>
    <col min="8198" max="8198" width="15.4609375" style="44" customWidth="1"/>
    <col min="8199" max="8449" width="11.4609375" style="44"/>
    <col min="8450" max="8450" width="28.4609375" style="44" customWidth="1"/>
    <col min="8451" max="8451" width="14.69140625" style="44" customWidth="1"/>
    <col min="8452" max="8452" width="12.3046875" style="44" bestFit="1" customWidth="1"/>
    <col min="8453" max="8453" width="15.84375" style="44" customWidth="1"/>
    <col min="8454" max="8454" width="15.4609375" style="44" customWidth="1"/>
    <col min="8455" max="8705" width="11.4609375" style="44"/>
    <col min="8706" max="8706" width="28.4609375" style="44" customWidth="1"/>
    <col min="8707" max="8707" width="14.69140625" style="44" customWidth="1"/>
    <col min="8708" max="8708" width="12.3046875" style="44" bestFit="1" customWidth="1"/>
    <col min="8709" max="8709" width="15.84375" style="44" customWidth="1"/>
    <col min="8710" max="8710" width="15.4609375" style="44" customWidth="1"/>
    <col min="8711" max="8961" width="11.4609375" style="44"/>
    <col min="8962" max="8962" width="28.4609375" style="44" customWidth="1"/>
    <col min="8963" max="8963" width="14.69140625" style="44" customWidth="1"/>
    <col min="8964" max="8964" width="12.3046875" style="44" bestFit="1" customWidth="1"/>
    <col min="8965" max="8965" width="15.84375" style="44" customWidth="1"/>
    <col min="8966" max="8966" width="15.4609375" style="44" customWidth="1"/>
    <col min="8967" max="9217" width="11.4609375" style="44"/>
    <col min="9218" max="9218" width="28.4609375" style="44" customWidth="1"/>
    <col min="9219" max="9219" width="14.69140625" style="44" customWidth="1"/>
    <col min="9220" max="9220" width="12.3046875" style="44" bestFit="1" customWidth="1"/>
    <col min="9221" max="9221" width="15.84375" style="44" customWidth="1"/>
    <col min="9222" max="9222" width="15.4609375" style="44" customWidth="1"/>
    <col min="9223" max="9473" width="11.4609375" style="44"/>
    <col min="9474" max="9474" width="28.4609375" style="44" customWidth="1"/>
    <col min="9475" max="9475" width="14.69140625" style="44" customWidth="1"/>
    <col min="9476" max="9476" width="12.3046875" style="44" bestFit="1" customWidth="1"/>
    <col min="9477" max="9477" width="15.84375" style="44" customWidth="1"/>
    <col min="9478" max="9478" width="15.4609375" style="44" customWidth="1"/>
    <col min="9479" max="9729" width="11.4609375" style="44"/>
    <col min="9730" max="9730" width="28.4609375" style="44" customWidth="1"/>
    <col min="9731" max="9731" width="14.69140625" style="44" customWidth="1"/>
    <col min="9732" max="9732" width="12.3046875" style="44" bestFit="1" customWidth="1"/>
    <col min="9733" max="9733" width="15.84375" style="44" customWidth="1"/>
    <col min="9734" max="9734" width="15.4609375" style="44" customWidth="1"/>
    <col min="9735" max="9985" width="11.4609375" style="44"/>
    <col min="9986" max="9986" width="28.4609375" style="44" customWidth="1"/>
    <col min="9987" max="9987" width="14.69140625" style="44" customWidth="1"/>
    <col min="9988" max="9988" width="12.3046875" style="44" bestFit="1" customWidth="1"/>
    <col min="9989" max="9989" width="15.84375" style="44" customWidth="1"/>
    <col min="9990" max="9990" width="15.4609375" style="44" customWidth="1"/>
    <col min="9991" max="10241" width="11.4609375" style="44"/>
    <col min="10242" max="10242" width="28.4609375" style="44" customWidth="1"/>
    <col min="10243" max="10243" width="14.69140625" style="44" customWidth="1"/>
    <col min="10244" max="10244" width="12.3046875" style="44" bestFit="1" customWidth="1"/>
    <col min="10245" max="10245" width="15.84375" style="44" customWidth="1"/>
    <col min="10246" max="10246" width="15.4609375" style="44" customWidth="1"/>
    <col min="10247" max="10497" width="11.4609375" style="44"/>
    <col min="10498" max="10498" width="28.4609375" style="44" customWidth="1"/>
    <col min="10499" max="10499" width="14.69140625" style="44" customWidth="1"/>
    <col min="10500" max="10500" width="12.3046875" style="44" bestFit="1" customWidth="1"/>
    <col min="10501" max="10501" width="15.84375" style="44" customWidth="1"/>
    <col min="10502" max="10502" width="15.4609375" style="44" customWidth="1"/>
    <col min="10503" max="10753" width="11.4609375" style="44"/>
    <col min="10754" max="10754" width="28.4609375" style="44" customWidth="1"/>
    <col min="10755" max="10755" width="14.69140625" style="44" customWidth="1"/>
    <col min="10756" max="10756" width="12.3046875" style="44" bestFit="1" customWidth="1"/>
    <col min="10757" max="10757" width="15.84375" style="44" customWidth="1"/>
    <col min="10758" max="10758" width="15.4609375" style="44" customWidth="1"/>
    <col min="10759" max="11009" width="11.4609375" style="44"/>
    <col min="11010" max="11010" width="28.4609375" style="44" customWidth="1"/>
    <col min="11011" max="11011" width="14.69140625" style="44" customWidth="1"/>
    <col min="11012" max="11012" width="12.3046875" style="44" bestFit="1" customWidth="1"/>
    <col min="11013" max="11013" width="15.84375" style="44" customWidth="1"/>
    <col min="11014" max="11014" width="15.4609375" style="44" customWidth="1"/>
    <col min="11015" max="11265" width="11.4609375" style="44"/>
    <col min="11266" max="11266" width="28.4609375" style="44" customWidth="1"/>
    <col min="11267" max="11267" width="14.69140625" style="44" customWidth="1"/>
    <col min="11268" max="11268" width="12.3046875" style="44" bestFit="1" customWidth="1"/>
    <col min="11269" max="11269" width="15.84375" style="44" customWidth="1"/>
    <col min="11270" max="11270" width="15.4609375" style="44" customWidth="1"/>
    <col min="11271" max="11521" width="11.4609375" style="44"/>
    <col min="11522" max="11522" width="28.4609375" style="44" customWidth="1"/>
    <col min="11523" max="11523" width="14.69140625" style="44" customWidth="1"/>
    <col min="11524" max="11524" width="12.3046875" style="44" bestFit="1" customWidth="1"/>
    <col min="11525" max="11525" width="15.84375" style="44" customWidth="1"/>
    <col min="11526" max="11526" width="15.4609375" style="44" customWidth="1"/>
    <col min="11527" max="11777" width="11.4609375" style="44"/>
    <col min="11778" max="11778" width="28.4609375" style="44" customWidth="1"/>
    <col min="11779" max="11779" width="14.69140625" style="44" customWidth="1"/>
    <col min="11780" max="11780" width="12.3046875" style="44" bestFit="1" customWidth="1"/>
    <col min="11781" max="11781" width="15.84375" style="44" customWidth="1"/>
    <col min="11782" max="11782" width="15.4609375" style="44" customWidth="1"/>
    <col min="11783" max="12033" width="11.4609375" style="44"/>
    <col min="12034" max="12034" width="28.4609375" style="44" customWidth="1"/>
    <col min="12035" max="12035" width="14.69140625" style="44" customWidth="1"/>
    <col min="12036" max="12036" width="12.3046875" style="44" bestFit="1" customWidth="1"/>
    <col min="12037" max="12037" width="15.84375" style="44" customWidth="1"/>
    <col min="12038" max="12038" width="15.4609375" style="44" customWidth="1"/>
    <col min="12039" max="12289" width="11.4609375" style="44"/>
    <col min="12290" max="12290" width="28.4609375" style="44" customWidth="1"/>
    <col min="12291" max="12291" width="14.69140625" style="44" customWidth="1"/>
    <col min="12292" max="12292" width="12.3046875" style="44" bestFit="1" customWidth="1"/>
    <col min="12293" max="12293" width="15.84375" style="44" customWidth="1"/>
    <col min="12294" max="12294" width="15.4609375" style="44" customWidth="1"/>
    <col min="12295" max="12545" width="11.4609375" style="44"/>
    <col min="12546" max="12546" width="28.4609375" style="44" customWidth="1"/>
    <col min="12547" max="12547" width="14.69140625" style="44" customWidth="1"/>
    <col min="12548" max="12548" width="12.3046875" style="44" bestFit="1" customWidth="1"/>
    <col min="12549" max="12549" width="15.84375" style="44" customWidth="1"/>
    <col min="12550" max="12550" width="15.4609375" style="44" customWidth="1"/>
    <col min="12551" max="12801" width="11.4609375" style="44"/>
    <col min="12802" max="12802" width="28.4609375" style="44" customWidth="1"/>
    <col min="12803" max="12803" width="14.69140625" style="44" customWidth="1"/>
    <col min="12804" max="12804" width="12.3046875" style="44" bestFit="1" customWidth="1"/>
    <col min="12805" max="12805" width="15.84375" style="44" customWidth="1"/>
    <col min="12806" max="12806" width="15.4609375" style="44" customWidth="1"/>
    <col min="12807" max="13057" width="11.4609375" style="44"/>
    <col min="13058" max="13058" width="28.4609375" style="44" customWidth="1"/>
    <col min="13059" max="13059" width="14.69140625" style="44" customWidth="1"/>
    <col min="13060" max="13060" width="12.3046875" style="44" bestFit="1" customWidth="1"/>
    <col min="13061" max="13061" width="15.84375" style="44" customWidth="1"/>
    <col min="13062" max="13062" width="15.4609375" style="44" customWidth="1"/>
    <col min="13063" max="13313" width="11.4609375" style="44"/>
    <col min="13314" max="13314" width="28.4609375" style="44" customWidth="1"/>
    <col min="13315" max="13315" width="14.69140625" style="44" customWidth="1"/>
    <col min="13316" max="13316" width="12.3046875" style="44" bestFit="1" customWidth="1"/>
    <col min="13317" max="13317" width="15.84375" style="44" customWidth="1"/>
    <col min="13318" max="13318" width="15.4609375" style="44" customWidth="1"/>
    <col min="13319" max="13569" width="11.4609375" style="44"/>
    <col min="13570" max="13570" width="28.4609375" style="44" customWidth="1"/>
    <col min="13571" max="13571" width="14.69140625" style="44" customWidth="1"/>
    <col min="13572" max="13572" width="12.3046875" style="44" bestFit="1" customWidth="1"/>
    <col min="13573" max="13573" width="15.84375" style="44" customWidth="1"/>
    <col min="13574" max="13574" width="15.4609375" style="44" customWidth="1"/>
    <col min="13575" max="13825" width="11.4609375" style="44"/>
    <col min="13826" max="13826" width="28.4609375" style="44" customWidth="1"/>
    <col min="13827" max="13827" width="14.69140625" style="44" customWidth="1"/>
    <col min="13828" max="13828" width="12.3046875" style="44" bestFit="1" customWidth="1"/>
    <col min="13829" max="13829" width="15.84375" style="44" customWidth="1"/>
    <col min="13830" max="13830" width="15.4609375" style="44" customWidth="1"/>
    <col min="13831" max="14081" width="11.4609375" style="44"/>
    <col min="14082" max="14082" width="28.4609375" style="44" customWidth="1"/>
    <col min="14083" max="14083" width="14.69140625" style="44" customWidth="1"/>
    <col min="14084" max="14084" width="12.3046875" style="44" bestFit="1" customWidth="1"/>
    <col min="14085" max="14085" width="15.84375" style="44" customWidth="1"/>
    <col min="14086" max="14086" width="15.4609375" style="44" customWidth="1"/>
    <col min="14087" max="14337" width="11.4609375" style="44"/>
    <col min="14338" max="14338" width="28.4609375" style="44" customWidth="1"/>
    <col min="14339" max="14339" width="14.69140625" style="44" customWidth="1"/>
    <col min="14340" max="14340" width="12.3046875" style="44" bestFit="1" customWidth="1"/>
    <col min="14341" max="14341" width="15.84375" style="44" customWidth="1"/>
    <col min="14342" max="14342" width="15.4609375" style="44" customWidth="1"/>
    <col min="14343" max="14593" width="11.4609375" style="44"/>
    <col min="14594" max="14594" width="28.4609375" style="44" customWidth="1"/>
    <col min="14595" max="14595" width="14.69140625" style="44" customWidth="1"/>
    <col min="14596" max="14596" width="12.3046875" style="44" bestFit="1" customWidth="1"/>
    <col min="14597" max="14597" width="15.84375" style="44" customWidth="1"/>
    <col min="14598" max="14598" width="15.4609375" style="44" customWidth="1"/>
    <col min="14599" max="14849" width="11.4609375" style="44"/>
    <col min="14850" max="14850" width="28.4609375" style="44" customWidth="1"/>
    <col min="14851" max="14851" width="14.69140625" style="44" customWidth="1"/>
    <col min="14852" max="14852" width="12.3046875" style="44" bestFit="1" customWidth="1"/>
    <col min="14853" max="14853" width="15.84375" style="44" customWidth="1"/>
    <col min="14854" max="14854" width="15.4609375" style="44" customWidth="1"/>
    <col min="14855" max="15105" width="11.4609375" style="44"/>
    <col min="15106" max="15106" width="28.4609375" style="44" customWidth="1"/>
    <col min="15107" max="15107" width="14.69140625" style="44" customWidth="1"/>
    <col min="15108" max="15108" width="12.3046875" style="44" bestFit="1" customWidth="1"/>
    <col min="15109" max="15109" width="15.84375" style="44" customWidth="1"/>
    <col min="15110" max="15110" width="15.4609375" style="44" customWidth="1"/>
    <col min="15111" max="15361" width="11.4609375" style="44"/>
    <col min="15362" max="15362" width="28.4609375" style="44" customWidth="1"/>
    <col min="15363" max="15363" width="14.69140625" style="44" customWidth="1"/>
    <col min="15364" max="15364" width="12.3046875" style="44" bestFit="1" customWidth="1"/>
    <col min="15365" max="15365" width="15.84375" style="44" customWidth="1"/>
    <col min="15366" max="15366" width="15.4609375" style="44" customWidth="1"/>
    <col min="15367" max="15617" width="11.4609375" style="44"/>
    <col min="15618" max="15618" width="28.4609375" style="44" customWidth="1"/>
    <col min="15619" max="15619" width="14.69140625" style="44" customWidth="1"/>
    <col min="15620" max="15620" width="12.3046875" style="44" bestFit="1" customWidth="1"/>
    <col min="15621" max="15621" width="15.84375" style="44" customWidth="1"/>
    <col min="15622" max="15622" width="15.4609375" style="44" customWidth="1"/>
    <col min="15623" max="15873" width="11.4609375" style="44"/>
    <col min="15874" max="15874" width="28.4609375" style="44" customWidth="1"/>
    <col min="15875" max="15875" width="14.69140625" style="44" customWidth="1"/>
    <col min="15876" max="15876" width="12.3046875" style="44" bestFit="1" customWidth="1"/>
    <col min="15877" max="15877" width="15.84375" style="44" customWidth="1"/>
    <col min="15878" max="15878" width="15.4609375" style="44" customWidth="1"/>
    <col min="15879" max="16129" width="11.4609375" style="44"/>
    <col min="16130" max="16130" width="28.4609375" style="44" customWidth="1"/>
    <col min="16131" max="16131" width="14.69140625" style="44" customWidth="1"/>
    <col min="16132" max="16132" width="12.3046875" style="44" bestFit="1" customWidth="1"/>
    <col min="16133" max="16133" width="15.84375" style="44" customWidth="1"/>
    <col min="16134" max="16134" width="15.4609375" style="44" customWidth="1"/>
    <col min="16135" max="16384" width="11.4609375" style="44"/>
  </cols>
  <sheetData>
    <row r="1" spans="1:15" ht="18.45">
      <c r="A1" s="502" t="s">
        <v>429</v>
      </c>
      <c r="E1" s="8"/>
      <c r="F1" s="8"/>
    </row>
    <row r="2" spans="1:15" ht="14.05" customHeight="1"/>
    <row r="3" spans="1:15" ht="14.05" customHeight="1">
      <c r="A3" s="111"/>
      <c r="B3" s="99"/>
      <c r="G3"/>
      <c r="H3"/>
    </row>
    <row r="4" spans="1:15" ht="15.45">
      <c r="A4" s="45" t="s">
        <v>422</v>
      </c>
      <c r="B4" s="99"/>
      <c r="G4"/>
      <c r="H4"/>
    </row>
    <row r="5" spans="1:15" ht="14.6">
      <c r="A5" s="111"/>
      <c r="B5" s="99"/>
      <c r="G5"/>
      <c r="H5" s="209" t="s">
        <v>419</v>
      </c>
      <c r="I5" s="89"/>
      <c r="J5" s="89"/>
      <c r="K5" s="89"/>
      <c r="L5" s="89"/>
    </row>
    <row r="6" spans="1:15" ht="14.6">
      <c r="A6" s="171" t="s">
        <v>449</v>
      </c>
      <c r="B6" s="99"/>
      <c r="G6"/>
      <c r="H6" s="469" t="s">
        <v>280</v>
      </c>
      <c r="I6" s="470"/>
      <c r="J6" s="471" t="s">
        <v>69</v>
      </c>
      <c r="K6" s="471" t="s">
        <v>70</v>
      </c>
      <c r="L6" s="472" t="s">
        <v>68</v>
      </c>
    </row>
    <row r="7" spans="1:15" ht="14.6">
      <c r="A7" s="111"/>
      <c r="B7" s="99"/>
      <c r="G7"/>
      <c r="H7" s="116" t="s">
        <v>176</v>
      </c>
      <c r="I7" s="179" t="str">
        <f>Boiler_and_Heater_Emission!C8</f>
        <v>MMBtu/hr</v>
      </c>
      <c r="J7" s="51">
        <f>Boiler_and_Heater_Emission!B8</f>
        <v>16.738</v>
      </c>
      <c r="K7" s="51">
        <f>Boiler_and_Heater_Emission!B50</f>
        <v>16.8</v>
      </c>
      <c r="L7" s="73">
        <f>Boiler_and_Heater_Emission!B89</f>
        <v>15</v>
      </c>
    </row>
    <row r="8" spans="1:15" ht="14.6">
      <c r="A8" s="111" t="s">
        <v>176</v>
      </c>
      <c r="B8" s="99">
        <v>16.738</v>
      </c>
      <c r="C8" s="111" t="s">
        <v>178</v>
      </c>
      <c r="D8" s="44">
        <f>B8/B9</f>
        <v>1.6409803921568628E-2</v>
      </c>
      <c r="E8" s="111" t="s">
        <v>274</v>
      </c>
      <c r="F8" s="111"/>
      <c r="G8"/>
      <c r="H8" s="63"/>
      <c r="I8" s="65" t="str">
        <f>Boiler_and_Heater_Emission!E8</f>
        <v>MMCF/hr</v>
      </c>
      <c r="J8" s="208">
        <f>Boiler_and_Heater_Emission!D8</f>
        <v>1.6409803921568628E-2</v>
      </c>
      <c r="K8" s="208">
        <f>Boiler_and_Heater_Emission!D50</f>
        <v>1.6470588235294119E-2</v>
      </c>
      <c r="L8" s="473">
        <f>Boiler_and_Heater_Emission!D89</f>
        <v>1.4705882352941176E-2</v>
      </c>
    </row>
    <row r="9" spans="1:15" ht="14.6">
      <c r="A9" s="111" t="s">
        <v>177</v>
      </c>
      <c r="B9" s="99">
        <v>1020</v>
      </c>
      <c r="C9" s="111" t="s">
        <v>179</v>
      </c>
      <c r="G9"/>
      <c r="H9" s="488"/>
      <c r="I9" s="179" t="s">
        <v>277</v>
      </c>
      <c r="J9" s="618" t="s">
        <v>279</v>
      </c>
      <c r="K9" s="619"/>
      <c r="L9" s="620"/>
    </row>
    <row r="10" spans="1:15" ht="14.6">
      <c r="A10" s="111" t="s">
        <v>180</v>
      </c>
      <c r="B10" s="99">
        <v>24</v>
      </c>
      <c r="C10" s="111" t="s">
        <v>182</v>
      </c>
      <c r="G10"/>
      <c r="H10" s="178" t="s">
        <v>278</v>
      </c>
      <c r="I10" s="337" t="s">
        <v>275</v>
      </c>
      <c r="J10" s="480" t="s">
        <v>276</v>
      </c>
      <c r="K10" s="337" t="s">
        <v>276</v>
      </c>
      <c r="L10" s="464" t="s">
        <v>276</v>
      </c>
      <c r="N10" s="179"/>
    </row>
    <row r="11" spans="1:15" ht="14.6">
      <c r="A11" s="111" t="s">
        <v>181</v>
      </c>
      <c r="B11" s="117">
        <v>1</v>
      </c>
      <c r="G11"/>
      <c r="H11" s="177" t="s">
        <v>116</v>
      </c>
      <c r="I11" s="51">
        <v>100</v>
      </c>
      <c r="J11" s="481">
        <f t="shared" ref="J11:L15" si="0">$I11*J$8</f>
        <v>1.6409803921568629</v>
      </c>
      <c r="K11" s="207">
        <f t="shared" si="0"/>
        <v>1.6470588235294119</v>
      </c>
      <c r="L11" s="474">
        <f t="shared" si="0"/>
        <v>1.4705882352941175</v>
      </c>
      <c r="N11" s="262"/>
      <c r="O11" s="111"/>
    </row>
    <row r="12" spans="1:15" ht="14.6">
      <c r="A12" s="111" t="s">
        <v>183</v>
      </c>
      <c r="B12" s="99">
        <v>8760</v>
      </c>
      <c r="C12" s="111" t="s">
        <v>94</v>
      </c>
      <c r="G12"/>
      <c r="H12" s="177" t="s">
        <v>281</v>
      </c>
      <c r="I12" s="51">
        <v>2.5</v>
      </c>
      <c r="J12" s="481">
        <f t="shared" si="0"/>
        <v>4.1024509803921569E-2</v>
      </c>
      <c r="K12" s="207">
        <f t="shared" si="0"/>
        <v>4.11764705882353E-2</v>
      </c>
      <c r="L12" s="474">
        <f t="shared" si="0"/>
        <v>3.6764705882352942E-2</v>
      </c>
      <c r="N12" s="262"/>
      <c r="O12" s="111"/>
    </row>
    <row r="13" spans="1:15" ht="14.6">
      <c r="A13" s="111" t="s">
        <v>184</v>
      </c>
      <c r="B13" s="117">
        <v>1</v>
      </c>
      <c r="G13"/>
      <c r="H13" s="177" t="s">
        <v>137</v>
      </c>
      <c r="I13" s="51">
        <v>2.6</v>
      </c>
      <c r="J13" s="481">
        <f t="shared" si="0"/>
        <v>4.2665490196078432E-2</v>
      </c>
      <c r="K13" s="207">
        <f t="shared" si="0"/>
        <v>4.2823529411764712E-2</v>
      </c>
      <c r="L13" s="474">
        <f t="shared" si="0"/>
        <v>3.8235294117647062E-2</v>
      </c>
      <c r="M13" s="207"/>
      <c r="N13" s="262"/>
      <c r="O13" s="111"/>
    </row>
    <row r="14" spans="1:15" ht="14.6">
      <c r="A14" s="111" t="s">
        <v>185</v>
      </c>
      <c r="B14" s="174">
        <f>B8*B11*B10/B9</f>
        <v>0.39383529411764706</v>
      </c>
      <c r="C14" s="111" t="s">
        <v>186</v>
      </c>
      <c r="G14"/>
      <c r="H14" s="177" t="s">
        <v>2</v>
      </c>
      <c r="I14" s="51">
        <v>5.5</v>
      </c>
      <c r="J14" s="481">
        <f t="shared" si="0"/>
        <v>9.0253921568627452E-2</v>
      </c>
      <c r="K14" s="207">
        <f t="shared" si="0"/>
        <v>9.058823529411765E-2</v>
      </c>
      <c r="L14" s="474">
        <f t="shared" si="0"/>
        <v>8.0882352941176475E-2</v>
      </c>
      <c r="N14" s="262"/>
      <c r="O14" s="111"/>
    </row>
    <row r="15" spans="1:15" ht="14.6">
      <c r="A15" s="111" t="s">
        <v>185</v>
      </c>
      <c r="B15" s="175">
        <f>B8*B13*B12/B9</f>
        <v>143.74988235294117</v>
      </c>
      <c r="C15" s="44" t="s">
        <v>141</v>
      </c>
      <c r="G15"/>
      <c r="H15" s="177" t="s">
        <v>119</v>
      </c>
      <c r="I15" s="51">
        <v>84</v>
      </c>
      <c r="J15" s="482">
        <f t="shared" si="0"/>
        <v>1.3784235294117648</v>
      </c>
      <c r="K15" s="475">
        <f t="shared" si="0"/>
        <v>1.3835294117647059</v>
      </c>
      <c r="L15" s="476">
        <f t="shared" si="0"/>
        <v>1.2352941176470589</v>
      </c>
      <c r="N15" s="262"/>
      <c r="O15" s="111"/>
    </row>
    <row r="16" spans="1:15">
      <c r="H16" s="178" t="s">
        <v>351</v>
      </c>
      <c r="I16" s="65">
        <v>117</v>
      </c>
      <c r="J16" s="483">
        <f>$I16*J$7</f>
        <v>1958.346</v>
      </c>
      <c r="K16" s="477">
        <f t="shared" ref="K16:L16" si="1">$I16*K$7</f>
        <v>1965.6000000000001</v>
      </c>
      <c r="L16" s="478">
        <f t="shared" si="1"/>
        <v>1755</v>
      </c>
      <c r="N16" s="341"/>
      <c r="O16" s="111"/>
    </row>
    <row r="17" spans="1:13" ht="37" customHeight="1">
      <c r="A17" s="500" t="s">
        <v>426</v>
      </c>
      <c r="B17" s="108" t="s">
        <v>61</v>
      </c>
      <c r="C17" s="107" t="s">
        <v>253</v>
      </c>
      <c r="D17" s="109" t="s">
        <v>143</v>
      </c>
      <c r="E17" s="110" t="s">
        <v>140</v>
      </c>
      <c r="F17" s="431"/>
      <c r="G17"/>
      <c r="H17"/>
      <c r="I17" s="615" t="s">
        <v>420</v>
      </c>
      <c r="J17" s="616"/>
      <c r="K17" s="616"/>
      <c r="L17" s="616"/>
      <c r="M17" s="617"/>
    </row>
    <row r="18" spans="1:13">
      <c r="A18" s="68" t="s">
        <v>50</v>
      </c>
      <c r="B18" s="68" t="s">
        <v>145</v>
      </c>
      <c r="C18" s="76">
        <v>8.0000000000000002E-3</v>
      </c>
      <c r="D18" s="115">
        <f t="shared" ref="D18:D37" si="2">$B$14*C18</f>
        <v>3.1506823529411764E-3</v>
      </c>
      <c r="E18" s="100">
        <f t="shared" ref="E18:E37" si="3">$B$15*C18</f>
        <v>1.1499990588235294</v>
      </c>
      <c r="F18" s="432"/>
      <c r="I18" s="70"/>
      <c r="J18" s="487" t="s">
        <v>69</v>
      </c>
      <c r="K18" s="467" t="s">
        <v>70</v>
      </c>
      <c r="L18" s="479" t="s">
        <v>68</v>
      </c>
      <c r="M18" s="479" t="s">
        <v>47</v>
      </c>
    </row>
    <row r="19" spans="1:13">
      <c r="A19" s="70" t="s">
        <v>52</v>
      </c>
      <c r="B19" s="70" t="s">
        <v>150</v>
      </c>
      <c r="C19" s="103">
        <v>1.7000000000000001E-2</v>
      </c>
      <c r="D19" s="112">
        <f t="shared" si="2"/>
        <v>6.6952000000000001E-3</v>
      </c>
      <c r="E19" s="101">
        <f t="shared" si="3"/>
        <v>2.4437480000000003</v>
      </c>
      <c r="F19" s="432"/>
      <c r="I19" s="149" t="s">
        <v>278</v>
      </c>
      <c r="J19" s="480" t="s">
        <v>249</v>
      </c>
      <c r="K19" s="468" t="s">
        <v>249</v>
      </c>
      <c r="L19" s="484" t="s">
        <v>249</v>
      </c>
      <c r="M19" s="464" t="s">
        <v>249</v>
      </c>
    </row>
    <row r="20" spans="1:13">
      <c r="A20" s="116" t="s">
        <v>251</v>
      </c>
      <c r="B20" s="116" t="s">
        <v>175</v>
      </c>
      <c r="C20" s="103">
        <v>1E-4</v>
      </c>
      <c r="D20" s="112">
        <f t="shared" si="2"/>
        <v>3.9383529411764711E-5</v>
      </c>
      <c r="E20" s="101">
        <f t="shared" si="3"/>
        <v>1.4374988235294118E-2</v>
      </c>
      <c r="F20" s="432"/>
      <c r="I20" s="116" t="s">
        <v>116</v>
      </c>
      <c r="J20" s="485">
        <f t="shared" ref="J20:L23" si="4">J11*$B$12/2000</f>
        <v>7.1874941176470593</v>
      </c>
      <c r="K20" s="92">
        <f t="shared" si="4"/>
        <v>7.2141176470588242</v>
      </c>
      <c r="L20" s="101">
        <f t="shared" si="4"/>
        <v>6.4411764705882355</v>
      </c>
      <c r="M20" s="101">
        <f>SUM(J20:L20)</f>
        <v>20.842788235294119</v>
      </c>
    </row>
    <row r="21" spans="1:13">
      <c r="A21" s="70" t="s">
        <v>55</v>
      </c>
      <c r="B21" s="70" t="s">
        <v>149</v>
      </c>
      <c r="C21" s="103">
        <v>2.9999999999999997E-4</v>
      </c>
      <c r="D21" s="112">
        <f t="shared" si="2"/>
        <v>1.181505882352941E-4</v>
      </c>
      <c r="E21" s="101">
        <f t="shared" si="3"/>
        <v>4.3124964705882347E-2</v>
      </c>
      <c r="F21" s="432"/>
      <c r="I21" s="116" t="s">
        <v>281</v>
      </c>
      <c r="J21" s="485">
        <f t="shared" si="4"/>
        <v>0.17968735294117646</v>
      </c>
      <c r="K21" s="92">
        <f t="shared" si="4"/>
        <v>0.1803529411764706</v>
      </c>
      <c r="L21" s="101">
        <f t="shared" si="4"/>
        <v>0.16102941176470589</v>
      </c>
      <c r="M21" s="101">
        <f t="shared" ref="M21:M23" si="5">SUM(J21:L21)</f>
        <v>0.52106970588235291</v>
      </c>
    </row>
    <row r="22" spans="1:13">
      <c r="A22" s="70" t="s">
        <v>48</v>
      </c>
      <c r="B22" s="70" t="s">
        <v>151</v>
      </c>
      <c r="C22" s="103">
        <v>4.3E-3</v>
      </c>
      <c r="D22" s="112">
        <f t="shared" si="2"/>
        <v>1.6934917647058823E-3</v>
      </c>
      <c r="E22" s="101">
        <f t="shared" si="3"/>
        <v>0.61812449411764703</v>
      </c>
      <c r="F22" s="432"/>
      <c r="I22" s="116" t="s">
        <v>137</v>
      </c>
      <c r="J22" s="485">
        <f t="shared" si="4"/>
        <v>0.18687484705882351</v>
      </c>
      <c r="K22" s="92">
        <f t="shared" si="4"/>
        <v>0.18756705882352945</v>
      </c>
      <c r="L22" s="101">
        <f t="shared" si="4"/>
        <v>0.16747058823529415</v>
      </c>
      <c r="M22" s="101">
        <f t="shared" si="5"/>
        <v>0.54191249411764708</v>
      </c>
    </row>
    <row r="23" spans="1:13">
      <c r="A23" s="70" t="s">
        <v>49</v>
      </c>
      <c r="B23" s="70" t="s">
        <v>152</v>
      </c>
      <c r="C23" s="103">
        <v>2.7000000000000001E-3</v>
      </c>
      <c r="D23" s="112">
        <f t="shared" si="2"/>
        <v>1.0633552941176471E-3</v>
      </c>
      <c r="E23" s="101">
        <f t="shared" si="3"/>
        <v>0.38812468235294117</v>
      </c>
      <c r="F23" s="432"/>
      <c r="I23" s="116" t="s">
        <v>2</v>
      </c>
      <c r="J23" s="485">
        <f t="shared" si="4"/>
        <v>0.39531217647058819</v>
      </c>
      <c r="K23" s="92">
        <f t="shared" si="4"/>
        <v>0.39677647058823534</v>
      </c>
      <c r="L23" s="101">
        <f t="shared" si="4"/>
        <v>0.35426470588235298</v>
      </c>
      <c r="M23" s="101">
        <f t="shared" si="5"/>
        <v>1.1463533529411765</v>
      </c>
    </row>
    <row r="24" spans="1:13">
      <c r="A24" s="106"/>
      <c r="B24" s="104"/>
      <c r="C24" s="103"/>
      <c r="D24" s="112"/>
      <c r="E24" s="101"/>
      <c r="F24" s="432"/>
      <c r="I24" s="116" t="s">
        <v>119</v>
      </c>
      <c r="J24" s="485">
        <f t="shared" ref="J24:J25" si="6">J15*$B$12/2000</f>
        <v>6.0374950588235299</v>
      </c>
      <c r="K24" s="92">
        <f>K15*$B$12/2000</f>
        <v>6.059858823529412</v>
      </c>
      <c r="L24" s="101">
        <f>L15*$B$12/2000</f>
        <v>5.4105882352941181</v>
      </c>
      <c r="M24" s="101">
        <f t="shared" ref="M24" si="7">SUM(J24:L24)</f>
        <v>17.507942117647058</v>
      </c>
    </row>
    <row r="25" spans="1:13">
      <c r="A25" s="70" t="s">
        <v>153</v>
      </c>
      <c r="B25" s="70" t="s">
        <v>154</v>
      </c>
      <c r="C25" s="103">
        <v>2.0000000000000001E-4</v>
      </c>
      <c r="D25" s="112">
        <f t="shared" si="2"/>
        <v>7.8767058823529421E-5</v>
      </c>
      <c r="E25" s="101">
        <f t="shared" si="3"/>
        <v>2.8749976470588235E-2</v>
      </c>
      <c r="F25" s="92"/>
      <c r="I25" s="149" t="s">
        <v>351</v>
      </c>
      <c r="J25" s="486">
        <f t="shared" si="6"/>
        <v>8577.5554800000009</v>
      </c>
      <c r="K25" s="465">
        <f>K16*$B$12/2000</f>
        <v>8609.3279999999995</v>
      </c>
      <c r="L25" s="466">
        <f>L16*$B$12/2000</f>
        <v>7686.9</v>
      </c>
      <c r="M25" s="466">
        <f t="shared" ref="M25" si="8">SUM(J25:L25)</f>
        <v>24873.783479999998</v>
      </c>
    </row>
    <row r="26" spans="1:13">
      <c r="A26" s="70" t="s">
        <v>155</v>
      </c>
      <c r="B26" s="70" t="s">
        <v>156</v>
      </c>
      <c r="C26" s="103">
        <v>1.2E-5</v>
      </c>
      <c r="D26" s="112">
        <f t="shared" si="2"/>
        <v>4.726023529411765E-6</v>
      </c>
      <c r="E26" s="94">
        <f t="shared" si="3"/>
        <v>1.7249985882352942E-3</v>
      </c>
      <c r="F26" s="432"/>
    </row>
    <row r="27" spans="1:13">
      <c r="A27" s="70" t="s">
        <v>157</v>
      </c>
      <c r="B27" s="70" t="s">
        <v>158</v>
      </c>
      <c r="C27" s="103">
        <v>1.1000000000000001E-3</v>
      </c>
      <c r="D27" s="112">
        <f t="shared" si="2"/>
        <v>4.3321882352941179E-4</v>
      </c>
      <c r="E27" s="101">
        <f t="shared" si="3"/>
        <v>0.15812487058823529</v>
      </c>
      <c r="F27" s="432"/>
    </row>
    <row r="28" spans="1:13">
      <c r="A28" s="70" t="s">
        <v>159</v>
      </c>
      <c r="B28" s="70" t="s">
        <v>172</v>
      </c>
      <c r="C28" s="103">
        <v>1.4E-3</v>
      </c>
      <c r="D28" s="112">
        <f t="shared" si="2"/>
        <v>5.513694117647059E-4</v>
      </c>
      <c r="E28" s="101">
        <f t="shared" si="3"/>
        <v>0.20124983529411763</v>
      </c>
      <c r="F28" s="432"/>
    </row>
    <row r="29" spans="1:13">
      <c r="A29" s="70" t="s">
        <v>160</v>
      </c>
      <c r="B29" s="70" t="s">
        <v>161</v>
      </c>
      <c r="C29" s="103">
        <v>8.3999999999999995E-5</v>
      </c>
      <c r="D29" s="112">
        <f t="shared" si="2"/>
        <v>3.3082164705882348E-5</v>
      </c>
      <c r="E29" s="101">
        <f t="shared" si="3"/>
        <v>1.2074990117647058E-2</v>
      </c>
      <c r="F29" s="92"/>
    </row>
    <row r="30" spans="1:13">
      <c r="A30" s="70" t="s">
        <v>142</v>
      </c>
      <c r="B30" s="70" t="s">
        <v>148</v>
      </c>
      <c r="C30" s="103">
        <v>9.4999999999999998E-3</v>
      </c>
      <c r="D30" s="112">
        <f t="shared" si="2"/>
        <v>3.7414352941176469E-3</v>
      </c>
      <c r="E30" s="101">
        <f t="shared" si="3"/>
        <v>1.3656238823529412</v>
      </c>
      <c r="F30" s="432"/>
    </row>
    <row r="31" spans="1:13">
      <c r="A31" s="70" t="s">
        <v>53</v>
      </c>
      <c r="B31" s="70" t="s">
        <v>144</v>
      </c>
      <c r="C31" s="103">
        <v>6.3E-3</v>
      </c>
      <c r="D31" s="112">
        <f t="shared" si="2"/>
        <v>2.4811623529411766E-3</v>
      </c>
      <c r="E31" s="101">
        <f t="shared" si="3"/>
        <v>0.90562425882352937</v>
      </c>
      <c r="F31" s="432"/>
    </row>
    <row r="32" spans="1:13">
      <c r="A32" s="70" t="s">
        <v>162</v>
      </c>
      <c r="B32" s="70" t="s">
        <v>163</v>
      </c>
      <c r="C32" s="103">
        <v>3.8000000000000002E-4</v>
      </c>
      <c r="D32" s="112">
        <f t="shared" si="2"/>
        <v>1.4965741176470589E-4</v>
      </c>
      <c r="E32" s="101">
        <f t="shared" si="3"/>
        <v>5.462495529411765E-2</v>
      </c>
      <c r="F32" s="92"/>
    </row>
    <row r="33" spans="1:8" ht="16" customHeight="1">
      <c r="A33" s="70" t="s">
        <v>164</v>
      </c>
      <c r="B33" s="70" t="s">
        <v>165</v>
      </c>
      <c r="C33" s="103">
        <v>2.5999999999999998E-4</v>
      </c>
      <c r="D33" s="112">
        <f t="shared" si="2"/>
        <v>1.0239717647058823E-4</v>
      </c>
      <c r="E33" s="101">
        <f t="shared" si="3"/>
        <v>3.73749694117647E-2</v>
      </c>
      <c r="F33" s="432"/>
    </row>
    <row r="34" spans="1:8">
      <c r="A34" s="70" t="s">
        <v>166</v>
      </c>
      <c r="B34" s="70" t="s">
        <v>167</v>
      </c>
      <c r="C34" s="103">
        <v>2.0999999999999999E-3</v>
      </c>
      <c r="D34" s="112">
        <f t="shared" si="2"/>
        <v>8.2705411764705879E-4</v>
      </c>
      <c r="E34" s="101">
        <f t="shared" si="3"/>
        <v>0.30187475294117644</v>
      </c>
      <c r="F34" s="432"/>
    </row>
    <row r="35" spans="1:8">
      <c r="A35" s="70" t="s">
        <v>168</v>
      </c>
      <c r="B35" s="70" t="s">
        <v>169</v>
      </c>
      <c r="C35" s="103">
        <v>2.4000000000000001E-5</v>
      </c>
      <c r="D35" s="112">
        <f t="shared" si="2"/>
        <v>9.45204705882353E-6</v>
      </c>
      <c r="E35" s="94">
        <f t="shared" si="3"/>
        <v>3.4499971764705884E-3</v>
      </c>
      <c r="F35" s="114"/>
    </row>
    <row r="36" spans="1:8">
      <c r="A36" s="70" t="s">
        <v>54</v>
      </c>
      <c r="B36" s="70" t="s">
        <v>146</v>
      </c>
      <c r="C36" s="103">
        <v>3.6600000000000001E-2</v>
      </c>
      <c r="D36" s="112">
        <f t="shared" si="2"/>
        <v>1.4414371764705882E-2</v>
      </c>
      <c r="E36" s="101">
        <f t="shared" si="3"/>
        <v>5.2612456941176466</v>
      </c>
      <c r="F36" s="432"/>
    </row>
    <row r="37" spans="1:8">
      <c r="A37" s="63" t="s">
        <v>170</v>
      </c>
      <c r="B37" s="63" t="s">
        <v>147</v>
      </c>
      <c r="C37" s="105">
        <v>2.7199999999999998E-2</v>
      </c>
      <c r="D37" s="113">
        <f t="shared" si="2"/>
        <v>1.0712319999999999E-2</v>
      </c>
      <c r="E37" s="102">
        <f t="shared" si="3"/>
        <v>3.9099967999999996</v>
      </c>
      <c r="F37" s="432"/>
    </row>
    <row r="38" spans="1:8">
      <c r="D38" s="433" t="s">
        <v>47</v>
      </c>
      <c r="E38" s="508">
        <f>SUM(E18:E37)</f>
        <v>16.899236169411765</v>
      </c>
    </row>
    <row r="46" spans="1:8" ht="14.6">
      <c r="A46" s="111"/>
      <c r="B46" s="99"/>
      <c r="G46"/>
      <c r="H46"/>
    </row>
    <row r="47" spans="1:8" ht="14.6">
      <c r="A47" s="111"/>
      <c r="B47" s="99"/>
      <c r="G47"/>
      <c r="H47"/>
    </row>
    <row r="48" spans="1:8" ht="14.6">
      <c r="A48" s="171" t="s">
        <v>450</v>
      </c>
      <c r="B48" s="99"/>
      <c r="G48"/>
      <c r="H48"/>
    </row>
    <row r="49" spans="1:11" ht="14.6">
      <c r="A49" s="171"/>
      <c r="B49" s="99"/>
      <c r="G49"/>
      <c r="H49"/>
      <c r="J49" s="179"/>
      <c r="K49" s="179"/>
    </row>
    <row r="50" spans="1:11" ht="14.6">
      <c r="A50" s="111" t="s">
        <v>176</v>
      </c>
      <c r="B50" s="99">
        <v>16.8</v>
      </c>
      <c r="C50" s="111" t="s">
        <v>178</v>
      </c>
      <c r="D50" s="44">
        <f>B50/B51</f>
        <v>1.6470588235294119E-2</v>
      </c>
      <c r="E50" s="111" t="s">
        <v>274</v>
      </c>
      <c r="F50" s="111"/>
      <c r="G50"/>
      <c r="H50"/>
      <c r="I50" s="111"/>
      <c r="J50" s="51"/>
      <c r="K50" s="207"/>
    </row>
    <row r="51" spans="1:11" ht="14.6">
      <c r="A51" s="111" t="s">
        <v>177</v>
      </c>
      <c r="B51" s="99">
        <v>1020</v>
      </c>
      <c r="C51" s="111" t="s">
        <v>179</v>
      </c>
      <c r="G51"/>
      <c r="H51"/>
      <c r="I51" s="111"/>
      <c r="J51" s="51"/>
      <c r="K51" s="207"/>
    </row>
    <row r="52" spans="1:11" ht="14.6">
      <c r="A52" s="111" t="s">
        <v>180</v>
      </c>
      <c r="B52" s="99">
        <v>24</v>
      </c>
      <c r="C52" s="111" t="s">
        <v>182</v>
      </c>
      <c r="G52"/>
      <c r="H52"/>
      <c r="I52" s="111"/>
      <c r="J52" s="51"/>
      <c r="K52" s="207"/>
    </row>
    <row r="53" spans="1:11" ht="14.6">
      <c r="A53" s="111" t="s">
        <v>181</v>
      </c>
      <c r="B53" s="117">
        <v>1</v>
      </c>
      <c r="G53"/>
      <c r="H53"/>
      <c r="I53" s="111"/>
      <c r="J53" s="51"/>
      <c r="K53" s="207"/>
    </row>
    <row r="54" spans="1:11" ht="14.6">
      <c r="A54" s="111" t="s">
        <v>183</v>
      </c>
      <c r="B54" s="99">
        <v>8760</v>
      </c>
      <c r="C54" s="111" t="s">
        <v>94</v>
      </c>
      <c r="G54"/>
      <c r="H54"/>
    </row>
    <row r="55" spans="1:11" ht="14.6">
      <c r="A55" s="111" t="s">
        <v>184</v>
      </c>
      <c r="B55" s="176">
        <v>1</v>
      </c>
      <c r="G55"/>
      <c r="H55"/>
    </row>
    <row r="56" spans="1:11" ht="14.6">
      <c r="A56" s="111" t="s">
        <v>185</v>
      </c>
      <c r="B56" s="174">
        <f>B50*B53*B52/B51</f>
        <v>0.39529411764705885</v>
      </c>
      <c r="C56" s="111" t="s">
        <v>186</v>
      </c>
      <c r="G56"/>
      <c r="H56"/>
    </row>
    <row r="57" spans="1:11" ht="14.6">
      <c r="A57" s="111" t="s">
        <v>185</v>
      </c>
      <c r="B57" s="175">
        <f>B50*B55*B54/B51</f>
        <v>144.28235294117647</v>
      </c>
      <c r="C57" s="44" t="s">
        <v>141</v>
      </c>
      <c r="G57"/>
      <c r="H57"/>
    </row>
    <row r="59" spans="1:11" ht="37.299999999999997">
      <c r="A59" s="500" t="s">
        <v>426</v>
      </c>
      <c r="B59" s="108" t="s">
        <v>61</v>
      </c>
      <c r="C59" s="107" t="s">
        <v>253</v>
      </c>
      <c r="D59" s="109" t="s">
        <v>143</v>
      </c>
      <c r="E59" s="110" t="s">
        <v>140</v>
      </c>
      <c r="F59" s="431"/>
      <c r="G59"/>
      <c r="H59"/>
      <c r="I59" s="51"/>
      <c r="J59" s="51"/>
      <c r="K59" s="51"/>
    </row>
    <row r="60" spans="1:11">
      <c r="A60" s="68" t="s">
        <v>50</v>
      </c>
      <c r="B60" s="68" t="s">
        <v>145</v>
      </c>
      <c r="C60" s="76">
        <v>8.0000000000000002E-3</v>
      </c>
      <c r="D60" s="115">
        <f t="shared" ref="D60:D78" si="9">$B$56*C60</f>
        <v>3.1623529411764707E-3</v>
      </c>
      <c r="E60" s="100">
        <f t="shared" ref="E60:E78" si="10">$B$57*C60</f>
        <v>1.1542588235294118</v>
      </c>
      <c r="F60" s="432"/>
      <c r="H60" s="111"/>
    </row>
    <row r="61" spans="1:11">
      <c r="A61" s="70" t="s">
        <v>52</v>
      </c>
      <c r="B61" s="70" t="s">
        <v>150</v>
      </c>
      <c r="C61" s="103">
        <v>1.7000000000000001E-2</v>
      </c>
      <c r="D61" s="112">
        <f t="shared" si="9"/>
        <v>6.7200000000000011E-3</v>
      </c>
      <c r="E61" s="101">
        <f t="shared" si="10"/>
        <v>2.4528000000000003</v>
      </c>
      <c r="F61" s="432"/>
    </row>
    <row r="62" spans="1:11">
      <c r="A62" s="116" t="s">
        <v>251</v>
      </c>
      <c r="B62" s="70" t="s">
        <v>175</v>
      </c>
      <c r="C62" s="103">
        <v>1E-4</v>
      </c>
      <c r="D62" s="112">
        <f t="shared" si="9"/>
        <v>3.952941176470589E-5</v>
      </c>
      <c r="E62" s="101">
        <f t="shared" si="10"/>
        <v>1.4428235294117648E-2</v>
      </c>
      <c r="F62" s="432"/>
    </row>
    <row r="63" spans="1:11">
      <c r="A63" s="70" t="s">
        <v>55</v>
      </c>
      <c r="B63" s="70" t="s">
        <v>149</v>
      </c>
      <c r="C63" s="103">
        <v>2.9999999999999997E-4</v>
      </c>
      <c r="D63" s="112">
        <f t="shared" si="9"/>
        <v>1.1858823529411764E-4</v>
      </c>
      <c r="E63" s="101">
        <f t="shared" si="10"/>
        <v>4.328470588235294E-2</v>
      </c>
      <c r="F63" s="432"/>
    </row>
    <row r="64" spans="1:11">
      <c r="A64" s="70" t="s">
        <v>48</v>
      </c>
      <c r="B64" s="70" t="s">
        <v>151</v>
      </c>
      <c r="C64" s="103">
        <v>4.3E-3</v>
      </c>
      <c r="D64" s="112">
        <f t="shared" si="9"/>
        <v>1.6997647058823531E-3</v>
      </c>
      <c r="E64" s="101">
        <f t="shared" si="10"/>
        <v>0.62041411764705878</v>
      </c>
      <c r="F64" s="432"/>
    </row>
    <row r="65" spans="1:6">
      <c r="A65" s="70" t="s">
        <v>49</v>
      </c>
      <c r="B65" s="70" t="s">
        <v>152</v>
      </c>
      <c r="C65" s="103">
        <v>2.7000000000000001E-3</v>
      </c>
      <c r="D65" s="112">
        <f t="shared" si="9"/>
        <v>1.0672941176470589E-3</v>
      </c>
      <c r="E65" s="101">
        <f t="shared" si="10"/>
        <v>0.38956235294117647</v>
      </c>
      <c r="F65" s="432"/>
    </row>
    <row r="66" spans="1:6">
      <c r="A66" s="70" t="s">
        <v>153</v>
      </c>
      <c r="B66" s="70" t="s">
        <v>154</v>
      </c>
      <c r="C66" s="103">
        <v>2.0000000000000001E-4</v>
      </c>
      <c r="D66" s="112">
        <f t="shared" si="9"/>
        <v>7.9058823529411779E-5</v>
      </c>
      <c r="E66" s="101">
        <f t="shared" si="10"/>
        <v>2.8856470588235296E-2</v>
      </c>
      <c r="F66" s="92"/>
    </row>
    <row r="67" spans="1:6">
      <c r="A67" s="70" t="s">
        <v>155</v>
      </c>
      <c r="B67" s="70" t="s">
        <v>156</v>
      </c>
      <c r="C67" s="103">
        <v>1.2E-5</v>
      </c>
      <c r="D67" s="112">
        <f t="shared" si="9"/>
        <v>4.7435294117647061E-6</v>
      </c>
      <c r="E67" s="101">
        <f t="shared" si="10"/>
        <v>1.7313882352941177E-3</v>
      </c>
      <c r="F67" s="432"/>
    </row>
    <row r="68" spans="1:6">
      <c r="A68" s="70" t="s">
        <v>157</v>
      </c>
      <c r="B68" s="70" t="s">
        <v>158</v>
      </c>
      <c r="C68" s="103">
        <v>1.1000000000000001E-3</v>
      </c>
      <c r="D68" s="112">
        <f t="shared" si="9"/>
        <v>4.3482352941176479E-4</v>
      </c>
      <c r="E68" s="101">
        <f t="shared" si="10"/>
        <v>0.15871058823529413</v>
      </c>
      <c r="F68" s="432"/>
    </row>
    <row r="69" spans="1:6">
      <c r="A69" s="70" t="s">
        <v>159</v>
      </c>
      <c r="B69" s="70" t="s">
        <v>172</v>
      </c>
      <c r="C69" s="103">
        <v>1.4E-3</v>
      </c>
      <c r="D69" s="112">
        <f t="shared" si="9"/>
        <v>5.5341176470588235E-4</v>
      </c>
      <c r="E69" s="101">
        <f t="shared" si="10"/>
        <v>0.20199529411764705</v>
      </c>
      <c r="F69" s="432"/>
    </row>
    <row r="70" spans="1:6">
      <c r="A70" s="70" t="s">
        <v>160</v>
      </c>
      <c r="B70" s="70" t="s">
        <v>161</v>
      </c>
      <c r="C70" s="103">
        <v>8.3999999999999995E-5</v>
      </c>
      <c r="D70" s="112">
        <f t="shared" si="9"/>
        <v>3.3204705882352945E-5</v>
      </c>
      <c r="E70" s="101">
        <f t="shared" si="10"/>
        <v>1.2119717647058824E-2</v>
      </c>
      <c r="F70" s="92"/>
    </row>
    <row r="71" spans="1:6">
      <c r="A71" s="70" t="s">
        <v>142</v>
      </c>
      <c r="B71" s="70" t="s">
        <v>148</v>
      </c>
      <c r="C71" s="103">
        <v>9.4999999999999998E-3</v>
      </c>
      <c r="D71" s="112">
        <f t="shared" si="9"/>
        <v>3.7552941176470589E-3</v>
      </c>
      <c r="E71" s="101">
        <f t="shared" si="10"/>
        <v>1.3706823529411765</v>
      </c>
      <c r="F71" s="432"/>
    </row>
    <row r="72" spans="1:6">
      <c r="A72" s="70" t="s">
        <v>53</v>
      </c>
      <c r="B72" s="70" t="s">
        <v>144</v>
      </c>
      <c r="C72" s="103">
        <v>6.3E-3</v>
      </c>
      <c r="D72" s="112">
        <f t="shared" si="9"/>
        <v>2.4903529411764709E-3</v>
      </c>
      <c r="E72" s="101">
        <f t="shared" si="10"/>
        <v>0.90897882352941173</v>
      </c>
      <c r="F72" s="432"/>
    </row>
    <row r="73" spans="1:6">
      <c r="A73" s="70" t="s">
        <v>162</v>
      </c>
      <c r="B73" s="70" t="s">
        <v>163</v>
      </c>
      <c r="C73" s="103">
        <v>3.8000000000000002E-4</v>
      </c>
      <c r="D73" s="112">
        <f t="shared" si="9"/>
        <v>1.5021176470588236E-4</v>
      </c>
      <c r="E73" s="101">
        <f t="shared" si="10"/>
        <v>5.4827294117647064E-2</v>
      </c>
      <c r="F73" s="92"/>
    </row>
    <row r="74" spans="1:6">
      <c r="A74" s="70" t="s">
        <v>164</v>
      </c>
      <c r="B74" s="70" t="s">
        <v>165</v>
      </c>
      <c r="C74" s="103">
        <v>2.5999999999999998E-4</v>
      </c>
      <c r="D74" s="112">
        <f t="shared" si="9"/>
        <v>1.027764705882353E-4</v>
      </c>
      <c r="E74" s="101">
        <f t="shared" si="10"/>
        <v>3.7513411764705878E-2</v>
      </c>
      <c r="F74" s="432"/>
    </row>
    <row r="75" spans="1:6">
      <c r="A75" s="70" t="s">
        <v>166</v>
      </c>
      <c r="B75" s="70" t="s">
        <v>167</v>
      </c>
      <c r="C75" s="103">
        <v>2.0999999999999999E-3</v>
      </c>
      <c r="D75" s="112">
        <f t="shared" si="9"/>
        <v>8.3011764705882352E-4</v>
      </c>
      <c r="E75" s="101">
        <f t="shared" si="10"/>
        <v>0.30299294117647058</v>
      </c>
      <c r="F75" s="432"/>
    </row>
    <row r="76" spans="1:6">
      <c r="A76" s="70" t="s">
        <v>168</v>
      </c>
      <c r="B76" s="70" t="s">
        <v>169</v>
      </c>
      <c r="C76" s="103">
        <v>2.4000000000000001E-5</v>
      </c>
      <c r="D76" s="112">
        <f t="shared" si="9"/>
        <v>9.4870588235294121E-6</v>
      </c>
      <c r="E76" s="101">
        <f t="shared" si="10"/>
        <v>3.4627764705882354E-3</v>
      </c>
      <c r="F76" s="114"/>
    </row>
    <row r="77" spans="1:6">
      <c r="A77" s="70" t="s">
        <v>54</v>
      </c>
      <c r="B77" s="70" t="s">
        <v>146</v>
      </c>
      <c r="C77" s="103">
        <v>3.6600000000000001E-2</v>
      </c>
      <c r="D77" s="112">
        <f t="shared" si="9"/>
        <v>1.4467764705882354E-2</v>
      </c>
      <c r="E77" s="101">
        <f t="shared" si="10"/>
        <v>5.280734117647059</v>
      </c>
      <c r="F77" s="432"/>
    </row>
    <row r="78" spans="1:6">
      <c r="A78" s="63" t="s">
        <v>170</v>
      </c>
      <c r="B78" s="63" t="s">
        <v>147</v>
      </c>
      <c r="C78" s="105">
        <v>2.7199999999999998E-2</v>
      </c>
      <c r="D78" s="113">
        <f t="shared" si="9"/>
        <v>1.0751999999999999E-2</v>
      </c>
      <c r="E78" s="102">
        <f t="shared" si="10"/>
        <v>3.92448</v>
      </c>
      <c r="F78" s="432"/>
    </row>
    <row r="79" spans="1:6">
      <c r="D79" s="433" t="s">
        <v>435</v>
      </c>
      <c r="E79" s="508">
        <f>SUM(E60:E78)</f>
        <v>16.961833411764704</v>
      </c>
    </row>
    <row r="86" spans="1:11" ht="14.6">
      <c r="A86" s="111"/>
      <c r="B86" s="99"/>
      <c r="G86"/>
      <c r="H86"/>
    </row>
    <row r="87" spans="1:11" ht="14.6">
      <c r="A87" s="171" t="s">
        <v>451</v>
      </c>
      <c r="B87" s="99"/>
      <c r="G87"/>
      <c r="H87"/>
    </row>
    <row r="88" spans="1:11" ht="14.6">
      <c r="A88" s="111"/>
      <c r="B88" s="99"/>
      <c r="G88"/>
      <c r="H88"/>
      <c r="J88" s="179"/>
      <c r="K88" s="179"/>
    </row>
    <row r="89" spans="1:11" ht="14.6">
      <c r="A89" s="111" t="s">
        <v>176</v>
      </c>
      <c r="B89" s="99">
        <v>15</v>
      </c>
      <c r="C89" s="111" t="s">
        <v>178</v>
      </c>
      <c r="D89" s="44">
        <f>B89/B90</f>
        <v>1.4705882352941176E-2</v>
      </c>
      <c r="E89" s="111" t="s">
        <v>274</v>
      </c>
      <c r="F89" s="111"/>
      <c r="G89"/>
      <c r="H89"/>
      <c r="I89" s="111"/>
      <c r="J89" s="51"/>
      <c r="K89" s="207"/>
    </row>
    <row r="90" spans="1:11" ht="14.6">
      <c r="A90" s="111" t="s">
        <v>177</v>
      </c>
      <c r="B90" s="99">
        <v>1020</v>
      </c>
      <c r="C90" s="111" t="s">
        <v>179</v>
      </c>
      <c r="G90"/>
      <c r="H90"/>
      <c r="I90" s="111"/>
      <c r="J90" s="51"/>
      <c r="K90" s="207"/>
    </row>
    <row r="91" spans="1:11" ht="14.6">
      <c r="A91" s="111" t="s">
        <v>180</v>
      </c>
      <c r="B91" s="99">
        <v>24</v>
      </c>
      <c r="C91" s="111" t="s">
        <v>182</v>
      </c>
      <c r="G91"/>
      <c r="H91"/>
      <c r="I91" s="111"/>
      <c r="J91" s="51"/>
      <c r="K91" s="207"/>
    </row>
    <row r="92" spans="1:11" ht="14.6">
      <c r="A92" s="111" t="s">
        <v>181</v>
      </c>
      <c r="B92" s="117">
        <v>1</v>
      </c>
      <c r="G92"/>
      <c r="H92"/>
      <c r="I92" s="111"/>
      <c r="J92" s="51"/>
      <c r="K92" s="207"/>
    </row>
    <row r="93" spans="1:11" ht="14.6">
      <c r="A93" s="111" t="s">
        <v>183</v>
      </c>
      <c r="B93" s="99">
        <v>8760</v>
      </c>
      <c r="C93" s="111" t="s">
        <v>94</v>
      </c>
      <c r="G93"/>
      <c r="H93"/>
    </row>
    <row r="94" spans="1:11" ht="14.6">
      <c r="A94" s="111" t="s">
        <v>184</v>
      </c>
      <c r="B94" s="176">
        <v>1</v>
      </c>
      <c r="G94"/>
      <c r="H94"/>
    </row>
    <row r="95" spans="1:11" ht="14.6">
      <c r="A95" s="111" t="s">
        <v>185</v>
      </c>
      <c r="B95" s="174">
        <f>B89*B92*B91/B90</f>
        <v>0.35294117647058826</v>
      </c>
      <c r="C95" s="111" t="s">
        <v>186</v>
      </c>
      <c r="G95"/>
      <c r="H95"/>
    </row>
    <row r="96" spans="1:11" ht="14.6">
      <c r="A96" s="111" t="s">
        <v>185</v>
      </c>
      <c r="B96" s="175">
        <f>B89*B94*B93/B90</f>
        <v>128.8235294117647</v>
      </c>
      <c r="C96" s="44" t="s">
        <v>141</v>
      </c>
      <c r="G96"/>
      <c r="H96"/>
    </row>
    <row r="97" spans="1:11" ht="14.6">
      <c r="A97" s="111"/>
      <c r="B97" s="176"/>
      <c r="G97"/>
      <c r="H97"/>
    </row>
    <row r="98" spans="1:11" ht="37.299999999999997">
      <c r="A98" s="500" t="s">
        <v>426</v>
      </c>
      <c r="B98" s="108" t="s">
        <v>61</v>
      </c>
      <c r="C98" s="107" t="s">
        <v>253</v>
      </c>
      <c r="D98" s="109" t="s">
        <v>143</v>
      </c>
      <c r="E98" s="110" t="s">
        <v>140</v>
      </c>
      <c r="F98" s="431"/>
      <c r="G98"/>
      <c r="H98"/>
      <c r="I98" s="51"/>
      <c r="J98" s="51"/>
      <c r="K98" s="51"/>
    </row>
    <row r="99" spans="1:11">
      <c r="A99" s="68" t="s">
        <v>50</v>
      </c>
      <c r="B99" s="68" t="s">
        <v>145</v>
      </c>
      <c r="C99" s="76">
        <v>8.0000000000000002E-3</v>
      </c>
      <c r="D99" s="115">
        <f t="shared" ref="D99:D117" si="11">$B$95*C99</f>
        <v>2.8235294117647061E-3</v>
      </c>
      <c r="E99" s="100">
        <f t="shared" ref="E99:E117" si="12">$B$96*C99</f>
        <v>1.0305882352941176</v>
      </c>
      <c r="F99" s="432"/>
      <c r="H99" s="111"/>
    </row>
    <row r="100" spans="1:11">
      <c r="A100" s="70" t="s">
        <v>52</v>
      </c>
      <c r="B100" s="70" t="s">
        <v>150</v>
      </c>
      <c r="C100" s="103">
        <v>1.7000000000000001E-2</v>
      </c>
      <c r="D100" s="112">
        <f t="shared" si="11"/>
        <v>6.000000000000001E-3</v>
      </c>
      <c r="E100" s="101">
        <f t="shared" si="12"/>
        <v>2.19</v>
      </c>
      <c r="F100" s="432"/>
    </row>
    <row r="101" spans="1:11">
      <c r="A101" s="116" t="s">
        <v>251</v>
      </c>
      <c r="B101" s="70" t="s">
        <v>175</v>
      </c>
      <c r="C101" s="103">
        <v>1E-4</v>
      </c>
      <c r="D101" s="112">
        <f t="shared" si="11"/>
        <v>3.5294117647058827E-5</v>
      </c>
      <c r="E101" s="101">
        <f t="shared" si="12"/>
        <v>1.288235294117647E-2</v>
      </c>
      <c r="F101" s="432"/>
    </row>
    <row r="102" spans="1:11">
      <c r="A102" s="70" t="s">
        <v>55</v>
      </c>
      <c r="B102" s="70" t="s">
        <v>149</v>
      </c>
      <c r="C102" s="103">
        <v>2.9999999999999997E-4</v>
      </c>
      <c r="D102" s="112">
        <f t="shared" si="11"/>
        <v>1.0588235294117647E-4</v>
      </c>
      <c r="E102" s="101">
        <f t="shared" si="12"/>
        <v>3.8647058823529402E-2</v>
      </c>
      <c r="F102" s="432"/>
    </row>
    <row r="103" spans="1:11">
      <c r="A103" s="70" t="s">
        <v>48</v>
      </c>
      <c r="B103" s="70" t="s">
        <v>151</v>
      </c>
      <c r="C103" s="103">
        <v>4.3E-3</v>
      </c>
      <c r="D103" s="112">
        <f t="shared" si="11"/>
        <v>1.5176470588235296E-3</v>
      </c>
      <c r="E103" s="101">
        <f t="shared" si="12"/>
        <v>0.55394117647058816</v>
      </c>
      <c r="F103" s="432"/>
    </row>
    <row r="104" spans="1:11">
      <c r="A104" s="70" t="s">
        <v>49</v>
      </c>
      <c r="B104" s="70" t="s">
        <v>152</v>
      </c>
      <c r="C104" s="103">
        <v>2.7000000000000001E-3</v>
      </c>
      <c r="D104" s="112">
        <f t="shared" si="11"/>
        <v>9.5294117647058837E-4</v>
      </c>
      <c r="E104" s="101">
        <f t="shared" si="12"/>
        <v>0.3478235294117647</v>
      </c>
      <c r="F104" s="432"/>
    </row>
    <row r="105" spans="1:11">
      <c r="A105" s="70" t="s">
        <v>153</v>
      </c>
      <c r="B105" s="70" t="s">
        <v>154</v>
      </c>
      <c r="C105" s="103">
        <v>2.0000000000000001E-4</v>
      </c>
      <c r="D105" s="112">
        <f t="shared" si="11"/>
        <v>7.0588235294117654E-5</v>
      </c>
      <c r="E105" s="101">
        <f t="shared" si="12"/>
        <v>2.576470588235294E-2</v>
      </c>
      <c r="F105" s="92"/>
    </row>
    <row r="106" spans="1:11">
      <c r="A106" s="70" t="s">
        <v>155</v>
      </c>
      <c r="B106" s="70" t="s">
        <v>156</v>
      </c>
      <c r="C106" s="103">
        <v>1.2E-5</v>
      </c>
      <c r="D106" s="112">
        <f t="shared" si="11"/>
        <v>4.2352941176470591E-6</v>
      </c>
      <c r="E106" s="101">
        <f t="shared" si="12"/>
        <v>1.5458823529411764E-3</v>
      </c>
      <c r="F106" s="432"/>
    </row>
    <row r="107" spans="1:11">
      <c r="A107" s="70" t="s">
        <v>157</v>
      </c>
      <c r="B107" s="70" t="s">
        <v>158</v>
      </c>
      <c r="C107" s="103">
        <v>1.1000000000000001E-3</v>
      </c>
      <c r="D107" s="112">
        <f t="shared" si="11"/>
        <v>3.8823529411764713E-4</v>
      </c>
      <c r="E107" s="101">
        <f t="shared" si="12"/>
        <v>0.14170588235294118</v>
      </c>
      <c r="F107" s="432"/>
    </row>
    <row r="108" spans="1:11">
      <c r="A108" s="70" t="s">
        <v>159</v>
      </c>
      <c r="B108" s="70" t="s">
        <v>172</v>
      </c>
      <c r="C108" s="103">
        <v>1.4E-3</v>
      </c>
      <c r="D108" s="112">
        <f t="shared" si="11"/>
        <v>4.9411764705882359E-4</v>
      </c>
      <c r="E108" s="101">
        <f t="shared" si="12"/>
        <v>0.18035294117647058</v>
      </c>
      <c r="F108" s="432"/>
    </row>
    <row r="109" spans="1:11">
      <c r="A109" s="70" t="s">
        <v>160</v>
      </c>
      <c r="B109" s="70" t="s">
        <v>161</v>
      </c>
      <c r="C109" s="103">
        <v>8.3999999999999995E-5</v>
      </c>
      <c r="D109" s="112">
        <f t="shared" si="11"/>
        <v>2.9647058823529411E-5</v>
      </c>
      <c r="E109" s="101">
        <f t="shared" si="12"/>
        <v>1.0821176470588233E-2</v>
      </c>
      <c r="F109" s="92"/>
    </row>
    <row r="110" spans="1:11">
      <c r="A110" s="70" t="s">
        <v>142</v>
      </c>
      <c r="B110" s="70" t="s">
        <v>148</v>
      </c>
      <c r="C110" s="103">
        <v>9.4999999999999998E-3</v>
      </c>
      <c r="D110" s="112">
        <f t="shared" si="11"/>
        <v>3.3529411764705885E-3</v>
      </c>
      <c r="E110" s="101">
        <f t="shared" si="12"/>
        <v>1.2238235294117645</v>
      </c>
      <c r="F110" s="432"/>
    </row>
    <row r="111" spans="1:11">
      <c r="A111" s="70" t="s">
        <v>53</v>
      </c>
      <c r="B111" s="70" t="s">
        <v>144</v>
      </c>
      <c r="C111" s="103">
        <v>6.3E-3</v>
      </c>
      <c r="D111" s="112">
        <f t="shared" si="11"/>
        <v>2.2235294117647062E-3</v>
      </c>
      <c r="E111" s="101">
        <f t="shared" si="12"/>
        <v>0.81158823529411761</v>
      </c>
      <c r="F111" s="432"/>
    </row>
    <row r="112" spans="1:11">
      <c r="A112" s="70" t="s">
        <v>162</v>
      </c>
      <c r="B112" s="70" t="s">
        <v>163</v>
      </c>
      <c r="C112" s="103">
        <v>3.8000000000000002E-4</v>
      </c>
      <c r="D112" s="112">
        <f t="shared" si="11"/>
        <v>1.3411764705882354E-4</v>
      </c>
      <c r="E112" s="101">
        <f t="shared" si="12"/>
        <v>4.8952941176470588E-2</v>
      </c>
      <c r="F112" s="92"/>
    </row>
    <row r="113" spans="1:6">
      <c r="A113" s="70" t="s">
        <v>164</v>
      </c>
      <c r="B113" s="70" t="s">
        <v>165</v>
      </c>
      <c r="C113" s="103">
        <v>2.5999999999999998E-4</v>
      </c>
      <c r="D113" s="112">
        <f t="shared" si="11"/>
        <v>9.1764705882352933E-5</v>
      </c>
      <c r="E113" s="101">
        <f t="shared" si="12"/>
        <v>3.349411764705882E-2</v>
      </c>
      <c r="F113" s="432"/>
    </row>
    <row r="114" spans="1:6">
      <c r="A114" s="70" t="s">
        <v>166</v>
      </c>
      <c r="B114" s="70" t="s">
        <v>167</v>
      </c>
      <c r="C114" s="103">
        <v>2.0999999999999999E-3</v>
      </c>
      <c r="D114" s="112">
        <f t="shared" si="11"/>
        <v>7.4117647058823534E-4</v>
      </c>
      <c r="E114" s="101">
        <f t="shared" si="12"/>
        <v>0.27052941176470585</v>
      </c>
      <c r="F114" s="432"/>
    </row>
    <row r="115" spans="1:6">
      <c r="A115" s="70" t="s">
        <v>168</v>
      </c>
      <c r="B115" s="70" t="s">
        <v>169</v>
      </c>
      <c r="C115" s="103">
        <v>2.4000000000000001E-5</v>
      </c>
      <c r="D115" s="112">
        <f t="shared" si="11"/>
        <v>8.4705882352941183E-6</v>
      </c>
      <c r="E115" s="101">
        <f t="shared" si="12"/>
        <v>3.0917647058823529E-3</v>
      </c>
      <c r="F115" s="114"/>
    </row>
    <row r="116" spans="1:6">
      <c r="A116" s="70" t="s">
        <v>54</v>
      </c>
      <c r="B116" s="70" t="s">
        <v>146</v>
      </c>
      <c r="C116" s="103">
        <v>3.6600000000000001E-2</v>
      </c>
      <c r="D116" s="112">
        <f t="shared" si="11"/>
        <v>1.291764705882353E-2</v>
      </c>
      <c r="E116" s="101">
        <f t="shared" si="12"/>
        <v>4.714941176470588</v>
      </c>
      <c r="F116" s="432"/>
    </row>
    <row r="117" spans="1:6">
      <c r="A117" s="63" t="s">
        <v>170</v>
      </c>
      <c r="B117" s="63" t="s">
        <v>147</v>
      </c>
      <c r="C117" s="105">
        <v>2.7199999999999998E-2</v>
      </c>
      <c r="D117" s="113">
        <f t="shared" si="11"/>
        <v>9.6000000000000009E-3</v>
      </c>
      <c r="E117" s="102">
        <f t="shared" si="12"/>
        <v>3.5039999999999996</v>
      </c>
      <c r="F117" s="432"/>
    </row>
    <row r="118" spans="1:6">
      <c r="D118" s="433" t="s">
        <v>47</v>
      </c>
      <c r="E118" s="508">
        <f>SUM(E99:E117)</f>
        <v>15.144494117647058</v>
      </c>
    </row>
  </sheetData>
  <sheetProtection algorithmName="SHA-512" hashValue="1L0ZlsEtRABNqSbk3VFW2Z/lLli4VVGxWu24GRvqGEqEHTd+Ee8rMsV4Fii78hd2BVqLt+0soX6vPS4xW7r1CA==" saltValue="oTKlDbdf7PV4EAm5m608/Q==" spinCount="100000" sheet="1" objects="1" scenarios="1"/>
  <mergeCells count="2">
    <mergeCell ref="I17:M17"/>
    <mergeCell ref="J9:L9"/>
  </mergeCells>
  <phoneticPr fontId="48" type="noConversion"/>
  <pageMargins left="0.75" right="0.75" top="1" bottom="1" header="0.5" footer="0.5"/>
  <pageSetup scale="95" orientation="portrait" horizontalDpi="4294967292" verticalDpi="4294967292"/>
  <headerFooter alignWithMargins="0"/>
  <rowBreaks count="1" manualBreakCount="1">
    <brk id="4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4A3A-D6C3-3445-8970-7675760F32E7}">
  <sheetPr codeName="Sheet1">
    <tabColor theme="8"/>
  </sheetPr>
  <dimension ref="A1:M53"/>
  <sheetViews>
    <sheetView workbookViewId="0"/>
  </sheetViews>
  <sheetFormatPr defaultColWidth="11.4609375" defaultRowHeight="14.6"/>
  <cols>
    <col min="2" max="3" width="21.84375" customWidth="1"/>
    <col min="4" max="4" width="20.3046875" customWidth="1"/>
    <col min="5" max="7" width="11.4609375" customWidth="1"/>
    <col min="8" max="8" width="12.4609375" customWidth="1"/>
    <col min="9" max="10" width="11.4609375" customWidth="1"/>
  </cols>
  <sheetData>
    <row r="1" spans="1:5" ht="15.9">
      <c r="A1" s="233" t="s">
        <v>423</v>
      </c>
    </row>
    <row r="2" spans="1:5" ht="15.9">
      <c r="A2" s="233" t="s">
        <v>428</v>
      </c>
    </row>
    <row r="5" spans="1:5" ht="43.75">
      <c r="B5" s="219" t="s">
        <v>320</v>
      </c>
      <c r="C5" s="219" t="s">
        <v>395</v>
      </c>
      <c r="D5" s="440" t="s">
        <v>396</v>
      </c>
      <c r="E5" s="441" t="s">
        <v>394</v>
      </c>
    </row>
    <row r="6" spans="1:5" ht="20.05" customHeight="1">
      <c r="B6" s="273" t="s">
        <v>6</v>
      </c>
      <c r="C6" s="444" t="s">
        <v>294</v>
      </c>
      <c r="D6" s="214" t="s">
        <v>6</v>
      </c>
      <c r="E6" s="445">
        <v>6.3</v>
      </c>
    </row>
    <row r="7" spans="1:5" ht="29.15">
      <c r="B7" s="446" t="s">
        <v>65</v>
      </c>
      <c r="C7" s="447" t="s">
        <v>312</v>
      </c>
      <c r="D7" s="214" t="s">
        <v>310</v>
      </c>
      <c r="E7" s="445">
        <v>10.199999999999999</v>
      </c>
    </row>
    <row r="8" spans="1:5" ht="32.049999999999997" customHeight="1">
      <c r="B8" s="565" t="s">
        <v>282</v>
      </c>
      <c r="C8" s="442" t="s">
        <v>67</v>
      </c>
      <c r="D8" s="568" t="s">
        <v>477</v>
      </c>
      <c r="E8" s="562" t="s">
        <v>416</v>
      </c>
    </row>
    <row r="9" spans="1:5">
      <c r="B9" s="566"/>
      <c r="C9" s="381" t="s">
        <v>295</v>
      </c>
      <c r="D9" s="569"/>
      <c r="E9" s="563"/>
    </row>
    <row r="10" spans="1:5">
      <c r="B10" s="566"/>
      <c r="C10" s="381" t="s">
        <v>296</v>
      </c>
      <c r="D10" s="569"/>
      <c r="E10" s="563"/>
    </row>
    <row r="11" spans="1:5">
      <c r="B11" s="566"/>
      <c r="C11" s="381" t="s">
        <v>297</v>
      </c>
      <c r="D11" s="569"/>
      <c r="E11" s="563"/>
    </row>
    <row r="12" spans="1:5">
      <c r="B12" s="567"/>
      <c r="C12" s="443" t="s">
        <v>298</v>
      </c>
      <c r="D12" s="570"/>
      <c r="E12" s="564"/>
    </row>
    <row r="13" spans="1:5" ht="29.15">
      <c r="B13" s="273" t="s">
        <v>207</v>
      </c>
      <c r="C13" s="447" t="s">
        <v>299</v>
      </c>
      <c r="D13" s="214" t="s">
        <v>207</v>
      </c>
      <c r="E13" s="448" t="s">
        <v>416</v>
      </c>
    </row>
    <row r="14" spans="1:5" ht="15" customHeight="1">
      <c r="B14" s="557" t="s">
        <v>434</v>
      </c>
      <c r="C14" s="442" t="s">
        <v>301</v>
      </c>
      <c r="D14" s="560" t="s">
        <v>311</v>
      </c>
      <c r="E14" s="562" t="s">
        <v>416</v>
      </c>
    </row>
    <row r="15" spans="1:5">
      <c r="B15" s="558"/>
      <c r="C15" s="381" t="s">
        <v>302</v>
      </c>
      <c r="D15" s="541"/>
      <c r="E15" s="563"/>
    </row>
    <row r="16" spans="1:5">
      <c r="B16" s="558"/>
      <c r="C16" s="381" t="s">
        <v>303</v>
      </c>
      <c r="D16" s="541"/>
      <c r="E16" s="563"/>
    </row>
    <row r="17" spans="2:13">
      <c r="B17" s="558"/>
      <c r="C17" s="381" t="s">
        <v>304</v>
      </c>
      <c r="D17" s="541"/>
      <c r="E17" s="563"/>
    </row>
    <row r="18" spans="2:13">
      <c r="B18" s="558"/>
      <c r="C18" s="381" t="s">
        <v>305</v>
      </c>
      <c r="D18" s="541"/>
      <c r="E18" s="563"/>
    </row>
    <row r="19" spans="2:13">
      <c r="B19" s="558"/>
      <c r="C19" s="381" t="s">
        <v>306</v>
      </c>
      <c r="D19" s="541"/>
      <c r="E19" s="563"/>
    </row>
    <row r="20" spans="2:13">
      <c r="B20" s="558"/>
      <c r="C20" s="381" t="s">
        <v>307</v>
      </c>
      <c r="D20" s="541"/>
      <c r="E20" s="563"/>
    </row>
    <row r="21" spans="2:13">
      <c r="B21" s="558"/>
      <c r="C21" s="381" t="s">
        <v>308</v>
      </c>
      <c r="D21" s="541"/>
      <c r="E21" s="563"/>
    </row>
    <row r="22" spans="2:13">
      <c r="B22" s="559"/>
      <c r="C22" s="443" t="s">
        <v>309</v>
      </c>
      <c r="D22" s="561"/>
      <c r="E22" s="564"/>
    </row>
    <row r="23" spans="2:13" ht="42" customHeight="1">
      <c r="B23" s="272" t="s">
        <v>283</v>
      </c>
      <c r="C23" s="443" t="s">
        <v>283</v>
      </c>
      <c r="D23" s="520" t="s">
        <v>471</v>
      </c>
      <c r="E23" s="201">
        <v>5</v>
      </c>
      <c r="F23" s="381" t="s">
        <v>453</v>
      </c>
    </row>
    <row r="24" spans="2:13">
      <c r="E24" s="3"/>
    </row>
    <row r="29" spans="2:13" ht="15.9">
      <c r="B29" s="233" t="s">
        <v>454</v>
      </c>
      <c r="C29" s="233"/>
    </row>
    <row r="30" spans="2:13" ht="15.9">
      <c r="B30" s="165"/>
      <c r="D30" s="225"/>
    </row>
    <row r="31" spans="2:13" ht="22" customHeight="1">
      <c r="B31" s="241"/>
      <c r="C31" s="342" t="s">
        <v>234</v>
      </c>
      <c r="D31" s="242"/>
      <c r="E31" s="542" t="s">
        <v>415</v>
      </c>
      <c r="F31" s="543"/>
      <c r="G31" s="544"/>
      <c r="H31" s="545" t="s">
        <v>414</v>
      </c>
      <c r="I31" s="546"/>
      <c r="J31" s="547"/>
      <c r="K31" s="537" t="s">
        <v>356</v>
      </c>
      <c r="L31" s="538"/>
      <c r="M31" s="539"/>
    </row>
    <row r="32" spans="2:13">
      <c r="B32" s="243" t="s">
        <v>320</v>
      </c>
      <c r="C32" s="246" t="s">
        <v>478</v>
      </c>
      <c r="D32" s="244" t="s">
        <v>64</v>
      </c>
      <c r="E32" s="245" t="s">
        <v>313</v>
      </c>
      <c r="F32" s="246" t="s">
        <v>314</v>
      </c>
      <c r="G32" s="247" t="s">
        <v>315</v>
      </c>
      <c r="H32" s="245" t="s">
        <v>313</v>
      </c>
      <c r="I32" s="246" t="s">
        <v>314</v>
      </c>
      <c r="J32" s="247" t="s">
        <v>315</v>
      </c>
      <c r="K32" s="245" t="s">
        <v>313</v>
      </c>
      <c r="L32" s="246" t="s">
        <v>314</v>
      </c>
      <c r="M32" s="247" t="s">
        <v>315</v>
      </c>
    </row>
    <row r="33" spans="2:13" ht="17.05" customHeight="1">
      <c r="B33" s="248" t="s">
        <v>6</v>
      </c>
      <c r="C33" s="238">
        <f ca="1">TRACK_Emissions!F12</f>
        <v>429696</v>
      </c>
      <c r="D33" s="273" t="s">
        <v>321</v>
      </c>
      <c r="E33" s="551" t="s">
        <v>393</v>
      </c>
      <c r="F33" s="553"/>
      <c r="G33" s="237">
        <v>0.01</v>
      </c>
      <c r="H33" s="551" t="s">
        <v>322</v>
      </c>
      <c r="I33" s="552"/>
      <c r="J33" s="553"/>
      <c r="K33" s="344">
        <v>0</v>
      </c>
      <c r="L33" s="344">
        <v>0</v>
      </c>
      <c r="M33" s="344">
        <v>0</v>
      </c>
    </row>
    <row r="34" spans="2:13" ht="29.05" customHeight="1">
      <c r="B34" s="214" t="s">
        <v>65</v>
      </c>
      <c r="C34" s="238">
        <f ca="1">TRACK_Emissions!F11</f>
        <v>8567832</v>
      </c>
      <c r="D34" s="382" t="s">
        <v>312</v>
      </c>
      <c r="E34" s="264"/>
      <c r="F34" s="265">
        <v>1</v>
      </c>
      <c r="G34" s="266"/>
      <c r="H34" s="267"/>
      <c r="I34" s="265"/>
      <c r="J34" s="266">
        <v>1</v>
      </c>
      <c r="K34" s="238">
        <f ca="1">$C$34*H34</f>
        <v>0</v>
      </c>
      <c r="L34" s="238">
        <f t="shared" ref="L34:M34" ca="1" si="0">$C$34*I34</f>
        <v>0</v>
      </c>
      <c r="M34" s="238">
        <f t="shared" ca="1" si="0"/>
        <v>8567832</v>
      </c>
    </row>
    <row r="35" spans="2:13">
      <c r="B35" s="541" t="s">
        <v>282</v>
      </c>
      <c r="C35" s="548">
        <f ca="1">TRACK_Emissions!F15</f>
        <v>10864080</v>
      </c>
      <c r="D35" s="270" t="s">
        <v>67</v>
      </c>
      <c r="E35" s="554">
        <v>0.39</v>
      </c>
      <c r="F35" s="554">
        <v>0.01</v>
      </c>
      <c r="G35" s="554">
        <v>0.6</v>
      </c>
      <c r="H35" s="554">
        <v>0.25</v>
      </c>
      <c r="I35" s="554">
        <v>0.1</v>
      </c>
      <c r="J35" s="554">
        <v>0.65</v>
      </c>
      <c r="K35" s="540">
        <f ca="1">$C$35*H35</f>
        <v>2716020</v>
      </c>
      <c r="L35" s="540">
        <f t="shared" ref="L35:M35" ca="1" si="1">$C$35*I35</f>
        <v>1086408</v>
      </c>
      <c r="M35" s="540">
        <f t="shared" ca="1" si="1"/>
        <v>7061652</v>
      </c>
    </row>
    <row r="36" spans="2:13">
      <c r="B36" s="541"/>
      <c r="C36" s="549"/>
      <c r="D36" s="271" t="s">
        <v>295</v>
      </c>
      <c r="E36" s="555"/>
      <c r="F36" s="555"/>
      <c r="G36" s="555"/>
      <c r="H36" s="555"/>
      <c r="I36" s="555"/>
      <c r="J36" s="555"/>
      <c r="K36" s="540"/>
      <c r="L36" s="540"/>
      <c r="M36" s="540"/>
    </row>
    <row r="37" spans="2:13">
      <c r="B37" s="541"/>
      <c r="C37" s="549"/>
      <c r="D37" s="271" t="s">
        <v>296</v>
      </c>
      <c r="E37" s="555"/>
      <c r="F37" s="555"/>
      <c r="G37" s="555"/>
      <c r="H37" s="555"/>
      <c r="I37" s="555"/>
      <c r="J37" s="555"/>
      <c r="K37" s="540"/>
      <c r="L37" s="540"/>
      <c r="M37" s="540"/>
    </row>
    <row r="38" spans="2:13">
      <c r="B38" s="541"/>
      <c r="C38" s="549"/>
      <c r="D38" s="271" t="s">
        <v>297</v>
      </c>
      <c r="E38" s="555"/>
      <c r="F38" s="555"/>
      <c r="G38" s="555"/>
      <c r="H38" s="555"/>
      <c r="I38" s="555"/>
      <c r="J38" s="555"/>
      <c r="K38" s="540"/>
      <c r="L38" s="540"/>
      <c r="M38" s="540"/>
    </row>
    <row r="39" spans="2:13">
      <c r="B39" s="541"/>
      <c r="C39" s="550"/>
      <c r="D39" s="272" t="s">
        <v>298</v>
      </c>
      <c r="E39" s="556"/>
      <c r="F39" s="556"/>
      <c r="G39" s="556"/>
      <c r="H39" s="556"/>
      <c r="I39" s="556"/>
      <c r="J39" s="556"/>
      <c r="K39" s="540"/>
      <c r="L39" s="540"/>
      <c r="M39" s="540"/>
    </row>
    <row r="40" spans="2:13" ht="32.049999999999997" customHeight="1">
      <c r="B40" s="214" t="s">
        <v>207</v>
      </c>
      <c r="C40" s="238">
        <f ca="1">TRACK_Emissions!F18</f>
        <v>0</v>
      </c>
      <c r="D40" s="382" t="s">
        <v>299</v>
      </c>
      <c r="E40" s="268"/>
      <c r="F40" s="269">
        <v>1</v>
      </c>
      <c r="G40" s="266"/>
      <c r="H40" s="268"/>
      <c r="I40" s="269"/>
      <c r="J40" s="266">
        <v>1</v>
      </c>
      <c r="K40" s="238">
        <f ca="1">$C$40*H40</f>
        <v>0</v>
      </c>
      <c r="L40" s="238">
        <f t="shared" ref="L40:M40" ca="1" si="2">$C$40*I40</f>
        <v>0</v>
      </c>
      <c r="M40" s="238">
        <f t="shared" ca="1" si="2"/>
        <v>0</v>
      </c>
    </row>
    <row r="41" spans="2:13" ht="17.05" customHeight="1">
      <c r="B41" s="248" t="s">
        <v>283</v>
      </c>
      <c r="C41" s="238">
        <f ca="1">TRACK_Emissions!F13</f>
        <v>0</v>
      </c>
      <c r="D41" s="273" t="s">
        <v>283</v>
      </c>
      <c r="E41" s="222"/>
      <c r="F41" s="234">
        <v>1</v>
      </c>
      <c r="G41" s="223"/>
      <c r="H41" s="221"/>
      <c r="I41" s="234"/>
      <c r="J41" s="223">
        <v>1</v>
      </c>
      <c r="K41" s="238">
        <f ca="1">$C$41*H41</f>
        <v>0</v>
      </c>
      <c r="L41" s="238">
        <f t="shared" ref="L41:M41" ca="1" si="3">$C$41*I41</f>
        <v>0</v>
      </c>
      <c r="M41" s="238">
        <f t="shared" ca="1" si="3"/>
        <v>0</v>
      </c>
    </row>
    <row r="42" spans="2:13" ht="17.05" customHeight="1">
      <c r="B42" s="214" t="s">
        <v>300</v>
      </c>
      <c r="C42" s="238">
        <v>0</v>
      </c>
      <c r="D42" s="273" t="s">
        <v>300</v>
      </c>
      <c r="E42" s="268">
        <v>0.39</v>
      </c>
      <c r="F42" s="269">
        <v>0.01</v>
      </c>
      <c r="G42" s="266">
        <v>0.6</v>
      </c>
      <c r="H42" s="268">
        <v>0.25</v>
      </c>
      <c r="I42" s="269">
        <v>0.1</v>
      </c>
      <c r="J42" s="266">
        <v>0.65</v>
      </c>
      <c r="K42" s="238">
        <f>$C$42*H42</f>
        <v>0</v>
      </c>
      <c r="L42" s="238">
        <f t="shared" ref="L42:M42" si="4">$C$42*I42</f>
        <v>0</v>
      </c>
      <c r="M42" s="238">
        <f t="shared" si="4"/>
        <v>0</v>
      </c>
    </row>
    <row r="43" spans="2:13" ht="17.05" customHeight="1">
      <c r="B43" s="248"/>
      <c r="C43" s="238"/>
      <c r="D43" s="239"/>
      <c r="E43" s="165"/>
      <c r="F43" s="240"/>
      <c r="G43" s="6"/>
      <c r="H43" s="165"/>
      <c r="I43" s="240"/>
      <c r="J43" s="6"/>
      <c r="K43" s="238"/>
      <c r="L43" s="238"/>
      <c r="M43" s="238"/>
    </row>
    <row r="44" spans="2:13">
      <c r="B44" s="536" t="s">
        <v>479</v>
      </c>
      <c r="D44" s="224"/>
      <c r="E44" s="222"/>
      <c r="F44" s="222"/>
      <c r="G44" s="222"/>
      <c r="H44" s="222"/>
      <c r="I44" s="222"/>
      <c r="J44" s="222"/>
    </row>
    <row r="45" spans="2:13">
      <c r="D45" s="224"/>
      <c r="E45" s="222"/>
      <c r="F45" s="222"/>
      <c r="G45" s="222"/>
      <c r="H45" s="222"/>
      <c r="I45" s="222"/>
      <c r="J45" s="222"/>
    </row>
    <row r="46" spans="2:13">
      <c r="D46" s="224"/>
      <c r="E46" s="222"/>
      <c r="F46" s="222"/>
      <c r="G46" s="222"/>
      <c r="H46" s="222"/>
      <c r="I46" s="222"/>
      <c r="J46" s="222"/>
    </row>
    <row r="47" spans="2:13">
      <c r="D47" s="224"/>
      <c r="E47" s="222"/>
      <c r="F47" s="222"/>
      <c r="G47" s="222"/>
      <c r="H47" s="222"/>
      <c r="I47" s="222"/>
      <c r="J47" s="222"/>
    </row>
    <row r="48" spans="2:13">
      <c r="D48" s="224"/>
      <c r="E48" s="222"/>
      <c r="F48" s="222"/>
      <c r="G48" s="222"/>
      <c r="H48" s="336"/>
      <c r="I48" s="222"/>
      <c r="J48" s="222"/>
    </row>
    <row r="49" spans="4:10">
      <c r="D49" s="224"/>
      <c r="E49" s="222"/>
      <c r="F49" s="222"/>
      <c r="G49" s="222"/>
      <c r="H49" s="222"/>
      <c r="I49" s="222"/>
      <c r="J49" s="222"/>
    </row>
    <row r="50" spans="4:10">
      <c r="D50" s="224"/>
      <c r="E50" s="222"/>
      <c r="F50" s="222"/>
      <c r="G50" s="222"/>
      <c r="H50" s="222"/>
      <c r="I50" s="222"/>
      <c r="J50" s="222"/>
    </row>
    <row r="51" spans="4:10">
      <c r="D51" s="224"/>
      <c r="E51" s="222"/>
      <c r="F51" s="222"/>
      <c r="G51" s="222"/>
      <c r="H51" s="222"/>
      <c r="I51" s="222"/>
      <c r="J51" s="222"/>
    </row>
    <row r="53" spans="4:10">
      <c r="E53" s="220"/>
      <c r="F53" s="220"/>
      <c r="G53" s="220"/>
      <c r="H53" s="220"/>
      <c r="I53" s="220"/>
      <c r="J53" s="220"/>
    </row>
  </sheetData>
  <sheetProtection algorithmName="SHA-512" hashValue="jvoAo20pFWvGwu+h0E04ENcCEJGOeeDN5B0+rp7F2UkHDtk+5Y6HKi8wdWglMkn0g87mLdZw8AFyHAwmBWz8Eg==" saltValue="MKlQirBGGilbuYiyQxuhCw==" spinCount="100000" sheet="1" objects="1" scenarios="1"/>
  <mergeCells count="22">
    <mergeCell ref="B14:B22"/>
    <mergeCell ref="D14:D22"/>
    <mergeCell ref="E14:E22"/>
    <mergeCell ref="B8:B12"/>
    <mergeCell ref="D8:D12"/>
    <mergeCell ref="E8:E12"/>
    <mergeCell ref="K31:M31"/>
    <mergeCell ref="K35:K39"/>
    <mergeCell ref="L35:L39"/>
    <mergeCell ref="M35:M39"/>
    <mergeCell ref="B35:B39"/>
    <mergeCell ref="E31:G31"/>
    <mergeCell ref="H31:J31"/>
    <mergeCell ref="C35:C39"/>
    <mergeCell ref="H33:J33"/>
    <mergeCell ref="E33:F33"/>
    <mergeCell ref="E35:E39"/>
    <mergeCell ref="F35:F39"/>
    <mergeCell ref="G35:G39"/>
    <mergeCell ref="H35:H39"/>
    <mergeCell ref="I35:I39"/>
    <mergeCell ref="J35:J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F804-95EF-7E4D-88F6-261AF7FAB7D7}">
  <sheetPr codeName="Sheet2">
    <tabColor rgb="FFFFFF00"/>
  </sheetPr>
  <dimension ref="A1:J22"/>
  <sheetViews>
    <sheetView zoomScale="190" zoomScaleNormal="190" workbookViewId="0">
      <selection activeCell="A5" sqref="A5"/>
    </sheetView>
  </sheetViews>
  <sheetFormatPr defaultColWidth="11.4609375" defaultRowHeight="14.6"/>
  <cols>
    <col min="1" max="1" width="31" customWidth="1"/>
    <col min="6" max="6" width="15.84375" customWidth="1"/>
    <col min="7" max="7" width="13.69140625" customWidth="1"/>
    <col min="8" max="8" width="10.84375" customWidth="1"/>
    <col min="9" max="9" width="14" customWidth="1"/>
    <col min="10" max="10" width="15" customWidth="1"/>
    <col min="11" max="11" width="14.4609375" customWidth="1"/>
  </cols>
  <sheetData>
    <row r="1" spans="1:10" ht="18.45">
      <c r="A1" s="502" t="s">
        <v>429</v>
      </c>
    </row>
    <row r="3" spans="1:10" ht="15.9">
      <c r="A3" s="233" t="s">
        <v>372</v>
      </c>
    </row>
    <row r="4" spans="1:10">
      <c r="G4" t="s">
        <v>362</v>
      </c>
      <c r="I4" t="s">
        <v>382</v>
      </c>
      <c r="J4" t="s">
        <v>383</v>
      </c>
    </row>
    <row r="5" spans="1:10">
      <c r="A5" t="s">
        <v>340</v>
      </c>
      <c r="B5" s="3" t="s">
        <v>2</v>
      </c>
      <c r="C5" s="3" t="s">
        <v>116</v>
      </c>
      <c r="D5" s="3" t="s">
        <v>119</v>
      </c>
      <c r="E5" s="3" t="s">
        <v>137</v>
      </c>
      <c r="F5" s="3" t="s">
        <v>341</v>
      </c>
      <c r="G5" s="3" t="s">
        <v>351</v>
      </c>
      <c r="H5" s="3" t="s">
        <v>244</v>
      </c>
      <c r="I5" s="3" t="s">
        <v>371</v>
      </c>
      <c r="J5" s="3" t="s">
        <v>237</v>
      </c>
    </row>
    <row r="6" spans="1:10">
      <c r="A6" s="165"/>
      <c r="B6" s="212" t="s">
        <v>115</v>
      </c>
      <c r="C6" s="212" t="s">
        <v>115</v>
      </c>
      <c r="D6" s="212" t="s">
        <v>115</v>
      </c>
      <c r="E6" s="212" t="s">
        <v>115</v>
      </c>
      <c r="F6" s="212" t="s">
        <v>115</v>
      </c>
      <c r="G6" s="212" t="s">
        <v>115</v>
      </c>
      <c r="H6" s="212" t="s">
        <v>115</v>
      </c>
      <c r="I6" s="212" t="s">
        <v>115</v>
      </c>
      <c r="J6" s="212" t="s">
        <v>115</v>
      </c>
    </row>
    <row r="7" spans="1:10">
      <c r="A7" s="204" t="s">
        <v>346</v>
      </c>
      <c r="B7" s="9">
        <f>TANK_Emissions!F69</f>
        <v>27.315980000000003</v>
      </c>
      <c r="C7" s="3"/>
      <c r="D7" s="3"/>
      <c r="E7" s="3"/>
      <c r="F7" s="3"/>
      <c r="G7" s="3"/>
      <c r="H7" s="213">
        <f>TANK_Emissions!O67/2000</f>
        <v>9.9232499999999987E-2</v>
      </c>
      <c r="I7" s="9">
        <f>TANK_Emissions!F70</f>
        <v>7.2151290800000014</v>
      </c>
      <c r="J7" s="336">
        <f>TANK_Emissions!J67/2000</f>
        <v>1.7744098000000004</v>
      </c>
    </row>
    <row r="8" spans="1:10">
      <c r="A8" s="204" t="s">
        <v>347</v>
      </c>
      <c r="B8" s="9">
        <f ca="1">TRACK_Emissions!L43</f>
        <v>1.6167828795300001</v>
      </c>
      <c r="C8" s="3"/>
      <c r="D8" s="3"/>
      <c r="E8" s="3"/>
      <c r="F8" s="3"/>
      <c r="G8" s="3"/>
      <c r="H8" s="3"/>
      <c r="I8" s="336">
        <f ca="1">TRACK_Emissions!B62</f>
        <v>3.3952440470129998E-2</v>
      </c>
      <c r="J8" s="336">
        <f ca="1">TRACK_Emissions!H60/2000</f>
        <v>1.6167828795300002E-2</v>
      </c>
    </row>
    <row r="9" spans="1:10">
      <c r="A9" s="204" t="s">
        <v>345</v>
      </c>
      <c r="B9" s="336">
        <f ca="1">MAX('Marine Loading Emissions'!F30,'Marine Loading Emissions'!F52)</f>
        <v>3.8697662246657343</v>
      </c>
      <c r="C9" s="3"/>
      <c r="D9" s="3"/>
      <c r="E9" s="3"/>
      <c r="F9" s="3"/>
      <c r="G9" s="3"/>
      <c r="H9" s="213">
        <f ca="1">'Marine Loading Emissions'!V64/2000</f>
        <v>1.4344503162878669E-2</v>
      </c>
      <c r="I9" s="336">
        <f ca="1">'Marine Loading Emissions'!I69</f>
        <v>1.0279716586604746</v>
      </c>
      <c r="J9" s="336">
        <f ca="1">'Marine Loading Emissions'!L64/2000</f>
        <v>0.22584468408255137</v>
      </c>
    </row>
    <row r="10" spans="1:10">
      <c r="A10" s="204" t="s">
        <v>418</v>
      </c>
      <c r="B10" s="336">
        <f>'Fugitive Equipment Leaks'!K15</f>
        <v>2.7279340204319995</v>
      </c>
      <c r="C10" s="3"/>
      <c r="D10" s="3"/>
      <c r="E10" s="3"/>
      <c r="F10" s="3"/>
      <c r="G10" s="3"/>
      <c r="H10" s="213">
        <f>'Fugitive Equipment Leaks'!E40/2000</f>
        <v>1.3639670102159999E-2</v>
      </c>
      <c r="I10" s="336">
        <f>'Fugitive Equipment Leaks'!E41/2000</f>
        <v>0.92749756694687979</v>
      </c>
      <c r="J10" s="336">
        <f>'Fugitive Equipment Leaks'!E36/2000</f>
        <v>0.19095538143023999</v>
      </c>
    </row>
    <row r="11" spans="1:10">
      <c r="A11" s="497" t="s">
        <v>348</v>
      </c>
      <c r="B11" s="336">
        <f>'OWS Emissions'!B9/2000</f>
        <v>2.7749999999999999</v>
      </c>
      <c r="C11" s="3"/>
      <c r="D11" s="3"/>
      <c r="E11" s="3"/>
      <c r="F11" s="3"/>
      <c r="G11" s="3"/>
      <c r="H11" s="3"/>
      <c r="I11" s="336">
        <f>'OWS Emissions'!D19/2000</f>
        <v>0.94350000000000001</v>
      </c>
      <c r="J11" s="336">
        <f>'OWS Emissions'!D15/2000</f>
        <v>0.19425000000000003</v>
      </c>
    </row>
    <row r="12" spans="1:10">
      <c r="A12" t="s">
        <v>344</v>
      </c>
      <c r="B12" s="356">
        <f ca="1">'Marine VCU Assist Gas'!F24</f>
        <v>1.5618239999999999E-2</v>
      </c>
      <c r="C12" s="9">
        <f ca="1">'Marine VCU Vapor Combustion'!F21+'Marine VCU Assist Gas'!F22</f>
        <v>4.7553846074999981</v>
      </c>
      <c r="D12" s="9">
        <f ca="1">'Marine VCU Vapor Combustion'!F22+'Marine VCU Assist Gas'!F23</f>
        <v>6.3405128099999981</v>
      </c>
      <c r="E12" s="9">
        <f ca="1">'Marine VCU Vapor Combustion'!F23+'Marine VCU Assist Gas'!F25</f>
        <v>0.20714359052790024</v>
      </c>
      <c r="F12" s="9">
        <f ca="1">'Marine VCU Vapor Combustion'!F24+'Marine VCU Assist Gas'!F26</f>
        <v>7.9256410124999968E-2</v>
      </c>
      <c r="G12" s="4">
        <f ca="1">'Marine VCU Vapor Combustion'!F25+'Marine VCU Assist Gas'!F27</f>
        <v>4266.8413043342571</v>
      </c>
      <c r="H12" s="4"/>
      <c r="I12" s="213">
        <f ca="1">'Marine VCU Stack HAP Emissions'!D28/2000</f>
        <v>3.653875911488233E-3</v>
      </c>
      <c r="J12" s="213">
        <f ca="1">'Marine VCU Stack HAP Emissions'!D26/2000</f>
        <v>1.1375625923823523E-3</v>
      </c>
    </row>
    <row r="13" spans="1:10">
      <c r="A13" t="s">
        <v>342</v>
      </c>
      <c r="B13" s="336">
        <f>Boiler_and_Heater_Emission!J23</f>
        <v>0.39531217647058819</v>
      </c>
      <c r="C13" s="336">
        <f>Boiler_and_Heater_Emission!J20</f>
        <v>7.1874941176470593</v>
      </c>
      <c r="D13" s="336">
        <f>Boiler_and_Heater_Emission!J24</f>
        <v>6.0374950588235299</v>
      </c>
      <c r="E13" s="336">
        <f>Boiler_and_Heater_Emission!J22</f>
        <v>0.18687484705882351</v>
      </c>
      <c r="F13" s="336">
        <f>Boiler_and_Heater_Emission!J21</f>
        <v>0.17968735294117646</v>
      </c>
      <c r="G13" s="4">
        <f>Boiler_and_Heater_Emission!J25</f>
        <v>8577.5554800000009</v>
      </c>
      <c r="H13" s="4"/>
      <c r="I13" s="336">
        <f>Boiler_and_Heater_Emission!E38/2000</f>
        <v>8.449618084705882E-3</v>
      </c>
      <c r="J13" s="213">
        <f>Boiler_and_Heater_Emission!E36/2000</f>
        <v>2.6306228470588233E-3</v>
      </c>
    </row>
    <row r="14" spans="1:10">
      <c r="A14" t="s">
        <v>343</v>
      </c>
      <c r="B14" s="336">
        <f>Boiler_and_Heater_Emission!K23</f>
        <v>0.39677647058823534</v>
      </c>
      <c r="C14" s="336">
        <f>Boiler_and_Heater_Emission!K20</f>
        <v>7.2141176470588242</v>
      </c>
      <c r="D14" s="336">
        <f>Boiler_and_Heater_Emission!K24</f>
        <v>6.059858823529412</v>
      </c>
      <c r="E14" s="336">
        <f>Boiler_and_Heater_Emission!K22</f>
        <v>0.18756705882352945</v>
      </c>
      <c r="F14" s="336">
        <f>Boiler_and_Heater_Emission!K21</f>
        <v>0.1803529411764706</v>
      </c>
      <c r="G14" s="4">
        <f>Boiler_and_Heater_Emission!K25</f>
        <v>8609.3279999999995</v>
      </c>
      <c r="H14" s="4"/>
      <c r="I14" s="336">
        <f>Boiler_and_Heater_Emission!E79/2000</f>
        <v>8.4809167058823524E-3</v>
      </c>
      <c r="J14" s="213">
        <f>Boiler_and_Heater_Emission!E77/2000</f>
        <v>2.6403670588235296E-3</v>
      </c>
    </row>
    <row r="15" spans="1:10">
      <c r="A15" s="165" t="s">
        <v>421</v>
      </c>
      <c r="B15" s="434">
        <f>Boiler_and_Heater_Emission!L23</f>
        <v>0.35426470588235298</v>
      </c>
      <c r="C15" s="434">
        <f>Boiler_and_Heater_Emission!L20</f>
        <v>6.4411764705882355</v>
      </c>
      <c r="D15" s="434">
        <f>Boiler_and_Heater_Emission!L24</f>
        <v>5.4105882352941181</v>
      </c>
      <c r="E15" s="434">
        <f>Boiler_and_Heater_Emission!L22</f>
        <v>0.16747058823529415</v>
      </c>
      <c r="F15" s="434">
        <f>Boiler_and_Heater_Emission!L21</f>
        <v>0.16102941176470589</v>
      </c>
      <c r="G15" s="498">
        <f>Boiler_and_Heater_Emission!L25</f>
        <v>7686.9</v>
      </c>
      <c r="H15" s="498"/>
      <c r="I15" s="434">
        <f>Boiler_and_Heater_Emission!E118/2000</f>
        <v>7.5722470588235292E-3</v>
      </c>
      <c r="J15" s="499">
        <f>Boiler_and_Heater_Emission!E116/2000</f>
        <v>2.3574705882352938E-3</v>
      </c>
    </row>
    <row r="16" spans="1:10" ht="22" customHeight="1">
      <c r="A16" s="98" t="s">
        <v>349</v>
      </c>
      <c r="B16" s="336">
        <f t="shared" ref="B16:J16" ca="1" si="0">SUM(B7:B15)</f>
        <v>39.467434717568914</v>
      </c>
      <c r="C16" s="336">
        <f t="shared" ca="1" si="0"/>
        <v>25.598172842794117</v>
      </c>
      <c r="D16" s="336">
        <f t="shared" ca="1" si="0"/>
        <v>23.848454927647058</v>
      </c>
      <c r="E16" s="336">
        <f t="shared" ca="1" si="0"/>
        <v>0.74905608464554729</v>
      </c>
      <c r="F16" s="336">
        <f t="shared" ca="1" si="0"/>
        <v>0.60032611600735297</v>
      </c>
      <c r="G16" s="4">
        <f t="shared" ca="1" si="0"/>
        <v>29140.624784334257</v>
      </c>
      <c r="H16" s="9">
        <f t="shared" ca="1" si="0"/>
        <v>0.12721667326503866</v>
      </c>
      <c r="I16" s="9">
        <f t="shared" ca="1" si="0"/>
        <v>10.176207403838385</v>
      </c>
      <c r="J16" s="336">
        <f t="shared" ca="1" si="0"/>
        <v>2.4103937173945913</v>
      </c>
    </row>
    <row r="17" spans="1:10">
      <c r="B17" s="3"/>
      <c r="C17" s="3"/>
      <c r="D17" s="3"/>
      <c r="E17" s="3"/>
      <c r="F17" s="3"/>
      <c r="I17" s="3"/>
      <c r="J17" s="3" t="s">
        <v>412</v>
      </c>
    </row>
    <row r="18" spans="1:10">
      <c r="B18" s="3"/>
      <c r="C18" s="3"/>
      <c r="D18" s="3"/>
      <c r="E18" s="3"/>
      <c r="F18" s="3"/>
    </row>
    <row r="19" spans="1:10">
      <c r="B19" s="3"/>
      <c r="C19" s="3"/>
      <c r="D19" s="3"/>
      <c r="E19" s="3"/>
      <c r="F19" s="3"/>
    </row>
    <row r="20" spans="1:10">
      <c r="A20" s="204"/>
      <c r="B20" s="3"/>
      <c r="C20" s="3"/>
      <c r="D20" s="3"/>
      <c r="E20" s="3"/>
      <c r="F20" s="3"/>
    </row>
    <row r="21" spans="1:10">
      <c r="B21" s="3"/>
      <c r="C21" s="3"/>
      <c r="D21" s="3"/>
      <c r="E21" s="3"/>
      <c r="F21" s="3"/>
    </row>
    <row r="22" spans="1:10">
      <c r="B22" s="3"/>
      <c r="C22" s="3"/>
      <c r="D22" s="3"/>
      <c r="E22" s="3"/>
      <c r="F22" s="3"/>
    </row>
  </sheetData>
  <sheetProtection algorithmName="SHA-512" hashValue="z0XiRtOTcrT6MhSi9WuFsQ4UOARUs6NBhccUXtKVQ5Cpxo/lp3tlIwA9OPKeY8YZKbsZiTg+fzvgRJXIzmL58A==" saltValue="ACQ8pCxQ+VUPbV7Mx3mAyQ==" spinCount="100000" sheet="1" objects="1" scenarios="1"/>
  <phoneticPr fontId="4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>
    <tabColor rgb="FF00B050"/>
    <pageSetUpPr fitToPage="1"/>
  </sheetPr>
  <dimension ref="A1:EP116"/>
  <sheetViews>
    <sheetView topLeftCell="B4" zoomScaleNormal="100" workbookViewId="0">
      <selection activeCell="B4" sqref="B4"/>
    </sheetView>
  </sheetViews>
  <sheetFormatPr defaultColWidth="11.4609375" defaultRowHeight="14.6"/>
  <cols>
    <col min="1" max="1" width="14.3046875" hidden="1" customWidth="1"/>
    <col min="2" max="2" width="13.15234375" customWidth="1"/>
    <col min="3" max="3" width="12.84375" customWidth="1"/>
    <col min="4" max="4" width="16.84375" bestFit="1" customWidth="1"/>
    <col min="5" max="5" width="19.69140625" customWidth="1"/>
    <col min="6" max="7" width="14.84375" customWidth="1"/>
    <col min="8" max="8" width="17" customWidth="1"/>
    <col min="9" max="9" width="18.69140625" customWidth="1"/>
    <col min="10" max="10" width="17" customWidth="1"/>
    <col min="11" max="11" width="16.4609375" customWidth="1"/>
    <col min="12" max="12" width="12.15234375" bestFit="1" customWidth="1"/>
    <col min="13" max="13" width="17" customWidth="1"/>
    <col min="14" max="14" width="13.69140625" customWidth="1"/>
    <col min="15" max="16" width="11.4609375" bestFit="1" customWidth="1"/>
    <col min="17" max="18" width="16.3046875" bestFit="1" customWidth="1"/>
    <col min="19" max="19" width="10.84375" bestFit="1" customWidth="1"/>
    <col min="20" max="20" width="12.3046875" bestFit="1" customWidth="1"/>
    <col min="21" max="21" width="9.15234375" bestFit="1" customWidth="1"/>
    <col min="22" max="22" width="7.84375" customWidth="1"/>
    <col min="23" max="23" width="17.4609375" customWidth="1"/>
    <col min="26" max="26" width="18" customWidth="1"/>
    <col min="27" max="27" width="19.4609375" customWidth="1"/>
  </cols>
  <sheetData>
    <row r="1" spans="1:20" ht="18.45">
      <c r="B1" s="502" t="s">
        <v>429</v>
      </c>
      <c r="C1" s="8"/>
    </row>
    <row r="2" spans="1:20">
      <c r="C2" s="8"/>
    </row>
    <row r="3" spans="1:20" ht="15.45">
      <c r="B3" s="45"/>
    </row>
    <row r="4" spans="1:20" ht="15.45">
      <c r="B4" s="45" t="s">
        <v>439</v>
      </c>
    </row>
    <row r="5" spans="1:20" ht="14.05" customHeight="1">
      <c r="H5" s="574" t="s">
        <v>442</v>
      </c>
      <c r="I5" s="575"/>
      <c r="J5" s="575"/>
      <c r="K5" s="575"/>
      <c r="L5" s="575"/>
      <c r="M5" s="575"/>
      <c r="N5" s="575"/>
      <c r="O5" s="576"/>
    </row>
    <row r="6" spans="1:20" ht="57" customHeight="1">
      <c r="C6" s="572"/>
      <c r="D6" s="572"/>
      <c r="E6" s="572"/>
      <c r="F6" s="572"/>
      <c r="G6" s="5" t="s">
        <v>215</v>
      </c>
      <c r="H6" s="118" t="s">
        <v>144</v>
      </c>
      <c r="I6" s="118" t="s">
        <v>145</v>
      </c>
      <c r="J6" s="118" t="s">
        <v>146</v>
      </c>
      <c r="K6" s="118" t="s">
        <v>147</v>
      </c>
      <c r="L6" s="118" t="s">
        <v>148</v>
      </c>
      <c r="M6" s="118" t="s">
        <v>173</v>
      </c>
      <c r="N6" s="118" t="s">
        <v>149</v>
      </c>
      <c r="O6" s="152" t="s">
        <v>174</v>
      </c>
    </row>
    <row r="7" spans="1:20" ht="58.3">
      <c r="A7" s="125" t="s">
        <v>232</v>
      </c>
      <c r="B7" s="125" t="s">
        <v>58</v>
      </c>
      <c r="C7" s="125" t="s">
        <v>248</v>
      </c>
      <c r="D7" s="125" t="s">
        <v>0</v>
      </c>
      <c r="E7" s="125" t="s">
        <v>214</v>
      </c>
      <c r="F7" s="125" t="s">
        <v>247</v>
      </c>
      <c r="G7" s="125" t="s">
        <v>216</v>
      </c>
      <c r="H7" s="125" t="s">
        <v>53</v>
      </c>
      <c r="I7" s="125" t="s">
        <v>50</v>
      </c>
      <c r="J7" s="125" t="s">
        <v>54</v>
      </c>
      <c r="K7" s="125" t="s">
        <v>170</v>
      </c>
      <c r="L7" s="125" t="s">
        <v>51</v>
      </c>
      <c r="M7" s="125" t="s">
        <v>380</v>
      </c>
      <c r="N7" s="125" t="s">
        <v>55</v>
      </c>
      <c r="O7" s="125" t="s">
        <v>244</v>
      </c>
      <c r="S7" s="435" t="s">
        <v>64</v>
      </c>
      <c r="T7" s="435" t="s">
        <v>214</v>
      </c>
    </row>
    <row r="8" spans="1:20" ht="18" customHeight="1">
      <c r="A8" t="s">
        <v>234</v>
      </c>
      <c r="B8" s="573" t="s">
        <v>258</v>
      </c>
      <c r="C8" s="157" t="s">
        <v>1</v>
      </c>
      <c r="D8" s="157" t="s">
        <v>65</v>
      </c>
      <c r="E8" s="154">
        <v>1647876</v>
      </c>
      <c r="F8" s="154">
        <v>5523</v>
      </c>
      <c r="G8" s="158">
        <f>F8/365</f>
        <v>15.131506849315068</v>
      </c>
      <c r="H8" s="161">
        <f t="shared" ref="H8:N17" si="0">(INDEX($H$80:$O$84,MATCH($D8,$G$80:$G$84,0),MATCH(H$7,$H$79:$O$79,0)))/100*$F8</f>
        <v>276.15000000000003</v>
      </c>
      <c r="I8" s="161">
        <f t="shared" si="0"/>
        <v>386.61</v>
      </c>
      <c r="J8" s="161">
        <f t="shared" si="0"/>
        <v>386.61</v>
      </c>
      <c r="K8" s="161">
        <f t="shared" si="0"/>
        <v>386.61</v>
      </c>
      <c r="L8" s="161">
        <f t="shared" si="0"/>
        <v>386.61</v>
      </c>
      <c r="M8" s="161">
        <f t="shared" si="0"/>
        <v>0</v>
      </c>
      <c r="N8" s="161">
        <f t="shared" si="0"/>
        <v>55.230000000000004</v>
      </c>
      <c r="O8" s="161">
        <f>F8*$O$80/100</f>
        <v>27.614999999999998</v>
      </c>
      <c r="P8" s="421"/>
      <c r="S8" s="436" t="s">
        <v>65</v>
      </c>
      <c r="T8" s="215">
        <f t="shared" ref="T8:T14" si="1">SUMIF($D$8:$D$66,S8,$E$8:$E$66)</f>
        <v>8567832</v>
      </c>
    </row>
    <row r="9" spans="1:20" ht="18" customHeight="1">
      <c r="A9" t="s">
        <v>234</v>
      </c>
      <c r="B9" s="573"/>
      <c r="C9" s="157" t="s">
        <v>3</v>
      </c>
      <c r="D9" s="157" t="s">
        <v>65</v>
      </c>
      <c r="E9" s="154">
        <v>1812792</v>
      </c>
      <c r="F9" s="154">
        <v>5569</v>
      </c>
      <c r="G9" s="158">
        <f t="shared" ref="G9:G65" si="2">F9/365</f>
        <v>15.257534246575343</v>
      </c>
      <c r="H9" s="161">
        <f t="shared" si="0"/>
        <v>278.45</v>
      </c>
      <c r="I9" s="161">
        <f t="shared" si="0"/>
        <v>389.83000000000004</v>
      </c>
      <c r="J9" s="161">
        <f t="shared" si="0"/>
        <v>389.83000000000004</v>
      </c>
      <c r="K9" s="161">
        <f t="shared" si="0"/>
        <v>389.83000000000004</v>
      </c>
      <c r="L9" s="161">
        <f t="shared" si="0"/>
        <v>389.83000000000004</v>
      </c>
      <c r="M9" s="161">
        <f t="shared" si="0"/>
        <v>0</v>
      </c>
      <c r="N9" s="161">
        <f t="shared" si="0"/>
        <v>55.69</v>
      </c>
      <c r="O9" s="161">
        <f>F9*$O$80/100</f>
        <v>27.844999999999999</v>
      </c>
      <c r="P9" s="421"/>
      <c r="S9" s="214"/>
      <c r="T9" s="215">
        <f t="shared" si="1"/>
        <v>0</v>
      </c>
    </row>
    <row r="10" spans="1:20" ht="18" customHeight="1">
      <c r="A10" t="s">
        <v>234</v>
      </c>
      <c r="B10" s="573"/>
      <c r="C10" s="157" t="s">
        <v>202</v>
      </c>
      <c r="D10" s="157" t="s">
        <v>282</v>
      </c>
      <c r="E10" s="154">
        <v>54996</v>
      </c>
      <c r="F10" s="154">
        <v>25.2</v>
      </c>
      <c r="G10" s="158">
        <f t="shared" si="2"/>
        <v>6.904109589041095E-2</v>
      </c>
      <c r="H10" s="161">
        <f t="shared" si="0"/>
        <v>0</v>
      </c>
      <c r="I10" s="161">
        <f t="shared" si="0"/>
        <v>2.52E-2</v>
      </c>
      <c r="J10" s="161">
        <f t="shared" si="0"/>
        <v>0.252</v>
      </c>
      <c r="K10" s="161">
        <f t="shared" si="0"/>
        <v>0</v>
      </c>
      <c r="L10" s="161">
        <f t="shared" si="0"/>
        <v>0</v>
      </c>
      <c r="M10" s="161">
        <f t="shared" si="0"/>
        <v>0</v>
      </c>
      <c r="N10" s="161">
        <f t="shared" si="0"/>
        <v>0.252</v>
      </c>
      <c r="O10" s="161">
        <v>0</v>
      </c>
      <c r="P10" s="421"/>
      <c r="S10" s="214"/>
      <c r="T10" s="215">
        <f t="shared" si="1"/>
        <v>0</v>
      </c>
    </row>
    <row r="11" spans="1:20" ht="18" customHeight="1">
      <c r="A11" t="s">
        <v>234</v>
      </c>
      <c r="B11" s="580" t="s">
        <v>259</v>
      </c>
      <c r="C11" s="157" t="s">
        <v>4</v>
      </c>
      <c r="D11" s="157" t="s">
        <v>65</v>
      </c>
      <c r="E11" s="154">
        <v>1566252</v>
      </c>
      <c r="F11" s="154">
        <v>7524</v>
      </c>
      <c r="G11" s="158">
        <f t="shared" si="2"/>
        <v>20.613698630136987</v>
      </c>
      <c r="H11" s="161">
        <f t="shared" si="0"/>
        <v>376.20000000000005</v>
      </c>
      <c r="I11" s="161">
        <f t="shared" si="0"/>
        <v>526.68000000000006</v>
      </c>
      <c r="J11" s="161">
        <f t="shared" si="0"/>
        <v>526.68000000000006</v>
      </c>
      <c r="K11" s="161">
        <f t="shared" si="0"/>
        <v>526.68000000000006</v>
      </c>
      <c r="L11" s="161">
        <f t="shared" si="0"/>
        <v>526.68000000000006</v>
      </c>
      <c r="M11" s="161">
        <f t="shared" si="0"/>
        <v>0</v>
      </c>
      <c r="N11" s="161">
        <f t="shared" si="0"/>
        <v>75.239999999999995</v>
      </c>
      <c r="O11" s="161">
        <f>F11*$O$80/100</f>
        <v>37.619999999999997</v>
      </c>
      <c r="P11" s="421"/>
      <c r="S11" s="436" t="s">
        <v>6</v>
      </c>
      <c r="T11" s="215">
        <f t="shared" si="1"/>
        <v>429696</v>
      </c>
    </row>
    <row r="12" spans="1:20" ht="18" customHeight="1">
      <c r="A12" t="s">
        <v>234</v>
      </c>
      <c r="B12" s="581"/>
      <c r="C12" s="157" t="s">
        <v>203</v>
      </c>
      <c r="D12" s="157" t="s">
        <v>65</v>
      </c>
      <c r="E12" s="154">
        <v>973044</v>
      </c>
      <c r="F12" s="154">
        <v>5825</v>
      </c>
      <c r="G12" s="158">
        <f t="shared" si="2"/>
        <v>15.95890410958904</v>
      </c>
      <c r="H12" s="161">
        <f t="shared" si="0"/>
        <v>291.25</v>
      </c>
      <c r="I12" s="161">
        <f t="shared" si="0"/>
        <v>407.75000000000006</v>
      </c>
      <c r="J12" s="161">
        <f t="shared" si="0"/>
        <v>407.75000000000006</v>
      </c>
      <c r="K12" s="161">
        <f t="shared" si="0"/>
        <v>407.75000000000006</v>
      </c>
      <c r="L12" s="161">
        <f t="shared" si="0"/>
        <v>407.75000000000006</v>
      </c>
      <c r="M12" s="161">
        <f t="shared" si="0"/>
        <v>0</v>
      </c>
      <c r="N12" s="161">
        <f t="shared" si="0"/>
        <v>58.25</v>
      </c>
      <c r="O12" s="161">
        <f>F12*$O$80/100</f>
        <v>29.125</v>
      </c>
      <c r="P12" s="421"/>
      <c r="S12" s="436" t="s">
        <v>283</v>
      </c>
      <c r="T12" s="215">
        <f t="shared" si="1"/>
        <v>0</v>
      </c>
    </row>
    <row r="13" spans="1:20" ht="18" customHeight="1">
      <c r="A13" t="s">
        <v>234</v>
      </c>
      <c r="B13" s="581"/>
      <c r="C13" s="157" t="s">
        <v>5</v>
      </c>
      <c r="D13" s="157" t="s">
        <v>6</v>
      </c>
      <c r="E13" s="154">
        <v>429696</v>
      </c>
      <c r="F13" s="154">
        <v>3268</v>
      </c>
      <c r="G13" s="158">
        <f t="shared" si="2"/>
        <v>8.9534246575342458</v>
      </c>
      <c r="H13" s="161">
        <f t="shared" si="0"/>
        <v>0</v>
      </c>
      <c r="I13" s="161">
        <f t="shared" si="0"/>
        <v>32.68</v>
      </c>
      <c r="J13" s="161">
        <f t="shared" si="0"/>
        <v>653.6</v>
      </c>
      <c r="K13" s="161">
        <f t="shared" si="0"/>
        <v>0</v>
      </c>
      <c r="L13" s="161">
        <f t="shared" si="0"/>
        <v>0</v>
      </c>
      <c r="M13" s="161">
        <f t="shared" si="0"/>
        <v>3.2680000000000002</v>
      </c>
      <c r="N13" s="161">
        <f t="shared" si="0"/>
        <v>0</v>
      </c>
      <c r="O13" s="161">
        <v>0</v>
      </c>
      <c r="P13" s="421"/>
      <c r="S13" s="214"/>
      <c r="T13" s="215">
        <f t="shared" si="1"/>
        <v>0</v>
      </c>
    </row>
    <row r="14" spans="1:20" ht="18" customHeight="1">
      <c r="A14" t="s">
        <v>234</v>
      </c>
      <c r="B14" s="581"/>
      <c r="C14" s="157" t="s">
        <v>204</v>
      </c>
      <c r="D14" s="157" t="s">
        <v>282</v>
      </c>
      <c r="E14" s="154">
        <v>116016</v>
      </c>
      <c r="F14" s="154">
        <v>36.799999999999997</v>
      </c>
      <c r="G14" s="158">
        <f t="shared" si="2"/>
        <v>0.10082191780821917</v>
      </c>
      <c r="H14" s="161">
        <f t="shared" si="0"/>
        <v>0</v>
      </c>
      <c r="I14" s="161">
        <f t="shared" si="0"/>
        <v>3.6799999999999999E-2</v>
      </c>
      <c r="J14" s="161">
        <f t="shared" si="0"/>
        <v>0.36799999999999999</v>
      </c>
      <c r="K14" s="161">
        <f t="shared" si="0"/>
        <v>0</v>
      </c>
      <c r="L14" s="161">
        <f t="shared" si="0"/>
        <v>0</v>
      </c>
      <c r="M14" s="161">
        <f t="shared" si="0"/>
        <v>0</v>
      </c>
      <c r="N14" s="161">
        <f t="shared" si="0"/>
        <v>0.36799999999999999</v>
      </c>
      <c r="O14" s="161">
        <v>0</v>
      </c>
      <c r="P14" s="421"/>
      <c r="S14" s="436" t="s">
        <v>282</v>
      </c>
      <c r="T14" s="215">
        <f t="shared" si="1"/>
        <v>10864080</v>
      </c>
    </row>
    <row r="15" spans="1:20" ht="18" customHeight="1">
      <c r="A15" t="s">
        <v>234</v>
      </c>
      <c r="B15" s="581"/>
      <c r="C15" s="157" t="s">
        <v>7</v>
      </c>
      <c r="D15" s="157" t="s">
        <v>65</v>
      </c>
      <c r="E15" s="154">
        <v>1601052</v>
      </c>
      <c r="F15" s="154">
        <v>9188</v>
      </c>
      <c r="G15" s="158">
        <f t="shared" si="2"/>
        <v>25.172602739726027</v>
      </c>
      <c r="H15" s="161">
        <f t="shared" si="0"/>
        <v>459.40000000000003</v>
      </c>
      <c r="I15" s="161">
        <f t="shared" si="0"/>
        <v>643.16000000000008</v>
      </c>
      <c r="J15" s="161">
        <f t="shared" si="0"/>
        <v>643.16000000000008</v>
      </c>
      <c r="K15" s="161">
        <f t="shared" si="0"/>
        <v>643.16000000000008</v>
      </c>
      <c r="L15" s="161">
        <f t="shared" si="0"/>
        <v>643.16000000000008</v>
      </c>
      <c r="M15" s="161">
        <f t="shared" si="0"/>
        <v>0</v>
      </c>
      <c r="N15" s="161">
        <f t="shared" si="0"/>
        <v>91.88</v>
      </c>
      <c r="O15" s="161">
        <f>F15*$O$80/100</f>
        <v>45.94</v>
      </c>
      <c r="P15" s="421"/>
      <c r="S15" s="214"/>
      <c r="T15" s="215"/>
    </row>
    <row r="16" spans="1:20" ht="18" customHeight="1">
      <c r="A16" t="s">
        <v>234</v>
      </c>
      <c r="B16" s="581"/>
      <c r="C16" s="157" t="s">
        <v>8</v>
      </c>
      <c r="D16" s="157" t="s">
        <v>282</v>
      </c>
      <c r="E16" s="154">
        <v>181548</v>
      </c>
      <c r="F16" s="154">
        <v>46.8</v>
      </c>
      <c r="G16" s="158">
        <f t="shared" ref="G16" si="3">F16/365</f>
        <v>0.12821917808219177</v>
      </c>
      <c r="H16" s="161">
        <f t="shared" si="0"/>
        <v>0</v>
      </c>
      <c r="I16" s="161">
        <f t="shared" si="0"/>
        <v>4.6800000000000001E-2</v>
      </c>
      <c r="J16" s="161">
        <f t="shared" si="0"/>
        <v>0.46799999999999997</v>
      </c>
      <c r="K16" s="161">
        <f t="shared" si="0"/>
        <v>0</v>
      </c>
      <c r="L16" s="161">
        <f t="shared" si="0"/>
        <v>0</v>
      </c>
      <c r="M16" s="161">
        <f t="shared" si="0"/>
        <v>0</v>
      </c>
      <c r="N16" s="161">
        <f t="shared" si="0"/>
        <v>0.46799999999999997</v>
      </c>
      <c r="O16" s="161">
        <v>0</v>
      </c>
      <c r="P16" s="421"/>
      <c r="S16" s="214"/>
      <c r="T16" s="215"/>
    </row>
    <row r="17" spans="1:146" s="150" customFormat="1" ht="18" customHeight="1" thickBot="1">
      <c r="A17" s="150" t="s">
        <v>234</v>
      </c>
      <c r="B17" s="582"/>
      <c r="C17" s="345" t="s">
        <v>205</v>
      </c>
      <c r="D17" s="345" t="s">
        <v>65</v>
      </c>
      <c r="E17" s="346">
        <v>966816</v>
      </c>
      <c r="F17" s="346">
        <v>6064</v>
      </c>
      <c r="G17" s="347">
        <f t="shared" si="2"/>
        <v>16.613698630136987</v>
      </c>
      <c r="H17" s="348">
        <f t="shared" si="0"/>
        <v>303.2</v>
      </c>
      <c r="I17" s="348">
        <f t="shared" si="0"/>
        <v>424.48</v>
      </c>
      <c r="J17" s="348">
        <f t="shared" si="0"/>
        <v>424.48</v>
      </c>
      <c r="K17" s="348">
        <f t="shared" si="0"/>
        <v>424.48</v>
      </c>
      <c r="L17" s="348">
        <f t="shared" si="0"/>
        <v>424.48</v>
      </c>
      <c r="M17" s="348">
        <f t="shared" si="0"/>
        <v>0</v>
      </c>
      <c r="N17" s="348">
        <f t="shared" si="0"/>
        <v>60.64</v>
      </c>
      <c r="O17" s="491">
        <f>F17*$O$80/100</f>
        <v>30.32</v>
      </c>
      <c r="P17" s="421"/>
      <c r="Q17"/>
      <c r="R17"/>
      <c r="S17" s="164"/>
      <c r="T17" s="43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</row>
    <row r="18" spans="1:146" ht="18" customHeight="1">
      <c r="A18" t="s">
        <v>234</v>
      </c>
      <c r="B18" s="583" t="s">
        <v>358</v>
      </c>
      <c r="C18" s="157" t="s">
        <v>11</v>
      </c>
      <c r="D18" s="157" t="s">
        <v>282</v>
      </c>
      <c r="E18" s="154">
        <v>6792</v>
      </c>
      <c r="F18" s="154">
        <v>5.66</v>
      </c>
      <c r="G18" s="158">
        <f t="shared" si="2"/>
        <v>1.5506849315068493E-2</v>
      </c>
      <c r="H18" s="161">
        <f t="shared" ref="H18:N27" si="4">(INDEX($H$80:$O$84,MATCH($D18,$G$80:$G$84,0),MATCH(H$7,$H$79:$O$79,0)))/100*$F18</f>
        <v>0</v>
      </c>
      <c r="I18" s="161">
        <f t="shared" si="4"/>
        <v>5.6600000000000001E-3</v>
      </c>
      <c r="J18" s="161">
        <f t="shared" si="4"/>
        <v>5.6600000000000004E-2</v>
      </c>
      <c r="K18" s="161">
        <f t="shared" si="4"/>
        <v>0</v>
      </c>
      <c r="L18" s="161">
        <f t="shared" si="4"/>
        <v>0</v>
      </c>
      <c r="M18" s="161">
        <f t="shared" si="4"/>
        <v>0</v>
      </c>
      <c r="N18" s="161">
        <f t="shared" si="4"/>
        <v>5.6600000000000004E-2</v>
      </c>
      <c r="O18" s="490">
        <v>0</v>
      </c>
    </row>
    <row r="19" spans="1:146" ht="18" customHeight="1">
      <c r="B19" s="584"/>
      <c r="C19" s="157" t="s">
        <v>285</v>
      </c>
      <c r="D19" s="214" t="s">
        <v>282</v>
      </c>
      <c r="E19" s="215">
        <v>5556</v>
      </c>
      <c r="F19" s="215">
        <v>6.94</v>
      </c>
      <c r="G19" s="158">
        <f t="shared" ref="G19:G20" si="5">F19/365</f>
        <v>1.9013698630136987E-2</v>
      </c>
      <c r="H19" s="161">
        <f t="shared" si="4"/>
        <v>0</v>
      </c>
      <c r="I19" s="161">
        <f t="shared" si="4"/>
        <v>6.9400000000000009E-3</v>
      </c>
      <c r="J19" s="161">
        <f t="shared" si="4"/>
        <v>6.9400000000000003E-2</v>
      </c>
      <c r="K19" s="161">
        <f t="shared" si="4"/>
        <v>0</v>
      </c>
      <c r="L19" s="161">
        <f t="shared" si="4"/>
        <v>0</v>
      </c>
      <c r="M19" s="161">
        <f t="shared" si="4"/>
        <v>0</v>
      </c>
      <c r="N19" s="161">
        <f t="shared" si="4"/>
        <v>6.9400000000000003E-2</v>
      </c>
      <c r="O19" s="161">
        <v>0</v>
      </c>
    </row>
    <row r="20" spans="1:146" ht="18" customHeight="1">
      <c r="B20" s="584"/>
      <c r="C20" s="157" t="s">
        <v>286</v>
      </c>
      <c r="D20" s="214" t="s">
        <v>282</v>
      </c>
      <c r="E20" s="215">
        <v>5556</v>
      </c>
      <c r="F20" s="215">
        <v>6.94</v>
      </c>
      <c r="G20" s="158">
        <f t="shared" si="5"/>
        <v>1.9013698630136987E-2</v>
      </c>
      <c r="H20" s="161">
        <f t="shared" si="4"/>
        <v>0</v>
      </c>
      <c r="I20" s="161">
        <f t="shared" si="4"/>
        <v>6.9400000000000009E-3</v>
      </c>
      <c r="J20" s="161">
        <f t="shared" si="4"/>
        <v>6.9400000000000003E-2</v>
      </c>
      <c r="K20" s="161">
        <f t="shared" si="4"/>
        <v>0</v>
      </c>
      <c r="L20" s="161">
        <f t="shared" si="4"/>
        <v>0</v>
      </c>
      <c r="M20" s="161">
        <f t="shared" si="4"/>
        <v>0</v>
      </c>
      <c r="N20" s="161">
        <f t="shared" si="4"/>
        <v>6.9400000000000003E-2</v>
      </c>
      <c r="O20" s="161">
        <v>0</v>
      </c>
    </row>
    <row r="21" spans="1:146" ht="18" customHeight="1">
      <c r="A21" t="s">
        <v>231</v>
      </c>
      <c r="B21" s="584"/>
      <c r="C21" s="157" t="s">
        <v>12</v>
      </c>
      <c r="D21" s="157" t="s">
        <v>282</v>
      </c>
      <c r="E21" s="154">
        <v>3360</v>
      </c>
      <c r="F21" s="154">
        <v>4.08</v>
      </c>
      <c r="G21" s="158">
        <f t="shared" si="2"/>
        <v>1.1178082191780823E-2</v>
      </c>
      <c r="H21" s="161">
        <f t="shared" si="4"/>
        <v>0</v>
      </c>
      <c r="I21" s="161">
        <f t="shared" si="4"/>
        <v>4.0800000000000003E-3</v>
      </c>
      <c r="J21" s="161">
        <f t="shared" si="4"/>
        <v>4.0800000000000003E-2</v>
      </c>
      <c r="K21" s="161">
        <f t="shared" si="4"/>
        <v>0</v>
      </c>
      <c r="L21" s="161">
        <f t="shared" si="4"/>
        <v>0</v>
      </c>
      <c r="M21" s="161">
        <f t="shared" si="4"/>
        <v>0</v>
      </c>
      <c r="N21" s="161">
        <f t="shared" si="4"/>
        <v>4.0800000000000003E-2</v>
      </c>
      <c r="O21" s="161">
        <v>0</v>
      </c>
    </row>
    <row r="22" spans="1:146" ht="18" customHeight="1">
      <c r="B22" s="584"/>
      <c r="C22" s="157" t="s">
        <v>287</v>
      </c>
      <c r="D22" s="157" t="s">
        <v>282</v>
      </c>
      <c r="E22" s="215">
        <v>5820</v>
      </c>
      <c r="F22" s="215">
        <v>7.06</v>
      </c>
      <c r="G22" s="216">
        <f t="shared" si="2"/>
        <v>1.9342465753424656E-2</v>
      </c>
      <c r="H22" s="217">
        <f t="shared" si="4"/>
        <v>0</v>
      </c>
      <c r="I22" s="217">
        <f t="shared" si="4"/>
        <v>7.0599999999999994E-3</v>
      </c>
      <c r="J22" s="217">
        <f t="shared" si="4"/>
        <v>7.0599999999999996E-2</v>
      </c>
      <c r="K22" s="217">
        <f t="shared" si="4"/>
        <v>0</v>
      </c>
      <c r="L22" s="217">
        <f t="shared" si="4"/>
        <v>0</v>
      </c>
      <c r="M22" s="217">
        <f t="shared" si="4"/>
        <v>0</v>
      </c>
      <c r="N22" s="217">
        <f t="shared" si="4"/>
        <v>7.0599999999999996E-2</v>
      </c>
      <c r="O22" s="161">
        <v>0</v>
      </c>
    </row>
    <row r="23" spans="1:146" ht="18" customHeight="1">
      <c r="B23" s="584"/>
      <c r="C23" s="157" t="s">
        <v>288</v>
      </c>
      <c r="D23" s="157" t="s">
        <v>282</v>
      </c>
      <c r="E23" s="215">
        <v>5796</v>
      </c>
      <c r="F23" s="215">
        <v>7.04</v>
      </c>
      <c r="G23" s="216">
        <f t="shared" si="2"/>
        <v>1.9287671232876714E-2</v>
      </c>
      <c r="H23" s="217">
        <f t="shared" si="4"/>
        <v>0</v>
      </c>
      <c r="I23" s="217">
        <f t="shared" si="4"/>
        <v>7.0400000000000003E-3</v>
      </c>
      <c r="J23" s="217">
        <f t="shared" si="4"/>
        <v>7.0400000000000004E-2</v>
      </c>
      <c r="K23" s="217">
        <f t="shared" si="4"/>
        <v>0</v>
      </c>
      <c r="L23" s="217">
        <f t="shared" si="4"/>
        <v>0</v>
      </c>
      <c r="M23" s="217">
        <f t="shared" si="4"/>
        <v>0</v>
      </c>
      <c r="N23" s="217">
        <f t="shared" si="4"/>
        <v>7.0400000000000004E-2</v>
      </c>
      <c r="O23" s="161">
        <v>0</v>
      </c>
    </row>
    <row r="24" spans="1:146" ht="18" customHeight="1">
      <c r="B24" s="584"/>
      <c r="C24" s="157" t="s">
        <v>289</v>
      </c>
      <c r="D24" s="157" t="s">
        <v>282</v>
      </c>
      <c r="E24" s="215">
        <v>5796</v>
      </c>
      <c r="F24" s="215">
        <v>7.04</v>
      </c>
      <c r="G24" s="216">
        <f t="shared" si="2"/>
        <v>1.9287671232876714E-2</v>
      </c>
      <c r="H24" s="217">
        <f t="shared" si="4"/>
        <v>0</v>
      </c>
      <c r="I24" s="217">
        <f t="shared" si="4"/>
        <v>7.0400000000000003E-3</v>
      </c>
      <c r="J24" s="217">
        <f t="shared" si="4"/>
        <v>7.0400000000000004E-2</v>
      </c>
      <c r="K24" s="217">
        <f t="shared" si="4"/>
        <v>0</v>
      </c>
      <c r="L24" s="217">
        <f t="shared" si="4"/>
        <v>0</v>
      </c>
      <c r="M24" s="217">
        <f t="shared" si="4"/>
        <v>0</v>
      </c>
      <c r="N24" s="217">
        <f t="shared" si="4"/>
        <v>7.0400000000000004E-2</v>
      </c>
      <c r="O24" s="161">
        <v>0</v>
      </c>
    </row>
    <row r="25" spans="1:146" ht="18" customHeight="1">
      <c r="B25" s="584"/>
      <c r="C25" s="157" t="s">
        <v>290</v>
      </c>
      <c r="D25" s="157" t="s">
        <v>282</v>
      </c>
      <c r="E25" s="215">
        <v>3360</v>
      </c>
      <c r="F25" s="215">
        <v>4.08</v>
      </c>
      <c r="G25" s="216">
        <f t="shared" si="2"/>
        <v>1.1178082191780823E-2</v>
      </c>
      <c r="H25" s="217">
        <f t="shared" si="4"/>
        <v>0</v>
      </c>
      <c r="I25" s="217">
        <f t="shared" si="4"/>
        <v>4.0800000000000003E-3</v>
      </c>
      <c r="J25" s="217">
        <f t="shared" si="4"/>
        <v>4.0800000000000003E-2</v>
      </c>
      <c r="K25" s="217">
        <f t="shared" si="4"/>
        <v>0</v>
      </c>
      <c r="L25" s="217">
        <f t="shared" si="4"/>
        <v>0</v>
      </c>
      <c r="M25" s="217">
        <f t="shared" si="4"/>
        <v>0</v>
      </c>
      <c r="N25" s="217">
        <f t="shared" si="4"/>
        <v>4.0800000000000003E-2</v>
      </c>
      <c r="O25" s="161">
        <v>0</v>
      </c>
    </row>
    <row r="26" spans="1:146" ht="18" customHeight="1">
      <c r="B26" s="584"/>
      <c r="C26" s="157" t="s">
        <v>291</v>
      </c>
      <c r="D26" s="157" t="s">
        <v>282</v>
      </c>
      <c r="E26" s="215">
        <v>3360</v>
      </c>
      <c r="F26" s="215">
        <v>4.08</v>
      </c>
      <c r="G26" s="216">
        <f t="shared" si="2"/>
        <v>1.1178082191780823E-2</v>
      </c>
      <c r="H26" s="217">
        <f t="shared" si="4"/>
        <v>0</v>
      </c>
      <c r="I26" s="217">
        <f t="shared" si="4"/>
        <v>4.0800000000000003E-3</v>
      </c>
      <c r="J26" s="217">
        <f t="shared" si="4"/>
        <v>4.0800000000000003E-2</v>
      </c>
      <c r="K26" s="217">
        <f t="shared" si="4"/>
        <v>0</v>
      </c>
      <c r="L26" s="217">
        <f t="shared" si="4"/>
        <v>0</v>
      </c>
      <c r="M26" s="217">
        <f t="shared" si="4"/>
        <v>0</v>
      </c>
      <c r="N26" s="217">
        <f t="shared" si="4"/>
        <v>4.0800000000000003E-2</v>
      </c>
      <c r="O26" s="161">
        <v>0</v>
      </c>
    </row>
    <row r="27" spans="1:146" ht="18" customHeight="1">
      <c r="A27" t="s">
        <v>231</v>
      </c>
      <c r="B27" s="584"/>
      <c r="C27" s="157" t="s">
        <v>13</v>
      </c>
      <c r="D27" s="157" t="s">
        <v>282</v>
      </c>
      <c r="E27" s="154">
        <v>4872</v>
      </c>
      <c r="F27" s="154">
        <v>4.0599999999999996</v>
      </c>
      <c r="G27" s="158">
        <f t="shared" si="2"/>
        <v>1.1123287671232876E-2</v>
      </c>
      <c r="H27" s="161">
        <f t="shared" si="4"/>
        <v>0</v>
      </c>
      <c r="I27" s="161">
        <f t="shared" si="4"/>
        <v>4.0599999999999994E-3</v>
      </c>
      <c r="J27" s="161">
        <f t="shared" si="4"/>
        <v>4.0599999999999997E-2</v>
      </c>
      <c r="K27" s="161">
        <f t="shared" si="4"/>
        <v>0</v>
      </c>
      <c r="L27" s="161">
        <f t="shared" si="4"/>
        <v>0</v>
      </c>
      <c r="M27" s="161">
        <f t="shared" si="4"/>
        <v>0</v>
      </c>
      <c r="N27" s="161">
        <f t="shared" si="4"/>
        <v>4.0599999999999997E-2</v>
      </c>
      <c r="O27" s="161">
        <v>0</v>
      </c>
    </row>
    <row r="28" spans="1:146" ht="18" customHeight="1">
      <c r="A28" t="s">
        <v>231</v>
      </c>
      <c r="B28" s="584"/>
      <c r="C28" s="157" t="s">
        <v>14</v>
      </c>
      <c r="D28" s="157" t="s">
        <v>282</v>
      </c>
      <c r="E28" s="154">
        <v>6000</v>
      </c>
      <c r="F28" s="154">
        <v>5</v>
      </c>
      <c r="G28" s="158">
        <f t="shared" si="2"/>
        <v>1.3698630136986301E-2</v>
      </c>
      <c r="H28" s="161">
        <f t="shared" ref="H28:N42" si="6">(INDEX($H$80:$O$84,MATCH($D28,$G$80:$G$84,0),MATCH(H$7,$H$79:$O$79,0)))/100*$F28</f>
        <v>0</v>
      </c>
      <c r="I28" s="161">
        <f t="shared" si="6"/>
        <v>5.0000000000000001E-3</v>
      </c>
      <c r="J28" s="161">
        <f t="shared" si="6"/>
        <v>0.05</v>
      </c>
      <c r="K28" s="161">
        <f t="shared" si="6"/>
        <v>0</v>
      </c>
      <c r="L28" s="161">
        <f t="shared" si="6"/>
        <v>0</v>
      </c>
      <c r="M28" s="161">
        <f t="shared" si="6"/>
        <v>0</v>
      </c>
      <c r="N28" s="161">
        <f t="shared" si="6"/>
        <v>0.05</v>
      </c>
      <c r="O28" s="161">
        <v>0</v>
      </c>
    </row>
    <row r="29" spans="1:146" ht="18" customHeight="1">
      <c r="B29" s="584"/>
      <c r="C29" s="157" t="s">
        <v>15</v>
      </c>
      <c r="D29" s="157" t="s">
        <v>282</v>
      </c>
      <c r="E29" s="154">
        <v>3696</v>
      </c>
      <c r="F29" s="154">
        <v>3.08</v>
      </c>
      <c r="G29" s="158">
        <f t="shared" si="2"/>
        <v>8.4383561643835616E-3</v>
      </c>
      <c r="H29" s="161">
        <f t="shared" si="6"/>
        <v>0</v>
      </c>
      <c r="I29" s="161">
        <f t="shared" si="6"/>
        <v>3.0800000000000003E-3</v>
      </c>
      <c r="J29" s="161">
        <f t="shared" si="6"/>
        <v>3.0800000000000001E-2</v>
      </c>
      <c r="K29" s="161">
        <f t="shared" si="6"/>
        <v>0</v>
      </c>
      <c r="L29" s="161">
        <f t="shared" si="6"/>
        <v>0</v>
      </c>
      <c r="M29" s="161">
        <f t="shared" si="6"/>
        <v>0</v>
      </c>
      <c r="N29" s="161">
        <f t="shared" si="6"/>
        <v>3.0800000000000001E-2</v>
      </c>
      <c r="O29" s="161">
        <v>0</v>
      </c>
    </row>
    <row r="30" spans="1:146" ht="18" customHeight="1">
      <c r="B30" s="584"/>
      <c r="C30" s="157" t="s">
        <v>16</v>
      </c>
      <c r="D30" s="157" t="s">
        <v>282</v>
      </c>
      <c r="E30" s="215">
        <v>840</v>
      </c>
      <c r="F30" s="215">
        <v>3.08</v>
      </c>
      <c r="G30" s="158">
        <f t="shared" si="2"/>
        <v>8.4383561643835616E-3</v>
      </c>
      <c r="H30" s="161">
        <f t="shared" si="6"/>
        <v>0</v>
      </c>
      <c r="I30" s="161">
        <f t="shared" si="6"/>
        <v>3.0800000000000003E-3</v>
      </c>
      <c r="J30" s="161">
        <f t="shared" si="6"/>
        <v>3.0800000000000001E-2</v>
      </c>
      <c r="K30" s="161">
        <f t="shared" si="6"/>
        <v>0</v>
      </c>
      <c r="L30" s="161">
        <f t="shared" si="6"/>
        <v>0</v>
      </c>
      <c r="M30" s="161">
        <f t="shared" si="6"/>
        <v>0</v>
      </c>
      <c r="N30" s="161">
        <f t="shared" si="6"/>
        <v>3.0800000000000001E-2</v>
      </c>
      <c r="O30" s="161">
        <v>0</v>
      </c>
    </row>
    <row r="31" spans="1:146" ht="18" customHeight="1">
      <c r="A31" t="s">
        <v>231</v>
      </c>
      <c r="B31" s="584"/>
      <c r="C31" s="157" t="s">
        <v>292</v>
      </c>
      <c r="D31" s="157" t="s">
        <v>282</v>
      </c>
      <c r="E31" s="154">
        <v>1020</v>
      </c>
      <c r="F31" s="154">
        <v>0.7</v>
      </c>
      <c r="G31" s="158">
        <f t="shared" si="2"/>
        <v>1.9178082191780822E-3</v>
      </c>
      <c r="H31" s="161">
        <f t="shared" si="6"/>
        <v>0</v>
      </c>
      <c r="I31" s="161">
        <f t="shared" si="6"/>
        <v>6.9999999999999999E-4</v>
      </c>
      <c r="J31" s="161">
        <f t="shared" si="6"/>
        <v>6.9999999999999993E-3</v>
      </c>
      <c r="K31" s="161">
        <f t="shared" si="6"/>
        <v>0</v>
      </c>
      <c r="L31" s="161">
        <f t="shared" si="6"/>
        <v>0</v>
      </c>
      <c r="M31" s="161">
        <f t="shared" si="6"/>
        <v>0</v>
      </c>
      <c r="N31" s="161">
        <f t="shared" si="6"/>
        <v>6.9999999999999993E-3</v>
      </c>
      <c r="O31" s="161">
        <v>0</v>
      </c>
    </row>
    <row r="32" spans="1:146" ht="18" customHeight="1">
      <c r="A32" t="s">
        <v>231</v>
      </c>
      <c r="B32" s="585"/>
      <c r="C32" s="157" t="s">
        <v>293</v>
      </c>
      <c r="D32" s="157" t="s">
        <v>282</v>
      </c>
      <c r="E32" s="154">
        <v>3000</v>
      </c>
      <c r="F32" s="154">
        <v>0.7</v>
      </c>
      <c r="G32" s="158">
        <f t="shared" si="2"/>
        <v>1.9178082191780822E-3</v>
      </c>
      <c r="H32" s="161">
        <f t="shared" si="6"/>
        <v>0</v>
      </c>
      <c r="I32" s="161">
        <f t="shared" si="6"/>
        <v>6.9999999999999999E-4</v>
      </c>
      <c r="J32" s="161">
        <f t="shared" si="6"/>
        <v>6.9999999999999993E-3</v>
      </c>
      <c r="K32" s="161">
        <f t="shared" si="6"/>
        <v>0</v>
      </c>
      <c r="L32" s="161">
        <f t="shared" si="6"/>
        <v>0</v>
      </c>
      <c r="M32" s="161">
        <f t="shared" si="6"/>
        <v>0</v>
      </c>
      <c r="N32" s="161">
        <f t="shared" si="6"/>
        <v>6.9999999999999993E-3</v>
      </c>
      <c r="O32" s="161">
        <v>0</v>
      </c>
    </row>
    <row r="33" spans="1:15" ht="18" customHeight="1">
      <c r="A33" t="s">
        <v>234</v>
      </c>
      <c r="B33" s="583" t="s">
        <v>260</v>
      </c>
      <c r="C33" s="157" t="s">
        <v>17</v>
      </c>
      <c r="D33" s="157" t="s">
        <v>282</v>
      </c>
      <c r="E33" s="154">
        <v>966816</v>
      </c>
      <c r="F33" s="154">
        <v>1224</v>
      </c>
      <c r="G33" s="158">
        <f t="shared" si="2"/>
        <v>3.3534246575342466</v>
      </c>
      <c r="H33" s="161">
        <f t="shared" si="6"/>
        <v>0</v>
      </c>
      <c r="I33" s="161">
        <f t="shared" si="6"/>
        <v>1.224</v>
      </c>
      <c r="J33" s="161">
        <f t="shared" si="6"/>
        <v>12.24</v>
      </c>
      <c r="K33" s="161">
        <f t="shared" si="6"/>
        <v>0</v>
      </c>
      <c r="L33" s="161">
        <f t="shared" si="6"/>
        <v>0</v>
      </c>
      <c r="M33" s="161">
        <f t="shared" si="6"/>
        <v>0</v>
      </c>
      <c r="N33" s="161">
        <f t="shared" si="6"/>
        <v>12.24</v>
      </c>
      <c r="O33" s="161">
        <v>0</v>
      </c>
    </row>
    <row r="34" spans="1:15" ht="18" customHeight="1">
      <c r="A34" t="s">
        <v>234</v>
      </c>
      <c r="B34" s="584"/>
      <c r="C34" s="157" t="s">
        <v>18</v>
      </c>
      <c r="D34" s="157" t="s">
        <v>282</v>
      </c>
      <c r="E34" s="154">
        <v>966816</v>
      </c>
      <c r="F34" s="154">
        <v>1224</v>
      </c>
      <c r="G34" s="158">
        <f t="shared" si="2"/>
        <v>3.3534246575342466</v>
      </c>
      <c r="H34" s="161">
        <f t="shared" si="6"/>
        <v>0</v>
      </c>
      <c r="I34" s="161">
        <f t="shared" si="6"/>
        <v>1.224</v>
      </c>
      <c r="J34" s="161">
        <f t="shared" si="6"/>
        <v>12.24</v>
      </c>
      <c r="K34" s="161">
        <f t="shared" si="6"/>
        <v>0</v>
      </c>
      <c r="L34" s="161">
        <f t="shared" si="6"/>
        <v>0</v>
      </c>
      <c r="M34" s="161">
        <f t="shared" si="6"/>
        <v>0</v>
      </c>
      <c r="N34" s="161">
        <f t="shared" si="6"/>
        <v>12.24</v>
      </c>
      <c r="O34" s="161">
        <v>0</v>
      </c>
    </row>
    <row r="35" spans="1:15" ht="18" customHeight="1">
      <c r="A35" t="s">
        <v>234</v>
      </c>
      <c r="B35" s="584"/>
      <c r="C35" s="157" t="s">
        <v>19</v>
      </c>
      <c r="D35" s="157" t="s">
        <v>282</v>
      </c>
      <c r="E35" s="154">
        <v>675420</v>
      </c>
      <c r="F35" s="154">
        <v>852</v>
      </c>
      <c r="G35" s="323">
        <f t="shared" si="2"/>
        <v>2.3342465753424659</v>
      </c>
      <c r="H35" s="161">
        <f t="shared" si="6"/>
        <v>0</v>
      </c>
      <c r="I35" s="161">
        <f t="shared" si="6"/>
        <v>0.85199999999999998</v>
      </c>
      <c r="J35" s="161">
        <f t="shared" si="6"/>
        <v>8.52</v>
      </c>
      <c r="K35" s="161">
        <f t="shared" si="6"/>
        <v>0</v>
      </c>
      <c r="L35" s="161">
        <f t="shared" si="6"/>
        <v>0</v>
      </c>
      <c r="M35" s="161">
        <f t="shared" si="6"/>
        <v>0</v>
      </c>
      <c r="N35" s="161">
        <f t="shared" si="6"/>
        <v>8.52</v>
      </c>
      <c r="O35" s="161">
        <v>0</v>
      </c>
    </row>
    <row r="36" spans="1:15" ht="18" customHeight="1">
      <c r="A36" t="s">
        <v>234</v>
      </c>
      <c r="B36" s="584"/>
      <c r="C36" s="157" t="s">
        <v>20</v>
      </c>
      <c r="D36" s="157" t="s">
        <v>282</v>
      </c>
      <c r="E36" s="154">
        <v>104592</v>
      </c>
      <c r="F36" s="154">
        <v>87.1</v>
      </c>
      <c r="G36" s="158">
        <f t="shared" si="2"/>
        <v>0.23863013698630137</v>
      </c>
      <c r="H36" s="161">
        <f t="shared" si="6"/>
        <v>0</v>
      </c>
      <c r="I36" s="161">
        <f t="shared" si="6"/>
        <v>8.7099999999999997E-2</v>
      </c>
      <c r="J36" s="161">
        <f t="shared" si="6"/>
        <v>0.871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0.871</v>
      </c>
      <c r="O36" s="161">
        <v>0</v>
      </c>
    </row>
    <row r="37" spans="1:15" ht="18" customHeight="1">
      <c r="A37" t="s">
        <v>234</v>
      </c>
      <c r="B37" s="584"/>
      <c r="C37" s="157" t="s">
        <v>21</v>
      </c>
      <c r="D37" s="157" t="s">
        <v>282</v>
      </c>
      <c r="E37" s="154">
        <v>618768</v>
      </c>
      <c r="F37" s="154">
        <v>516</v>
      </c>
      <c r="G37" s="158">
        <f t="shared" si="2"/>
        <v>1.4136986301369863</v>
      </c>
      <c r="H37" s="161">
        <f t="shared" si="6"/>
        <v>0</v>
      </c>
      <c r="I37" s="161">
        <f t="shared" si="6"/>
        <v>0.51600000000000001</v>
      </c>
      <c r="J37" s="161">
        <f t="shared" si="6"/>
        <v>5.16</v>
      </c>
      <c r="K37" s="161">
        <f t="shared" si="6"/>
        <v>0</v>
      </c>
      <c r="L37" s="161">
        <f t="shared" si="6"/>
        <v>0</v>
      </c>
      <c r="M37" s="161">
        <f t="shared" si="6"/>
        <v>0</v>
      </c>
      <c r="N37" s="161">
        <f t="shared" si="6"/>
        <v>5.16</v>
      </c>
      <c r="O37" s="161">
        <v>0</v>
      </c>
    </row>
    <row r="38" spans="1:15" ht="18" customHeight="1">
      <c r="A38" t="s">
        <v>234</v>
      </c>
      <c r="B38" s="584"/>
      <c r="C38" s="157" t="s">
        <v>22</v>
      </c>
      <c r="D38" s="157" t="s">
        <v>282</v>
      </c>
      <c r="E38" s="154">
        <v>852732</v>
      </c>
      <c r="F38" s="154">
        <v>710</v>
      </c>
      <c r="G38" s="158">
        <f t="shared" si="2"/>
        <v>1.9452054794520548</v>
      </c>
      <c r="H38" s="161">
        <f t="shared" si="6"/>
        <v>0</v>
      </c>
      <c r="I38" s="161">
        <f t="shared" si="6"/>
        <v>0.71</v>
      </c>
      <c r="J38" s="161">
        <f t="shared" si="6"/>
        <v>7.1000000000000005</v>
      </c>
      <c r="K38" s="161">
        <f t="shared" si="6"/>
        <v>0</v>
      </c>
      <c r="L38" s="161">
        <f t="shared" si="6"/>
        <v>0</v>
      </c>
      <c r="M38" s="161">
        <f t="shared" si="6"/>
        <v>0</v>
      </c>
      <c r="N38" s="161">
        <f t="shared" si="6"/>
        <v>7.1000000000000005</v>
      </c>
      <c r="O38" s="161">
        <v>0</v>
      </c>
    </row>
    <row r="39" spans="1:15" ht="18" customHeight="1">
      <c r="B39" s="584"/>
      <c r="C39" s="214" t="s">
        <v>23</v>
      </c>
      <c r="D39" s="157" t="s">
        <v>282</v>
      </c>
      <c r="E39" s="215">
        <v>966816</v>
      </c>
      <c r="F39" s="215">
        <v>1224</v>
      </c>
      <c r="G39" s="216">
        <f t="shared" si="2"/>
        <v>3.3534246575342466</v>
      </c>
      <c r="H39" s="217">
        <f t="shared" si="6"/>
        <v>0</v>
      </c>
      <c r="I39" s="217">
        <f t="shared" si="6"/>
        <v>1.224</v>
      </c>
      <c r="J39" s="217">
        <f t="shared" si="6"/>
        <v>12.24</v>
      </c>
      <c r="K39" s="217">
        <f t="shared" si="6"/>
        <v>0</v>
      </c>
      <c r="L39" s="217">
        <f t="shared" si="6"/>
        <v>0</v>
      </c>
      <c r="M39" s="217">
        <f t="shared" si="6"/>
        <v>0</v>
      </c>
      <c r="N39" s="217">
        <f t="shared" si="6"/>
        <v>12.24</v>
      </c>
      <c r="O39" s="161">
        <v>0</v>
      </c>
    </row>
    <row r="40" spans="1:15" ht="18" customHeight="1">
      <c r="B40" s="584"/>
      <c r="C40" s="214" t="s">
        <v>24</v>
      </c>
      <c r="D40" s="157" t="s">
        <v>282</v>
      </c>
      <c r="E40" s="215">
        <v>966816</v>
      </c>
      <c r="F40" s="215">
        <v>1224</v>
      </c>
      <c r="G40" s="216">
        <f t="shared" si="2"/>
        <v>3.3534246575342466</v>
      </c>
      <c r="H40" s="217">
        <f t="shared" si="6"/>
        <v>0</v>
      </c>
      <c r="I40" s="217">
        <f t="shared" si="6"/>
        <v>1.224</v>
      </c>
      <c r="J40" s="217">
        <f t="shared" si="6"/>
        <v>12.24</v>
      </c>
      <c r="K40" s="217">
        <f t="shared" si="6"/>
        <v>0</v>
      </c>
      <c r="L40" s="217">
        <f t="shared" si="6"/>
        <v>0</v>
      </c>
      <c r="M40" s="217">
        <f t="shared" si="6"/>
        <v>0</v>
      </c>
      <c r="N40" s="217">
        <f t="shared" si="6"/>
        <v>12.24</v>
      </c>
      <c r="O40" s="161">
        <v>0</v>
      </c>
    </row>
    <row r="41" spans="1:15" ht="18" customHeight="1">
      <c r="B41" s="584"/>
      <c r="C41" s="214" t="s">
        <v>25</v>
      </c>
      <c r="D41" s="157" t="s">
        <v>282</v>
      </c>
      <c r="E41" s="215">
        <v>966816</v>
      </c>
      <c r="F41" s="215">
        <v>1224</v>
      </c>
      <c r="G41" s="216">
        <f t="shared" si="2"/>
        <v>3.3534246575342466</v>
      </c>
      <c r="H41" s="217">
        <f t="shared" si="6"/>
        <v>0</v>
      </c>
      <c r="I41" s="217">
        <f t="shared" si="6"/>
        <v>1.224</v>
      </c>
      <c r="J41" s="217">
        <f t="shared" si="6"/>
        <v>12.24</v>
      </c>
      <c r="K41" s="217">
        <f t="shared" si="6"/>
        <v>0</v>
      </c>
      <c r="L41" s="217">
        <f t="shared" si="6"/>
        <v>0</v>
      </c>
      <c r="M41" s="217">
        <f t="shared" si="6"/>
        <v>0</v>
      </c>
      <c r="N41" s="217">
        <f t="shared" si="6"/>
        <v>12.24</v>
      </c>
      <c r="O41" s="161">
        <v>0</v>
      </c>
    </row>
    <row r="42" spans="1:15" ht="18" customHeight="1">
      <c r="A42" t="s">
        <v>234</v>
      </c>
      <c r="B42" s="584"/>
      <c r="C42" s="157" t="s">
        <v>26</v>
      </c>
      <c r="D42" s="157" t="s">
        <v>282</v>
      </c>
      <c r="E42" s="154">
        <v>133428</v>
      </c>
      <c r="F42" s="154">
        <v>111</v>
      </c>
      <c r="G42" s="158">
        <f t="shared" si="2"/>
        <v>0.30410958904109592</v>
      </c>
      <c r="H42" s="161">
        <f t="shared" si="6"/>
        <v>0</v>
      </c>
      <c r="I42" s="161">
        <f t="shared" si="6"/>
        <v>0.111</v>
      </c>
      <c r="J42" s="161">
        <f t="shared" si="6"/>
        <v>1.1100000000000001</v>
      </c>
      <c r="K42" s="161">
        <f t="shared" si="6"/>
        <v>0</v>
      </c>
      <c r="L42" s="161">
        <f t="shared" si="6"/>
        <v>0</v>
      </c>
      <c r="M42" s="161">
        <f t="shared" si="6"/>
        <v>0</v>
      </c>
      <c r="N42" s="161">
        <f t="shared" si="6"/>
        <v>1.1100000000000001</v>
      </c>
      <c r="O42" s="161">
        <v>0</v>
      </c>
    </row>
    <row r="43" spans="1:15" ht="18" customHeight="1">
      <c r="A43" t="s">
        <v>234</v>
      </c>
      <c r="B43" s="584"/>
      <c r="C43" s="157" t="s">
        <v>27</v>
      </c>
      <c r="D43" s="157" t="s">
        <v>66</v>
      </c>
      <c r="E43" s="154"/>
      <c r="F43" s="154"/>
      <c r="G43" s="158"/>
      <c r="H43" s="161"/>
      <c r="I43" s="161"/>
      <c r="J43" s="161"/>
      <c r="K43" s="161"/>
      <c r="L43" s="161"/>
      <c r="M43" s="161"/>
      <c r="N43" s="161"/>
      <c r="O43" s="161"/>
    </row>
    <row r="44" spans="1:15" ht="18" customHeight="1">
      <c r="A44" t="s">
        <v>234</v>
      </c>
      <c r="B44" s="584"/>
      <c r="C44" s="157" t="s">
        <v>28</v>
      </c>
      <c r="D44" s="157" t="s">
        <v>282</v>
      </c>
      <c r="E44" s="154">
        <v>378996</v>
      </c>
      <c r="F44" s="154">
        <v>479</v>
      </c>
      <c r="G44" s="159">
        <f t="shared" si="2"/>
        <v>1.3123287671232877</v>
      </c>
      <c r="H44" s="161">
        <f t="shared" ref="H44:N44" si="7">(INDEX($H$80:$O$84,MATCH($D44,$G$80:$G$84,0),MATCH(H$7,$H$79:$O$79,0)))/100*$F44</f>
        <v>0</v>
      </c>
      <c r="I44" s="161">
        <f t="shared" si="7"/>
        <v>0.47900000000000004</v>
      </c>
      <c r="J44" s="161">
        <f t="shared" si="7"/>
        <v>4.79</v>
      </c>
      <c r="K44" s="161">
        <f t="shared" si="7"/>
        <v>0</v>
      </c>
      <c r="L44" s="161">
        <f t="shared" si="7"/>
        <v>0</v>
      </c>
      <c r="M44" s="161">
        <f t="shared" si="7"/>
        <v>0</v>
      </c>
      <c r="N44" s="161">
        <f t="shared" si="7"/>
        <v>4.79</v>
      </c>
      <c r="O44" s="161">
        <v>0</v>
      </c>
    </row>
    <row r="45" spans="1:15" ht="18" customHeight="1">
      <c r="A45" t="s">
        <v>234</v>
      </c>
      <c r="B45" s="584"/>
      <c r="C45" s="157" t="s">
        <v>206</v>
      </c>
      <c r="D45" s="157" t="s">
        <v>66</v>
      </c>
      <c r="E45" s="154"/>
      <c r="F45" s="154"/>
      <c r="G45" s="158"/>
      <c r="H45" s="161"/>
      <c r="I45" s="161"/>
      <c r="J45" s="161"/>
      <c r="K45" s="161"/>
      <c r="L45" s="161"/>
      <c r="M45" s="161"/>
      <c r="N45" s="161"/>
      <c r="O45" s="161"/>
    </row>
    <row r="46" spans="1:15" ht="18" customHeight="1">
      <c r="A46" t="s">
        <v>234</v>
      </c>
      <c r="B46" s="584"/>
      <c r="C46" s="157" t="s">
        <v>29</v>
      </c>
      <c r="D46" s="157" t="s">
        <v>282</v>
      </c>
      <c r="E46" s="154">
        <v>54996</v>
      </c>
      <c r="F46" s="154">
        <v>89.6</v>
      </c>
      <c r="G46" s="158">
        <f t="shared" si="2"/>
        <v>0.24547945205479452</v>
      </c>
      <c r="H46" s="161">
        <f t="shared" ref="H46:N55" si="8">(INDEX($H$80:$O$84,MATCH($D46,$G$80:$G$84,0),MATCH(H$7,$H$79:$O$79,0)))/100*$F46</f>
        <v>0</v>
      </c>
      <c r="I46" s="161">
        <f t="shared" si="8"/>
        <v>8.9599999999999999E-2</v>
      </c>
      <c r="J46" s="161">
        <f t="shared" si="8"/>
        <v>0.89599999999999991</v>
      </c>
      <c r="K46" s="161">
        <f t="shared" si="8"/>
        <v>0</v>
      </c>
      <c r="L46" s="161">
        <f t="shared" si="8"/>
        <v>0</v>
      </c>
      <c r="M46" s="161">
        <f t="shared" si="8"/>
        <v>0</v>
      </c>
      <c r="N46" s="161">
        <f t="shared" si="8"/>
        <v>0.89599999999999991</v>
      </c>
      <c r="O46" s="161">
        <v>0</v>
      </c>
    </row>
    <row r="47" spans="1:15" ht="18" customHeight="1">
      <c r="A47" t="s">
        <v>234</v>
      </c>
      <c r="B47" s="584"/>
      <c r="C47" s="157" t="s">
        <v>30</v>
      </c>
      <c r="D47" s="157" t="s">
        <v>282</v>
      </c>
      <c r="E47" s="154">
        <v>54996</v>
      </c>
      <c r="F47" s="154">
        <v>45.8</v>
      </c>
      <c r="G47" s="158">
        <f t="shared" si="2"/>
        <v>0.12547945205479452</v>
      </c>
      <c r="H47" s="161">
        <f t="shared" si="8"/>
        <v>0</v>
      </c>
      <c r="I47" s="161">
        <f t="shared" si="8"/>
        <v>4.58E-2</v>
      </c>
      <c r="J47" s="161">
        <f t="shared" si="8"/>
        <v>0.45799999999999996</v>
      </c>
      <c r="K47" s="161">
        <f t="shared" si="8"/>
        <v>0</v>
      </c>
      <c r="L47" s="161">
        <f t="shared" si="8"/>
        <v>0</v>
      </c>
      <c r="M47" s="161">
        <f t="shared" si="8"/>
        <v>0</v>
      </c>
      <c r="N47" s="161">
        <f t="shared" si="8"/>
        <v>0.45799999999999996</v>
      </c>
      <c r="O47" s="161">
        <v>0</v>
      </c>
    </row>
    <row r="48" spans="1:15" ht="18" customHeight="1">
      <c r="A48" t="s">
        <v>234</v>
      </c>
      <c r="B48" s="584"/>
      <c r="C48" s="157" t="s">
        <v>31</v>
      </c>
      <c r="D48" s="157" t="s">
        <v>282</v>
      </c>
      <c r="E48" s="154">
        <v>54996</v>
      </c>
      <c r="F48" s="154">
        <v>45.8</v>
      </c>
      <c r="G48" s="158">
        <f t="shared" si="2"/>
        <v>0.12547945205479452</v>
      </c>
      <c r="H48" s="161">
        <f t="shared" si="8"/>
        <v>0</v>
      </c>
      <c r="I48" s="161">
        <f t="shared" si="8"/>
        <v>4.58E-2</v>
      </c>
      <c r="J48" s="161">
        <f t="shared" si="8"/>
        <v>0.45799999999999996</v>
      </c>
      <c r="K48" s="161">
        <f t="shared" si="8"/>
        <v>0</v>
      </c>
      <c r="L48" s="161">
        <f t="shared" si="8"/>
        <v>0</v>
      </c>
      <c r="M48" s="161">
        <f t="shared" si="8"/>
        <v>0</v>
      </c>
      <c r="N48" s="161">
        <f t="shared" si="8"/>
        <v>0.45799999999999996</v>
      </c>
      <c r="O48" s="161">
        <v>0</v>
      </c>
    </row>
    <row r="49" spans="1:20" ht="18" customHeight="1">
      <c r="A49" t="s">
        <v>234</v>
      </c>
      <c r="B49" s="584"/>
      <c r="C49" s="157" t="s">
        <v>32</v>
      </c>
      <c r="D49" s="157" t="s">
        <v>282</v>
      </c>
      <c r="E49" s="154">
        <v>134280</v>
      </c>
      <c r="F49" s="154">
        <v>112</v>
      </c>
      <c r="G49" s="158">
        <f t="shared" si="2"/>
        <v>0.30684931506849317</v>
      </c>
      <c r="H49" s="161">
        <f t="shared" si="8"/>
        <v>0</v>
      </c>
      <c r="I49" s="161">
        <f t="shared" si="8"/>
        <v>0.112</v>
      </c>
      <c r="J49" s="161">
        <f t="shared" si="8"/>
        <v>1.1200000000000001</v>
      </c>
      <c r="K49" s="161">
        <f t="shared" si="8"/>
        <v>0</v>
      </c>
      <c r="L49" s="161">
        <f t="shared" si="8"/>
        <v>0</v>
      </c>
      <c r="M49" s="161">
        <f t="shared" si="8"/>
        <v>0</v>
      </c>
      <c r="N49" s="161">
        <f t="shared" si="8"/>
        <v>1.1200000000000001</v>
      </c>
      <c r="O49" s="161">
        <v>0</v>
      </c>
    </row>
    <row r="50" spans="1:20" ht="18" customHeight="1">
      <c r="A50" t="s">
        <v>234</v>
      </c>
      <c r="B50" s="584"/>
      <c r="C50" s="157" t="s">
        <v>33</v>
      </c>
      <c r="D50" s="157" t="s">
        <v>282</v>
      </c>
      <c r="E50" s="154">
        <v>134280</v>
      </c>
      <c r="F50" s="154">
        <v>112</v>
      </c>
      <c r="G50" s="158">
        <f t="shared" si="2"/>
        <v>0.30684931506849317</v>
      </c>
      <c r="H50" s="161">
        <f t="shared" si="8"/>
        <v>0</v>
      </c>
      <c r="I50" s="161">
        <f t="shared" si="8"/>
        <v>0.112</v>
      </c>
      <c r="J50" s="161">
        <f t="shared" si="8"/>
        <v>1.1200000000000001</v>
      </c>
      <c r="K50" s="161">
        <f t="shared" si="8"/>
        <v>0</v>
      </c>
      <c r="L50" s="161">
        <f t="shared" si="8"/>
        <v>0</v>
      </c>
      <c r="M50" s="161">
        <f t="shared" si="8"/>
        <v>0</v>
      </c>
      <c r="N50" s="161">
        <f t="shared" si="8"/>
        <v>1.1200000000000001</v>
      </c>
      <c r="O50" s="161">
        <v>0</v>
      </c>
    </row>
    <row r="51" spans="1:20" ht="18" customHeight="1">
      <c r="A51" t="s">
        <v>234</v>
      </c>
      <c r="B51" s="584"/>
      <c r="C51" s="157" t="s">
        <v>34</v>
      </c>
      <c r="D51" s="157" t="s">
        <v>282</v>
      </c>
      <c r="E51" s="154">
        <v>54000</v>
      </c>
      <c r="F51" s="154">
        <v>45</v>
      </c>
      <c r="G51" s="158">
        <f t="shared" si="2"/>
        <v>0.12328767123287671</v>
      </c>
      <c r="H51" s="161">
        <f t="shared" si="8"/>
        <v>0</v>
      </c>
      <c r="I51" s="161">
        <f t="shared" si="8"/>
        <v>4.4999999999999998E-2</v>
      </c>
      <c r="J51" s="161">
        <f t="shared" si="8"/>
        <v>0.45</v>
      </c>
      <c r="K51" s="161">
        <f t="shared" si="8"/>
        <v>0</v>
      </c>
      <c r="L51" s="161">
        <f t="shared" si="8"/>
        <v>0</v>
      </c>
      <c r="M51" s="161">
        <f t="shared" si="8"/>
        <v>0</v>
      </c>
      <c r="N51" s="161">
        <f t="shared" si="8"/>
        <v>0.45</v>
      </c>
      <c r="O51" s="161">
        <v>0</v>
      </c>
    </row>
    <row r="52" spans="1:20" ht="18" customHeight="1">
      <c r="A52" t="s">
        <v>234</v>
      </c>
      <c r="B52" s="584"/>
      <c r="C52" s="157" t="s">
        <v>35</v>
      </c>
      <c r="D52" s="157" t="s">
        <v>282</v>
      </c>
      <c r="E52" s="154">
        <v>241704</v>
      </c>
      <c r="F52" s="154">
        <v>201</v>
      </c>
      <c r="G52" s="206">
        <f t="shared" si="2"/>
        <v>0.55068493150684927</v>
      </c>
      <c r="H52" s="161">
        <f t="shared" si="8"/>
        <v>0</v>
      </c>
      <c r="I52" s="161">
        <f t="shared" si="8"/>
        <v>0.20100000000000001</v>
      </c>
      <c r="J52" s="161">
        <f t="shared" si="8"/>
        <v>2.0100000000000002</v>
      </c>
      <c r="K52" s="161">
        <f t="shared" si="8"/>
        <v>0</v>
      </c>
      <c r="L52" s="161">
        <f t="shared" si="8"/>
        <v>0</v>
      </c>
      <c r="M52" s="161">
        <f t="shared" si="8"/>
        <v>0</v>
      </c>
      <c r="N52" s="161">
        <f t="shared" si="8"/>
        <v>2.0100000000000002</v>
      </c>
      <c r="O52" s="161">
        <v>0</v>
      </c>
    </row>
    <row r="53" spans="1:20" ht="18" customHeight="1">
      <c r="B53" s="584"/>
      <c r="C53" s="214" t="s">
        <v>36</v>
      </c>
      <c r="D53" s="157" t="s">
        <v>282</v>
      </c>
      <c r="E53" s="215">
        <v>671400</v>
      </c>
      <c r="F53" s="215">
        <v>559</v>
      </c>
      <c r="G53" s="218">
        <f t="shared" si="2"/>
        <v>1.5315068493150685</v>
      </c>
      <c r="H53" s="217">
        <f t="shared" si="8"/>
        <v>0</v>
      </c>
      <c r="I53" s="217">
        <f t="shared" si="8"/>
        <v>0.55900000000000005</v>
      </c>
      <c r="J53" s="217">
        <f t="shared" si="8"/>
        <v>5.59</v>
      </c>
      <c r="K53" s="217">
        <f t="shared" si="8"/>
        <v>0</v>
      </c>
      <c r="L53" s="217">
        <f t="shared" si="8"/>
        <v>0</v>
      </c>
      <c r="M53" s="217">
        <f t="shared" si="8"/>
        <v>0</v>
      </c>
      <c r="N53" s="217">
        <f t="shared" si="8"/>
        <v>5.59</v>
      </c>
      <c r="O53" s="161">
        <v>0</v>
      </c>
    </row>
    <row r="54" spans="1:20" ht="18" customHeight="1">
      <c r="A54" t="s">
        <v>234</v>
      </c>
      <c r="B54" s="584"/>
      <c r="C54" s="157" t="s">
        <v>37</v>
      </c>
      <c r="D54" s="157" t="s">
        <v>282</v>
      </c>
      <c r="E54" s="154">
        <v>966816</v>
      </c>
      <c r="F54" s="154">
        <v>806</v>
      </c>
      <c r="G54" s="158">
        <f t="shared" si="2"/>
        <v>2.2082191780821918</v>
      </c>
      <c r="H54" s="161">
        <f t="shared" si="8"/>
        <v>0</v>
      </c>
      <c r="I54" s="161">
        <f t="shared" si="8"/>
        <v>0.80600000000000005</v>
      </c>
      <c r="J54" s="161">
        <f t="shared" si="8"/>
        <v>8.06</v>
      </c>
      <c r="K54" s="161">
        <f t="shared" si="8"/>
        <v>0</v>
      </c>
      <c r="L54" s="161">
        <f t="shared" si="8"/>
        <v>0</v>
      </c>
      <c r="M54" s="161">
        <f t="shared" si="8"/>
        <v>0</v>
      </c>
      <c r="N54" s="161">
        <f t="shared" si="8"/>
        <v>8.06</v>
      </c>
      <c r="O54" s="161">
        <v>0</v>
      </c>
    </row>
    <row r="55" spans="1:20" ht="18" customHeight="1">
      <c r="B55" s="584"/>
      <c r="C55" s="157" t="s">
        <v>284</v>
      </c>
      <c r="D55" s="157" t="s">
        <v>282</v>
      </c>
      <c r="E55" s="154">
        <v>11328</v>
      </c>
      <c r="F55" s="154">
        <v>9.44</v>
      </c>
      <c r="G55" s="158">
        <f>F55/365</f>
        <v>2.5863013698630137E-2</v>
      </c>
      <c r="H55" s="161">
        <f t="shared" si="8"/>
        <v>0</v>
      </c>
      <c r="I55" s="161">
        <f t="shared" si="8"/>
        <v>9.4400000000000005E-3</v>
      </c>
      <c r="J55" s="161">
        <f t="shared" si="8"/>
        <v>9.4399999999999998E-2</v>
      </c>
      <c r="K55" s="161">
        <f t="shared" si="8"/>
        <v>0</v>
      </c>
      <c r="L55" s="161">
        <f t="shared" si="8"/>
        <v>0</v>
      </c>
      <c r="M55" s="161">
        <f t="shared" si="8"/>
        <v>0</v>
      </c>
      <c r="N55" s="161">
        <f t="shared" si="8"/>
        <v>9.4399999999999998E-2</v>
      </c>
      <c r="O55" s="161">
        <v>0</v>
      </c>
      <c r="T55" s="2"/>
    </row>
    <row r="56" spans="1:20" ht="18" customHeight="1">
      <c r="A56" t="s">
        <v>234</v>
      </c>
      <c r="B56" s="584"/>
      <c r="C56" s="157" t="s">
        <v>9</v>
      </c>
      <c r="D56" s="157" t="s">
        <v>282</v>
      </c>
      <c r="E56" s="154">
        <v>11328</v>
      </c>
      <c r="F56" s="154">
        <v>9.44</v>
      </c>
      <c r="G56" s="158">
        <f>F56/365</f>
        <v>2.5863013698630137E-2</v>
      </c>
      <c r="H56" s="161">
        <f t="shared" ref="H56:N66" si="9">(INDEX($H$80:$O$84,MATCH($D56,$G$80:$G$84,0),MATCH(H$7,$H$79:$O$79,0)))/100*$F56</f>
        <v>0</v>
      </c>
      <c r="I56" s="161">
        <f t="shared" si="9"/>
        <v>9.4400000000000005E-3</v>
      </c>
      <c r="J56" s="161">
        <f t="shared" si="9"/>
        <v>9.4399999999999998E-2</v>
      </c>
      <c r="K56" s="161">
        <f t="shared" si="9"/>
        <v>0</v>
      </c>
      <c r="L56" s="161">
        <f t="shared" si="9"/>
        <v>0</v>
      </c>
      <c r="M56" s="161">
        <f t="shared" si="9"/>
        <v>0</v>
      </c>
      <c r="N56" s="161">
        <f t="shared" si="9"/>
        <v>9.4399999999999998E-2</v>
      </c>
      <c r="O56" s="161">
        <v>0</v>
      </c>
    </row>
    <row r="57" spans="1:20" ht="18" customHeight="1">
      <c r="A57" t="s">
        <v>234</v>
      </c>
      <c r="B57" s="584"/>
      <c r="C57" s="157" t="s">
        <v>10</v>
      </c>
      <c r="D57" s="157" t="s">
        <v>282</v>
      </c>
      <c r="E57" s="154">
        <v>11328</v>
      </c>
      <c r="F57" s="154">
        <v>9.44</v>
      </c>
      <c r="G57" s="158">
        <f>F57/365</f>
        <v>2.5863013698630137E-2</v>
      </c>
      <c r="H57" s="161">
        <f t="shared" si="9"/>
        <v>0</v>
      </c>
      <c r="I57" s="161">
        <f t="shared" si="9"/>
        <v>9.4400000000000005E-3</v>
      </c>
      <c r="J57" s="161">
        <f t="shared" si="9"/>
        <v>9.4399999999999998E-2</v>
      </c>
      <c r="K57" s="161">
        <f t="shared" si="9"/>
        <v>0</v>
      </c>
      <c r="L57" s="161">
        <f t="shared" si="9"/>
        <v>0</v>
      </c>
      <c r="M57" s="161">
        <f t="shared" si="9"/>
        <v>0</v>
      </c>
      <c r="N57" s="161">
        <f t="shared" si="9"/>
        <v>9.4399999999999998E-2</v>
      </c>
      <c r="O57" s="161">
        <v>0</v>
      </c>
    </row>
    <row r="58" spans="1:20" ht="18" customHeight="1">
      <c r="A58" t="s">
        <v>231</v>
      </c>
      <c r="B58" s="584"/>
      <c r="C58" s="157" t="s">
        <v>38</v>
      </c>
      <c r="D58" s="157" t="s">
        <v>282</v>
      </c>
      <c r="E58" s="154">
        <v>38676</v>
      </c>
      <c r="F58" s="154">
        <v>32.200000000000003</v>
      </c>
      <c r="G58" s="158">
        <f t="shared" si="2"/>
        <v>8.821917808219179E-2</v>
      </c>
      <c r="H58" s="161">
        <f t="shared" si="9"/>
        <v>0</v>
      </c>
      <c r="I58" s="161">
        <f t="shared" si="9"/>
        <v>3.2200000000000006E-2</v>
      </c>
      <c r="J58" s="161">
        <f t="shared" si="9"/>
        <v>0.32200000000000001</v>
      </c>
      <c r="K58" s="161">
        <f t="shared" si="9"/>
        <v>0</v>
      </c>
      <c r="L58" s="161">
        <f t="shared" si="9"/>
        <v>0</v>
      </c>
      <c r="M58" s="161">
        <f t="shared" si="9"/>
        <v>0</v>
      </c>
      <c r="N58" s="161">
        <f t="shared" si="9"/>
        <v>0.32200000000000001</v>
      </c>
      <c r="O58" s="161">
        <v>0</v>
      </c>
    </row>
    <row r="59" spans="1:20" ht="18" customHeight="1">
      <c r="A59" t="s">
        <v>231</v>
      </c>
      <c r="B59" s="584"/>
      <c r="C59" s="157" t="s">
        <v>39</v>
      </c>
      <c r="D59" s="157" t="s">
        <v>282</v>
      </c>
      <c r="E59" s="154">
        <v>38676</v>
      </c>
      <c r="F59" s="154">
        <v>32.200000000000003</v>
      </c>
      <c r="G59" s="158">
        <f t="shared" si="2"/>
        <v>8.821917808219179E-2</v>
      </c>
      <c r="H59" s="161">
        <f t="shared" si="9"/>
        <v>0</v>
      </c>
      <c r="I59" s="161">
        <f t="shared" si="9"/>
        <v>3.2200000000000006E-2</v>
      </c>
      <c r="J59" s="161">
        <f t="shared" si="9"/>
        <v>0.32200000000000001</v>
      </c>
      <c r="K59" s="161">
        <f t="shared" si="9"/>
        <v>0</v>
      </c>
      <c r="L59" s="161">
        <f t="shared" si="9"/>
        <v>0</v>
      </c>
      <c r="M59" s="161">
        <f t="shared" si="9"/>
        <v>0</v>
      </c>
      <c r="N59" s="161">
        <f t="shared" si="9"/>
        <v>0.32200000000000001</v>
      </c>
      <c r="O59" s="161">
        <v>0</v>
      </c>
    </row>
    <row r="60" spans="1:20" ht="18" customHeight="1">
      <c r="A60" t="s">
        <v>231</v>
      </c>
      <c r="B60" s="584"/>
      <c r="C60" s="157" t="s">
        <v>40</v>
      </c>
      <c r="D60" s="157" t="s">
        <v>282</v>
      </c>
      <c r="E60" s="154">
        <v>38676</v>
      </c>
      <c r="F60" s="154">
        <v>32.200000000000003</v>
      </c>
      <c r="G60" s="158">
        <f t="shared" si="2"/>
        <v>8.821917808219179E-2</v>
      </c>
      <c r="H60" s="161">
        <f t="shared" si="9"/>
        <v>0</v>
      </c>
      <c r="I60" s="161">
        <f t="shared" si="9"/>
        <v>3.2200000000000006E-2</v>
      </c>
      <c r="J60" s="161">
        <f t="shared" si="9"/>
        <v>0.32200000000000001</v>
      </c>
      <c r="K60" s="161">
        <f t="shared" si="9"/>
        <v>0</v>
      </c>
      <c r="L60" s="161">
        <f t="shared" si="9"/>
        <v>0</v>
      </c>
      <c r="M60" s="161">
        <f t="shared" si="9"/>
        <v>0</v>
      </c>
      <c r="N60" s="161">
        <f t="shared" si="9"/>
        <v>0.32200000000000001</v>
      </c>
      <c r="O60" s="161">
        <v>0</v>
      </c>
    </row>
    <row r="61" spans="1:20" ht="18" customHeight="1">
      <c r="A61" t="s">
        <v>231</v>
      </c>
      <c r="B61" s="584"/>
      <c r="C61" s="157" t="s">
        <v>41</v>
      </c>
      <c r="D61" s="157" t="s">
        <v>282</v>
      </c>
      <c r="E61" s="154">
        <v>38676</v>
      </c>
      <c r="F61" s="154">
        <v>32.200000000000003</v>
      </c>
      <c r="G61" s="158">
        <f t="shared" si="2"/>
        <v>8.821917808219179E-2</v>
      </c>
      <c r="H61" s="161">
        <f t="shared" si="9"/>
        <v>0</v>
      </c>
      <c r="I61" s="161">
        <f t="shared" si="9"/>
        <v>3.2200000000000006E-2</v>
      </c>
      <c r="J61" s="161">
        <f t="shared" si="9"/>
        <v>0.32200000000000001</v>
      </c>
      <c r="K61" s="161">
        <f t="shared" si="9"/>
        <v>0</v>
      </c>
      <c r="L61" s="161">
        <f t="shared" si="9"/>
        <v>0</v>
      </c>
      <c r="M61" s="161">
        <f t="shared" si="9"/>
        <v>0</v>
      </c>
      <c r="N61" s="161">
        <f t="shared" si="9"/>
        <v>0.32200000000000001</v>
      </c>
      <c r="O61" s="161">
        <v>0</v>
      </c>
    </row>
    <row r="62" spans="1:20" ht="18" customHeight="1">
      <c r="A62" t="s">
        <v>231</v>
      </c>
      <c r="B62" s="584"/>
      <c r="C62" s="157" t="s">
        <v>42</v>
      </c>
      <c r="D62" s="157" t="s">
        <v>282</v>
      </c>
      <c r="E62" s="154">
        <v>38676</v>
      </c>
      <c r="F62" s="154">
        <v>32.200000000000003</v>
      </c>
      <c r="G62" s="158">
        <f t="shared" si="2"/>
        <v>8.821917808219179E-2</v>
      </c>
      <c r="H62" s="161">
        <f t="shared" si="9"/>
        <v>0</v>
      </c>
      <c r="I62" s="161">
        <f t="shared" si="9"/>
        <v>3.2200000000000006E-2</v>
      </c>
      <c r="J62" s="161">
        <f t="shared" si="9"/>
        <v>0.32200000000000001</v>
      </c>
      <c r="K62" s="161">
        <f t="shared" si="9"/>
        <v>0</v>
      </c>
      <c r="L62" s="161">
        <f t="shared" si="9"/>
        <v>0</v>
      </c>
      <c r="M62" s="161">
        <f t="shared" si="9"/>
        <v>0</v>
      </c>
      <c r="N62" s="161">
        <f t="shared" si="9"/>
        <v>0.32200000000000001</v>
      </c>
      <c r="O62" s="161">
        <v>0</v>
      </c>
    </row>
    <row r="63" spans="1:20" ht="18" customHeight="1">
      <c r="A63" t="s">
        <v>234</v>
      </c>
      <c r="B63" s="584"/>
      <c r="C63" s="157" t="s">
        <v>43</v>
      </c>
      <c r="D63" s="157" t="s">
        <v>282</v>
      </c>
      <c r="E63" s="154">
        <v>63480</v>
      </c>
      <c r="F63" s="154">
        <v>103</v>
      </c>
      <c r="G63" s="158">
        <f t="shared" si="2"/>
        <v>0.28219178082191781</v>
      </c>
      <c r="H63" s="161">
        <f t="shared" si="9"/>
        <v>0</v>
      </c>
      <c r="I63" s="161">
        <f t="shared" si="9"/>
        <v>0.10300000000000001</v>
      </c>
      <c r="J63" s="161">
        <f t="shared" si="9"/>
        <v>1.03</v>
      </c>
      <c r="K63" s="161">
        <f t="shared" si="9"/>
        <v>0</v>
      </c>
      <c r="L63" s="161">
        <f t="shared" si="9"/>
        <v>0</v>
      </c>
      <c r="M63" s="161">
        <f t="shared" si="9"/>
        <v>0</v>
      </c>
      <c r="N63" s="161">
        <f t="shared" si="9"/>
        <v>1.03</v>
      </c>
      <c r="O63" s="161">
        <v>0</v>
      </c>
    </row>
    <row r="64" spans="1:20" ht="18" customHeight="1">
      <c r="A64" t="s">
        <v>234</v>
      </c>
      <c r="B64" s="584"/>
      <c r="C64" s="157" t="s">
        <v>44</v>
      </c>
      <c r="D64" s="157" t="s">
        <v>282</v>
      </c>
      <c r="E64" s="154">
        <v>63480</v>
      </c>
      <c r="F64" s="154">
        <v>103</v>
      </c>
      <c r="G64" s="158">
        <f t="shared" si="2"/>
        <v>0.28219178082191781</v>
      </c>
      <c r="H64" s="161">
        <f t="shared" si="9"/>
        <v>0</v>
      </c>
      <c r="I64" s="161">
        <f t="shared" si="9"/>
        <v>0.10300000000000001</v>
      </c>
      <c r="J64" s="161">
        <f t="shared" si="9"/>
        <v>1.03</v>
      </c>
      <c r="K64" s="161">
        <f t="shared" si="9"/>
        <v>0</v>
      </c>
      <c r="L64" s="161">
        <f t="shared" si="9"/>
        <v>0</v>
      </c>
      <c r="M64" s="161">
        <f t="shared" si="9"/>
        <v>0</v>
      </c>
      <c r="N64" s="161">
        <f t="shared" si="9"/>
        <v>1.03</v>
      </c>
      <c r="O64" s="161">
        <v>0</v>
      </c>
    </row>
    <row r="65" spans="1:18" ht="18" customHeight="1">
      <c r="A65" t="s">
        <v>234</v>
      </c>
      <c r="B65" s="584"/>
      <c r="C65" s="157" t="s">
        <v>45</v>
      </c>
      <c r="D65" s="157" t="s">
        <v>282</v>
      </c>
      <c r="E65" s="154">
        <v>63444</v>
      </c>
      <c r="F65" s="154">
        <v>103</v>
      </c>
      <c r="G65" s="158">
        <f t="shared" si="2"/>
        <v>0.28219178082191781</v>
      </c>
      <c r="H65" s="161">
        <f t="shared" si="9"/>
        <v>0</v>
      </c>
      <c r="I65" s="161">
        <f t="shared" si="9"/>
        <v>0.10300000000000001</v>
      </c>
      <c r="J65" s="161">
        <f t="shared" si="9"/>
        <v>1.03</v>
      </c>
      <c r="K65" s="161">
        <f t="shared" si="9"/>
        <v>0</v>
      </c>
      <c r="L65" s="161">
        <f t="shared" si="9"/>
        <v>0</v>
      </c>
      <c r="M65" s="161">
        <f t="shared" si="9"/>
        <v>0</v>
      </c>
      <c r="N65" s="161">
        <f t="shared" si="9"/>
        <v>1.03</v>
      </c>
      <c r="O65" s="161">
        <v>0</v>
      </c>
    </row>
    <row r="66" spans="1:18" ht="18" customHeight="1">
      <c r="A66" t="s">
        <v>234</v>
      </c>
      <c r="B66" s="585"/>
      <c r="C66" s="157" t="s">
        <v>46</v>
      </c>
      <c r="D66" s="157" t="s">
        <v>282</v>
      </c>
      <c r="E66" s="154">
        <v>63444</v>
      </c>
      <c r="F66" s="154">
        <v>103</v>
      </c>
      <c r="G66" s="158">
        <f t="shared" ref="G66" si="10">F66/365</f>
        <v>0.28219178082191781</v>
      </c>
      <c r="H66" s="161">
        <f t="shared" si="9"/>
        <v>0</v>
      </c>
      <c r="I66" s="161">
        <f t="shared" si="9"/>
        <v>0.10300000000000001</v>
      </c>
      <c r="J66" s="161">
        <f t="shared" si="9"/>
        <v>1.03</v>
      </c>
      <c r="K66" s="161">
        <f t="shared" si="9"/>
        <v>0</v>
      </c>
      <c r="L66" s="161">
        <f t="shared" si="9"/>
        <v>0</v>
      </c>
      <c r="M66" s="161">
        <f t="shared" si="9"/>
        <v>0</v>
      </c>
      <c r="N66" s="161">
        <f t="shared" si="9"/>
        <v>1.03</v>
      </c>
      <c r="O66" s="161">
        <v>0</v>
      </c>
    </row>
    <row r="67" spans="1:18" ht="28" customHeight="1">
      <c r="E67" s="127"/>
      <c r="F67" s="2"/>
      <c r="G67" s="2">
        <f t="shared" ref="G67" si="11">SUM(G8:G66)</f>
        <v>149.67660273972601</v>
      </c>
      <c r="H67" s="129">
        <f t="shared" ref="H67:O67" si="12">SUM(H8:H66)</f>
        <v>1984.6500000000003</v>
      </c>
      <c r="I67" s="129">
        <f t="shared" si="12"/>
        <v>2822.8609600000023</v>
      </c>
      <c r="J67" s="129">
        <f t="shared" si="12"/>
        <v>3548.8196000000007</v>
      </c>
      <c r="K67" s="129">
        <f t="shared" si="12"/>
        <v>2778.51</v>
      </c>
      <c r="L67" s="129">
        <f t="shared" si="12"/>
        <v>2778.51</v>
      </c>
      <c r="M67" s="129">
        <f t="shared" si="12"/>
        <v>3.2680000000000002</v>
      </c>
      <c r="N67" s="129">
        <f t="shared" si="12"/>
        <v>513.63959999999997</v>
      </c>
      <c r="O67" s="129">
        <f t="shared" si="12"/>
        <v>198.46499999999997</v>
      </c>
    </row>
    <row r="68" spans="1:18">
      <c r="H68" s="7"/>
      <c r="I68" s="7"/>
      <c r="J68" s="7"/>
      <c r="K68" s="7"/>
      <c r="L68" s="7"/>
      <c r="M68" s="7"/>
      <c r="N68" s="7"/>
      <c r="O68" s="7"/>
      <c r="Q68" s="128"/>
      <c r="R68" s="128"/>
    </row>
    <row r="69" spans="1:18">
      <c r="E69" s="415" t="s">
        <v>63</v>
      </c>
      <c r="F69" s="416">
        <f>SUM(F8:F66)/2000</f>
        <v>27.315980000000003</v>
      </c>
      <c r="G69" s="417" t="s">
        <v>249</v>
      </c>
      <c r="H69" s="143"/>
      <c r="I69" s="143"/>
      <c r="J69" s="143"/>
      <c r="K69" s="7" t="s">
        <v>220</v>
      </c>
      <c r="L69" s="128">
        <f>SUM(H67:N67)</f>
        <v>14430.258160000003</v>
      </c>
      <c r="M69" s="413" t="s">
        <v>441</v>
      </c>
      <c r="N69" s="414">
        <f>H67+I67+J67+K67+L67+M67+N67</f>
        <v>14430.258160000003</v>
      </c>
      <c r="O69" s="249" t="s">
        <v>62</v>
      </c>
      <c r="P69" s="143"/>
      <c r="Q69" s="143"/>
    </row>
    <row r="70" spans="1:18">
      <c r="E70" s="418" t="s">
        <v>438</v>
      </c>
      <c r="F70" s="419">
        <f>N69/2000</f>
        <v>7.2151290800000014</v>
      </c>
      <c r="G70" s="420" t="s">
        <v>249</v>
      </c>
      <c r="H70" s="143"/>
      <c r="I70" s="143"/>
      <c r="J70" s="143"/>
      <c r="K70" s="143"/>
      <c r="L70" s="143"/>
      <c r="M70" s="143" t="s">
        <v>443</v>
      </c>
      <c r="P70" s="143"/>
      <c r="Q70" s="143"/>
    </row>
    <row r="71" spans="1:18">
      <c r="C71" t="s">
        <v>71</v>
      </c>
      <c r="E71" s="127"/>
      <c r="F71" s="167"/>
      <c r="H71" s="143"/>
      <c r="I71" s="143"/>
      <c r="J71" s="143"/>
      <c r="K71" s="143"/>
      <c r="L71" s="143"/>
      <c r="M71" s="143"/>
      <c r="P71" s="143"/>
      <c r="Q71" s="143"/>
    </row>
    <row r="72" spans="1:18">
      <c r="C72" t="s">
        <v>250</v>
      </c>
      <c r="E72" s="127"/>
      <c r="F72" s="167"/>
      <c r="H72" s="143"/>
      <c r="I72" s="143"/>
      <c r="J72" s="143"/>
      <c r="K72" s="143"/>
      <c r="L72" s="143"/>
      <c r="P72" s="143"/>
      <c r="Q72" s="143"/>
    </row>
    <row r="73" spans="1:18">
      <c r="C73" t="s">
        <v>440</v>
      </c>
      <c r="E73" s="127"/>
      <c r="F73" s="167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</row>
    <row r="74" spans="1:18">
      <c r="E74" s="127"/>
      <c r="F74" s="167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</row>
    <row r="76" spans="1:18" ht="15.45">
      <c r="F76" s="162" t="s">
        <v>444</v>
      </c>
      <c r="P76" s="3"/>
    </row>
    <row r="77" spans="1:18">
      <c r="H77" s="577" t="s">
        <v>381</v>
      </c>
      <c r="I77" s="578"/>
      <c r="J77" s="578"/>
      <c r="K77" s="578"/>
      <c r="L77" s="578"/>
      <c r="M77" s="578"/>
      <c r="N77" s="578"/>
      <c r="O77" s="579"/>
    </row>
    <row r="78" spans="1:18">
      <c r="H78" s="125" t="s">
        <v>144</v>
      </c>
      <c r="I78" s="125" t="s">
        <v>145</v>
      </c>
      <c r="J78" s="125" t="s">
        <v>146</v>
      </c>
      <c r="K78" s="125" t="s">
        <v>147</v>
      </c>
      <c r="L78" s="125" t="s">
        <v>148</v>
      </c>
      <c r="M78" s="125" t="s">
        <v>173</v>
      </c>
      <c r="N78" s="125" t="s">
        <v>149</v>
      </c>
      <c r="O78" s="489" t="s">
        <v>174</v>
      </c>
    </row>
    <row r="79" spans="1:18" ht="66" customHeight="1">
      <c r="F79" s="125" t="s">
        <v>217</v>
      </c>
      <c r="G79" s="125" t="s">
        <v>64</v>
      </c>
      <c r="H79" s="125" t="s">
        <v>53</v>
      </c>
      <c r="I79" s="125" t="s">
        <v>50</v>
      </c>
      <c r="J79" s="125" t="s">
        <v>54</v>
      </c>
      <c r="K79" s="125" t="s">
        <v>170</v>
      </c>
      <c r="L79" s="125" t="s">
        <v>51</v>
      </c>
      <c r="M79" s="125" t="s">
        <v>380</v>
      </c>
      <c r="N79" s="125" t="s">
        <v>55</v>
      </c>
      <c r="O79" s="125" t="s">
        <v>417</v>
      </c>
    </row>
    <row r="80" spans="1:18" ht="26.05" customHeight="1">
      <c r="F80" s="163" t="s">
        <v>218</v>
      </c>
      <c r="G80" s="157" t="s">
        <v>65</v>
      </c>
      <c r="H80" s="166">
        <v>5</v>
      </c>
      <c r="I80" s="166">
        <v>7</v>
      </c>
      <c r="J80" s="166">
        <v>7</v>
      </c>
      <c r="K80" s="166">
        <v>7</v>
      </c>
      <c r="L80" s="166">
        <v>7</v>
      </c>
      <c r="M80" s="166"/>
      <c r="N80" s="166">
        <v>1</v>
      </c>
      <c r="O80" s="166">
        <v>0.5</v>
      </c>
    </row>
    <row r="81" spans="6:15" ht="26.05" customHeight="1">
      <c r="F81" s="163" t="s">
        <v>219</v>
      </c>
      <c r="G81" s="157" t="s">
        <v>6</v>
      </c>
      <c r="H81" s="166"/>
      <c r="I81" s="166">
        <v>1</v>
      </c>
      <c r="J81" s="166">
        <v>20</v>
      </c>
      <c r="K81" s="166"/>
      <c r="L81" s="166"/>
      <c r="M81" s="166">
        <v>0.1</v>
      </c>
      <c r="N81" s="166"/>
      <c r="O81" s="166"/>
    </row>
    <row r="82" spans="6:15" ht="26.05" customHeight="1">
      <c r="F82" s="163" t="s">
        <v>373</v>
      </c>
      <c r="G82" s="157" t="s">
        <v>282</v>
      </c>
      <c r="H82" s="166"/>
      <c r="I82" s="166">
        <v>0.1</v>
      </c>
      <c r="J82" s="166">
        <v>1</v>
      </c>
      <c r="K82" s="166"/>
      <c r="L82" s="166"/>
      <c r="M82" s="166"/>
      <c r="N82" s="166">
        <v>1</v>
      </c>
      <c r="O82" s="166"/>
    </row>
    <row r="83" spans="6:15" ht="26.05" customHeight="1">
      <c r="F83" s="163" t="s">
        <v>374</v>
      </c>
      <c r="G83" s="157" t="s">
        <v>283</v>
      </c>
      <c r="H83" s="166">
        <v>5</v>
      </c>
      <c r="I83" s="166">
        <v>0.1</v>
      </c>
      <c r="J83" s="166">
        <v>0.1</v>
      </c>
      <c r="K83" s="166"/>
      <c r="L83" s="166"/>
      <c r="M83" s="166"/>
      <c r="N83" s="166"/>
      <c r="O83" s="166"/>
    </row>
    <row r="84" spans="6:15" ht="26.05" customHeight="1">
      <c r="F84" s="163" t="s">
        <v>375</v>
      </c>
      <c r="G84" s="157" t="s">
        <v>207</v>
      </c>
      <c r="H84" s="166">
        <v>1</v>
      </c>
      <c r="I84" s="166">
        <v>1</v>
      </c>
      <c r="J84" s="166">
        <v>1</v>
      </c>
      <c r="K84" s="166">
        <v>1</v>
      </c>
      <c r="L84" s="166"/>
      <c r="M84" s="166"/>
      <c r="N84" s="166"/>
      <c r="O84" s="166"/>
    </row>
    <row r="85" spans="6:15">
      <c r="F85" s="126" t="s">
        <v>376</v>
      </c>
    </row>
    <row r="86" spans="6:15">
      <c r="F86" t="s">
        <v>377</v>
      </c>
    </row>
    <row r="87" spans="6:15">
      <c r="F87" s="126" t="s">
        <v>385</v>
      </c>
    </row>
    <row r="88" spans="6:15">
      <c r="F88" s="126" t="s">
        <v>378</v>
      </c>
    </row>
    <row r="89" spans="6:15">
      <c r="F89" s="126" t="s">
        <v>379</v>
      </c>
      <c r="J89" s="7"/>
    </row>
    <row r="93" spans="6:15">
      <c r="H93" s="1"/>
      <c r="M93" s="1"/>
    </row>
    <row r="98" spans="8:20">
      <c r="P98" s="153"/>
      <c r="Q98" s="153"/>
      <c r="R98" s="153"/>
      <c r="S98" s="153"/>
      <c r="T98" s="153"/>
    </row>
    <row r="99" spans="8:20">
      <c r="H99" s="409"/>
      <c r="P99" s="153"/>
      <c r="Q99" s="153"/>
      <c r="R99" s="153"/>
      <c r="S99" s="153"/>
      <c r="T99" s="153"/>
    </row>
    <row r="100" spans="8:20" ht="15.9">
      <c r="M100" s="492"/>
      <c r="P100" s="153"/>
      <c r="Q100" s="153"/>
      <c r="R100" s="153"/>
      <c r="S100" s="153"/>
      <c r="T100" s="153"/>
    </row>
    <row r="101" spans="8:20">
      <c r="H101" s="127"/>
      <c r="I101" s="410"/>
      <c r="J101" s="7"/>
      <c r="M101" s="127"/>
      <c r="N101" s="7"/>
      <c r="P101" s="153"/>
      <c r="Q101" s="153"/>
      <c r="R101" s="153"/>
      <c r="S101" s="153"/>
      <c r="T101" s="153"/>
    </row>
    <row r="102" spans="8:20">
      <c r="P102" s="153"/>
      <c r="Q102" s="153"/>
      <c r="R102" s="153"/>
      <c r="S102" s="153"/>
      <c r="T102" s="153"/>
    </row>
    <row r="104" spans="8:20">
      <c r="H104" s="7"/>
    </row>
    <row r="106" spans="8:20">
      <c r="I106" s="3"/>
      <c r="J106" s="411"/>
    </row>
    <row r="107" spans="8:20">
      <c r="I107" s="3"/>
      <c r="J107" s="412"/>
    </row>
    <row r="108" spans="8:20">
      <c r="I108" s="3"/>
      <c r="J108" s="412"/>
    </row>
    <row r="113" spans="3:10" ht="14.05" customHeight="1">
      <c r="H113" s="571"/>
      <c r="I113" s="571"/>
      <c r="J113" s="571"/>
    </row>
    <row r="114" spans="3:10">
      <c r="H114" s="571"/>
      <c r="I114" s="571"/>
      <c r="J114" s="571"/>
    </row>
    <row r="115" spans="3:10">
      <c r="H115" s="571"/>
      <c r="I115" s="571"/>
      <c r="J115" s="571"/>
    </row>
    <row r="116" spans="3:10">
      <c r="C116" s="1"/>
      <c r="D116" s="1"/>
      <c r="E116" s="1"/>
    </row>
  </sheetData>
  <sheetProtection algorithmName="SHA-512" hashValue="12eCWcFZP7t4A/fE/ExndiQ3TvjJw5cqQ38hRqz4BiKCXuJFOsaVFNQOdZN8J2KbLOKEX49pK1zzg0KEAT4u9g==" saltValue="9W6BFPkZD2SYyY/A9v7Lfw==" spinCount="100000" sheet="1" objects="1" scenarios="1"/>
  <mergeCells count="8">
    <mergeCell ref="H113:J115"/>
    <mergeCell ref="C6:F6"/>
    <mergeCell ref="B8:B10"/>
    <mergeCell ref="H5:O5"/>
    <mergeCell ref="H77:O77"/>
    <mergeCell ref="B11:B17"/>
    <mergeCell ref="B18:B32"/>
    <mergeCell ref="B33:B66"/>
  </mergeCells>
  <phoneticPr fontId="48" type="noConversion"/>
  <pageMargins left="0.7" right="0.7" top="0.75" bottom="0.75" header="0.3" footer="0.3"/>
  <pageSetup paperSize="3" scale="7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>
    <tabColor rgb="FF00B050"/>
    <pageSetUpPr fitToPage="1"/>
  </sheetPr>
  <dimension ref="A1:N88"/>
  <sheetViews>
    <sheetView topLeftCell="A41" workbookViewId="0"/>
  </sheetViews>
  <sheetFormatPr defaultColWidth="10.84375" defaultRowHeight="15.9"/>
  <cols>
    <col min="1" max="1" width="25.4609375" style="119" customWidth="1"/>
    <col min="2" max="2" width="20.3046875" style="119" customWidth="1"/>
    <col min="3" max="3" width="16.69140625" style="119" customWidth="1"/>
    <col min="4" max="4" width="14.84375" style="119" customWidth="1"/>
    <col min="5" max="5" width="14.69140625" style="119" customWidth="1"/>
    <col min="6" max="6" width="11.3046875" style="119" customWidth="1"/>
    <col min="7" max="9" width="7.84375" style="119" customWidth="1"/>
    <col min="10" max="11" width="11" style="119" customWidth="1"/>
    <col min="12" max="12" width="13.15234375" style="119" customWidth="1"/>
    <col min="13" max="13" width="10.84375" style="119" customWidth="1"/>
    <col min="14" max="16384" width="10.84375" style="119"/>
  </cols>
  <sheetData>
    <row r="1" spans="1:12" ht="18.45">
      <c r="A1" s="502" t="s">
        <v>429</v>
      </c>
    </row>
    <row r="2" spans="1:12" s="44" customFormat="1" ht="20.6">
      <c r="A2" s="120" t="s">
        <v>411</v>
      </c>
      <c r="B2" s="99"/>
      <c r="E2"/>
      <c r="F2"/>
    </row>
    <row r="3" spans="1:12" s="44" customFormat="1" ht="14.6">
      <c r="A3" s="111"/>
      <c r="B3" s="99"/>
      <c r="E3"/>
      <c r="F3"/>
    </row>
    <row r="4" spans="1:12" s="44" customFormat="1" ht="25" customHeight="1">
      <c r="A4" s="171"/>
      <c r="B4" s="99"/>
      <c r="E4"/>
      <c r="F4"/>
    </row>
    <row r="6" spans="1:12">
      <c r="A6" s="121" t="s">
        <v>427</v>
      </c>
      <c r="H6" s="156"/>
      <c r="I6" s="156"/>
      <c r="J6"/>
    </row>
    <row r="7" spans="1:12" ht="33" customHeight="1">
      <c r="E7" s="592" t="s">
        <v>397</v>
      </c>
      <c r="F7" s="593"/>
      <c r="H7" s="156"/>
      <c r="I7" s="156"/>
      <c r="J7" s="156"/>
    </row>
    <row r="8" spans="1:12" ht="50.05" customHeight="1">
      <c r="A8" s="122" t="s">
        <v>187</v>
      </c>
      <c r="B8" s="200" t="s">
        <v>188</v>
      </c>
      <c r="C8" s="119" t="s">
        <v>189</v>
      </c>
      <c r="E8" s="365" t="s">
        <v>64</v>
      </c>
      <c r="F8" s="366" t="s">
        <v>214</v>
      </c>
      <c r="H8" s="156"/>
      <c r="I8" s="156"/>
      <c r="J8" s="156"/>
      <c r="K8" s="123"/>
      <c r="L8" s="123"/>
    </row>
    <row r="9" spans="1:12">
      <c r="A9" s="121"/>
      <c r="B9" s="122" t="s">
        <v>190</v>
      </c>
      <c r="E9" s="235"/>
      <c r="F9" s="151"/>
      <c r="H9" s="156"/>
      <c r="I9" s="156"/>
      <c r="J9" s="156"/>
      <c r="K9" s="123"/>
      <c r="L9" s="123"/>
    </row>
    <row r="10" spans="1:12">
      <c r="E10" s="236"/>
      <c r="F10" s="151"/>
      <c r="H10" s="156"/>
      <c r="I10" s="156"/>
      <c r="J10" s="156"/>
      <c r="K10" s="123"/>
      <c r="L10" s="123"/>
    </row>
    <row r="11" spans="1:12">
      <c r="A11" s="124" t="s">
        <v>187</v>
      </c>
      <c r="B11" s="123" t="s">
        <v>191</v>
      </c>
      <c r="C11" s="123"/>
      <c r="D11" s="123"/>
      <c r="E11" s="235" t="s">
        <v>65</v>
      </c>
      <c r="F11" s="361">
        <f ca="1">SUMIF(TANK_Emissions!$D$8:$E$66,E11,TANK_Emissions!$E$8:$E$66)</f>
        <v>8567832</v>
      </c>
      <c r="H11" s="156"/>
      <c r="I11" s="156"/>
      <c r="J11" s="156"/>
      <c r="K11" s="123"/>
      <c r="L11" s="123"/>
    </row>
    <row r="12" spans="1:12">
      <c r="A12" s="124" t="s">
        <v>192</v>
      </c>
      <c r="B12" s="123" t="s">
        <v>246</v>
      </c>
      <c r="C12" s="123"/>
      <c r="D12" s="123"/>
      <c r="E12" s="235" t="s">
        <v>6</v>
      </c>
      <c r="F12" s="361">
        <f ca="1">SUMIF(TANK_Emissions!$D$8:$E$66,E12,TANK_Emissions!$E$8:$E$66)</f>
        <v>429696</v>
      </c>
      <c r="H12"/>
      <c r="I12"/>
      <c r="J12"/>
      <c r="K12" s="123"/>
      <c r="L12" s="123"/>
    </row>
    <row r="13" spans="1:12" ht="31.75">
      <c r="A13" s="124" t="s">
        <v>193</v>
      </c>
      <c r="B13" s="123" t="s">
        <v>194</v>
      </c>
      <c r="C13" s="123"/>
      <c r="D13" s="123"/>
      <c r="E13" s="385" t="s">
        <v>283</v>
      </c>
      <c r="F13" s="361">
        <f ca="1">SUMIF(TANK_Emissions!$D$8:$E$66,E13,TANK_Emissions!$E$8:$E$66)</f>
        <v>0</v>
      </c>
      <c r="K13" s="123"/>
      <c r="L13" s="123"/>
    </row>
    <row r="14" spans="1:12">
      <c r="A14" s="124" t="s">
        <v>195</v>
      </c>
      <c r="B14" s="123" t="s">
        <v>196</v>
      </c>
      <c r="C14" s="123"/>
      <c r="D14" s="123"/>
      <c r="E14" s="236"/>
      <c r="F14" s="361"/>
      <c r="K14" s="123"/>
      <c r="L14" s="123"/>
    </row>
    <row r="15" spans="1:12">
      <c r="A15" s="124" t="s">
        <v>197</v>
      </c>
      <c r="B15" s="123" t="s">
        <v>198</v>
      </c>
      <c r="C15" s="123"/>
      <c r="D15" s="123"/>
      <c r="E15" s="236" t="s">
        <v>282</v>
      </c>
      <c r="F15" s="361">
        <f ca="1">SUMIF(TANK_Emissions!$D$8:$E$66,E15,TANK_Emissions!$E$8:$E$66)</f>
        <v>10864080</v>
      </c>
      <c r="G15" s="123"/>
      <c r="H15" s="123"/>
      <c r="I15" s="123"/>
      <c r="J15" s="123"/>
      <c r="K15" s="123"/>
      <c r="L15" s="123"/>
    </row>
    <row r="16" spans="1:12">
      <c r="A16" s="124"/>
      <c r="B16" s="123"/>
      <c r="C16" s="123"/>
      <c r="D16" s="123"/>
      <c r="E16" s="236"/>
      <c r="F16" s="361"/>
      <c r="G16" s="123"/>
      <c r="H16" s="123"/>
      <c r="I16" s="123"/>
      <c r="J16" s="123"/>
      <c r="K16" s="123"/>
      <c r="L16" s="123"/>
    </row>
    <row r="17" spans="1:14">
      <c r="A17" s="124"/>
      <c r="B17" s="123"/>
      <c r="C17" s="123"/>
      <c r="D17" s="123"/>
      <c r="E17" s="235"/>
      <c r="F17" s="361"/>
      <c r="G17" s="123"/>
      <c r="H17" s="123"/>
      <c r="I17" s="123"/>
      <c r="J17" s="123"/>
      <c r="K17" s="123"/>
      <c r="L17" s="123"/>
    </row>
    <row r="18" spans="1:14">
      <c r="A18" s="183"/>
      <c r="B18" s="156"/>
      <c r="C18" s="123"/>
      <c r="D18" s="123"/>
      <c r="E18" s="236" t="s">
        <v>207</v>
      </c>
      <c r="F18" s="361">
        <f ca="1">SUMIF(TANK_Emissions!$D$8:$E$66,E18,TANK_Emissions!$E$8:$E$66)</f>
        <v>0</v>
      </c>
      <c r="G18" s="123"/>
      <c r="H18" s="123"/>
      <c r="I18" s="123"/>
      <c r="J18" s="123"/>
      <c r="K18" s="123"/>
      <c r="L18" s="123"/>
    </row>
    <row r="19" spans="1:14">
      <c r="A19" s="156"/>
      <c r="B19" s="156"/>
      <c r="C19" s="123"/>
      <c r="D19" s="123"/>
      <c r="E19" s="236"/>
      <c r="F19" s="361"/>
      <c r="G19" s="123"/>
      <c r="H19" s="123"/>
      <c r="I19" s="123"/>
      <c r="J19" s="123"/>
      <c r="K19" s="123"/>
      <c r="L19" s="123"/>
    </row>
    <row r="20" spans="1:14" ht="31.75">
      <c r="A20" s="156"/>
      <c r="B20" s="156"/>
      <c r="C20" s="123"/>
      <c r="D20" s="123"/>
      <c r="E20" s="507" t="s">
        <v>300</v>
      </c>
      <c r="F20" s="361">
        <f ca="1">SUMIF(TANK_Emissions!$D$8:$E$66,E20,TANK_Emissions!$E$8:$E$66)</f>
        <v>0</v>
      </c>
      <c r="G20" s="123"/>
      <c r="H20" s="123"/>
      <c r="I20" s="123"/>
      <c r="J20" s="123"/>
      <c r="K20" s="123"/>
      <c r="L20" s="123"/>
    </row>
    <row r="21" spans="1:14">
      <c r="A21" s="156"/>
      <c r="B21" s="156"/>
      <c r="C21" s="123"/>
      <c r="D21" s="123"/>
      <c r="E21" s="362"/>
      <c r="F21" s="363"/>
      <c r="G21" s="123"/>
      <c r="H21" s="123"/>
      <c r="I21" s="123"/>
      <c r="J21" s="123"/>
      <c r="K21" s="123"/>
      <c r="L21" s="123"/>
    </row>
    <row r="22" spans="1:14" ht="20.6">
      <c r="A22" s="120"/>
    </row>
    <row r="24" spans="1:14">
      <c r="A24" s="148"/>
    </row>
    <row r="25" spans="1:14" ht="17.05" customHeight="1">
      <c r="A25" s="45" t="s">
        <v>425</v>
      </c>
    </row>
    <row r="26" spans="1:14" ht="17.05" customHeight="1">
      <c r="A26" s="45"/>
    </row>
    <row r="27" spans="1:14" ht="17.05" customHeight="1">
      <c r="A27" s="95" t="s">
        <v>398</v>
      </c>
      <c r="B27" s="95" t="s">
        <v>399</v>
      </c>
    </row>
    <row r="29" spans="1:14" ht="59.05" customHeight="1">
      <c r="A29" s="196" t="s">
        <v>257</v>
      </c>
      <c r="B29" s="197" t="s">
        <v>64</v>
      </c>
      <c r="C29" s="198" t="s">
        <v>389</v>
      </c>
      <c r="D29" s="199" t="s">
        <v>236</v>
      </c>
      <c r="E29" s="199" t="s">
        <v>232</v>
      </c>
      <c r="F29" s="199" t="s">
        <v>201</v>
      </c>
      <c r="G29" s="199" t="s">
        <v>199</v>
      </c>
      <c r="H29" s="199" t="s">
        <v>200</v>
      </c>
      <c r="I29" s="199" t="s">
        <v>190</v>
      </c>
      <c r="J29" s="439" t="s">
        <v>390</v>
      </c>
      <c r="K29" s="199" t="s">
        <v>235</v>
      </c>
      <c r="L29" s="364" t="s">
        <v>233</v>
      </c>
    </row>
    <row r="30" spans="1:14">
      <c r="A30" s="184" t="s">
        <v>208</v>
      </c>
      <c r="B30" s="274" t="s">
        <v>282</v>
      </c>
      <c r="C30" s="186">
        <f>products!H35*0.25</f>
        <v>6.25E-2</v>
      </c>
      <c r="D30" s="286">
        <f ca="1">IF(B30="no loading",0,(VLOOKUP(B30,$E$9:$F$20,2,FALSE))*C30)</f>
        <v>679005</v>
      </c>
      <c r="E30" s="202" t="s">
        <v>262</v>
      </c>
      <c r="F30" s="119">
        <v>0.6</v>
      </c>
      <c r="G30" s="119">
        <v>1.0999999999999999E-2</v>
      </c>
      <c r="H30" s="119">
        <v>130</v>
      </c>
      <c r="I30" s="119">
        <v>528</v>
      </c>
      <c r="J30" s="189">
        <f t="shared" ref="J30:J35" si="0">(12.46*F30*G30*H30)/I30</f>
        <v>2.0247499999999998E-2</v>
      </c>
      <c r="K30" s="188">
        <f t="shared" ref="K30:K37" ca="1" si="1">L30/365</f>
        <v>1.5819793341780819</v>
      </c>
      <c r="L30" s="151">
        <f ca="1">(D30*42/1000)*J30</f>
        <v>577.42245697499993</v>
      </c>
      <c r="N30" s="324"/>
    </row>
    <row r="31" spans="1:14">
      <c r="A31" s="184" t="s">
        <v>209</v>
      </c>
      <c r="B31" s="274" t="s">
        <v>282</v>
      </c>
      <c r="C31" s="186">
        <f>products!$H$35*0.25</f>
        <v>6.25E-2</v>
      </c>
      <c r="D31" s="286">
        <f ca="1">IF(B31="no loading",0,(VLOOKUP(B31,$E$9:$F$20,2,FALSE))*C31)</f>
        <v>679005</v>
      </c>
      <c r="E31" s="202" t="s">
        <v>262</v>
      </c>
      <c r="F31" s="119">
        <v>0.6</v>
      </c>
      <c r="G31" s="119">
        <v>1.0999999999999999E-2</v>
      </c>
      <c r="H31" s="119">
        <v>130</v>
      </c>
      <c r="I31" s="119">
        <v>528</v>
      </c>
      <c r="J31" s="189">
        <f t="shared" si="0"/>
        <v>2.0247499999999998E-2</v>
      </c>
      <c r="K31" s="188">
        <f t="shared" ca="1" si="1"/>
        <v>1.5819793341780819</v>
      </c>
      <c r="L31" s="151">
        <f t="shared" ref="L31:L41" ca="1" si="2">D31*42/1000*J31</f>
        <v>577.42245697499993</v>
      </c>
      <c r="N31" s="324"/>
    </row>
    <row r="32" spans="1:14">
      <c r="A32" s="184" t="s">
        <v>210</v>
      </c>
      <c r="B32" s="232" t="s">
        <v>282</v>
      </c>
      <c r="C32" s="186">
        <f>products!$H$35*0.25</f>
        <v>6.25E-2</v>
      </c>
      <c r="D32" s="286">
        <f ca="1">IF(B32="no loading",0,(VLOOKUP(B32,$E$9:$F$20,2,FALSE))*C32)</f>
        <v>679005</v>
      </c>
      <c r="E32" s="202" t="s">
        <v>262</v>
      </c>
      <c r="F32" s="119">
        <v>0.6</v>
      </c>
      <c r="G32" s="119">
        <v>1.0999999999999999E-2</v>
      </c>
      <c r="H32" s="119">
        <v>130</v>
      </c>
      <c r="I32" s="119">
        <v>528</v>
      </c>
      <c r="J32" s="189">
        <f t="shared" ref="J32" si="3">(12.46*F32*G32*H32)/I32</f>
        <v>2.0247499999999998E-2</v>
      </c>
      <c r="K32" s="188">
        <f t="shared" ref="K32" ca="1" si="4">L32/365</f>
        <v>1.5819793341780819</v>
      </c>
      <c r="L32" s="151">
        <f t="shared" ca="1" si="2"/>
        <v>577.42245697499993</v>
      </c>
    </row>
    <row r="33" spans="1:14">
      <c r="A33" s="185" t="s">
        <v>211</v>
      </c>
      <c r="B33" s="386" t="s">
        <v>282</v>
      </c>
      <c r="C33" s="186">
        <f>products!$H$35*0.25</f>
        <v>6.25E-2</v>
      </c>
      <c r="D33" s="286">
        <f ca="1">IF(B33="no loading",0,(VLOOKUP(B33,$E$9:$F$20,2,FALSE))*C33)+F16</f>
        <v>679005</v>
      </c>
      <c r="E33" s="202" t="s">
        <v>262</v>
      </c>
      <c r="F33" s="119">
        <v>0.6</v>
      </c>
      <c r="G33" s="119">
        <v>1.0999999999999999E-2</v>
      </c>
      <c r="H33" s="119">
        <v>130</v>
      </c>
      <c r="I33" s="119">
        <v>528</v>
      </c>
      <c r="J33" s="189">
        <f t="shared" si="0"/>
        <v>2.0247499999999998E-2</v>
      </c>
      <c r="K33" s="188">
        <f t="shared" ca="1" si="1"/>
        <v>1.5819793341780819</v>
      </c>
      <c r="L33" s="151">
        <f t="shared" ca="1" si="2"/>
        <v>577.42245697499993</v>
      </c>
    </row>
    <row r="34" spans="1:14">
      <c r="A34" s="506" t="s">
        <v>433</v>
      </c>
      <c r="B34" s="350" t="s">
        <v>282</v>
      </c>
      <c r="C34" s="349">
        <f>products!$I$35*1/4</f>
        <v>2.5000000000000001E-2</v>
      </c>
      <c r="D34" s="286">
        <f ca="1">IF(B34="no loading",0,(VLOOKUP(B34,$E$9:$F$20,2,FALSE))*C34)</f>
        <v>271602</v>
      </c>
      <c r="E34" s="343" t="s">
        <v>263</v>
      </c>
      <c r="F34" s="119">
        <v>0.6</v>
      </c>
      <c r="G34" s="119">
        <v>1.0999999999999999E-2</v>
      </c>
      <c r="H34" s="119">
        <v>130</v>
      </c>
      <c r="I34" s="119">
        <v>528</v>
      </c>
      <c r="J34" s="189">
        <f t="shared" si="0"/>
        <v>2.0247499999999998E-2</v>
      </c>
      <c r="K34" s="188">
        <f t="shared" ca="1" si="1"/>
        <v>0.63279173367123287</v>
      </c>
      <c r="L34" s="151">
        <f t="shared" ca="1" si="2"/>
        <v>230.96898278999998</v>
      </c>
    </row>
    <row r="35" spans="1:14">
      <c r="A35" s="506" t="s">
        <v>432</v>
      </c>
      <c r="B35" s="350" t="s">
        <v>282</v>
      </c>
      <c r="C35" s="349">
        <f>products!$I$35*1/4</f>
        <v>2.5000000000000001E-2</v>
      </c>
      <c r="D35" s="286">
        <f ca="1">IF(B35="no loading",0,(VLOOKUP(B35,$E$9:$F$20,2,FALSE))*C35)</f>
        <v>271602</v>
      </c>
      <c r="E35" s="343" t="s">
        <v>263</v>
      </c>
      <c r="F35" s="119">
        <v>0.6</v>
      </c>
      <c r="G35" s="119">
        <v>1.0999999999999999E-2</v>
      </c>
      <c r="H35" s="119">
        <v>130</v>
      </c>
      <c r="I35" s="119">
        <v>528</v>
      </c>
      <c r="J35" s="189">
        <f t="shared" si="0"/>
        <v>2.0247499999999998E-2</v>
      </c>
      <c r="K35" s="188">
        <f t="shared" ca="1" si="1"/>
        <v>0.63279173367123287</v>
      </c>
      <c r="L35" s="151">
        <f t="shared" ca="1" si="2"/>
        <v>230.96898278999998</v>
      </c>
    </row>
    <row r="36" spans="1:14">
      <c r="A36" s="184" t="s">
        <v>238</v>
      </c>
      <c r="B36" s="350" t="s">
        <v>282</v>
      </c>
      <c r="C36" s="349">
        <f>products!$I$35*1/4</f>
        <v>2.5000000000000001E-2</v>
      </c>
      <c r="D36" s="286">
        <f ca="1">IF(B36="no loading",0,(VLOOKUP(B36,$E$9:$F$20,2,FALSE))*C36)</f>
        <v>271602</v>
      </c>
      <c r="E36" s="343" t="s">
        <v>263</v>
      </c>
      <c r="F36" s="119">
        <v>0.6</v>
      </c>
      <c r="G36" s="119">
        <v>1.0999999999999999E-2</v>
      </c>
      <c r="H36" s="119">
        <v>130</v>
      </c>
      <c r="I36" s="119">
        <v>528</v>
      </c>
      <c r="J36" s="189">
        <f t="shared" ref="J36:J37" si="5">(12.46*F36*G36*H36)/I36</f>
        <v>2.0247499999999998E-2</v>
      </c>
      <c r="K36" s="188">
        <f t="shared" ca="1" si="1"/>
        <v>0.63279173367123287</v>
      </c>
      <c r="L36" s="151">
        <f t="shared" ca="1" si="2"/>
        <v>230.96898278999998</v>
      </c>
      <c r="N36" s="324"/>
    </row>
    <row r="37" spans="1:14">
      <c r="A37" s="184" t="s">
        <v>239</v>
      </c>
      <c r="B37" s="350" t="s">
        <v>282</v>
      </c>
      <c r="C37" s="349">
        <f>products!$I$35*1/4</f>
        <v>2.5000000000000001E-2</v>
      </c>
      <c r="D37" s="286">
        <f ca="1">IF(B37="no loading",0,(VLOOKUP(B37,$E$9:$F$20,2,FALSE))*C37)</f>
        <v>271602</v>
      </c>
      <c r="E37" s="343" t="s">
        <v>263</v>
      </c>
      <c r="F37" s="119">
        <v>0.6</v>
      </c>
      <c r="G37" s="119">
        <v>1.0999999999999999E-2</v>
      </c>
      <c r="H37" s="119">
        <v>130</v>
      </c>
      <c r="I37" s="119">
        <v>528</v>
      </c>
      <c r="J37" s="189">
        <f t="shared" si="5"/>
        <v>2.0247499999999998E-2</v>
      </c>
      <c r="K37" s="188">
        <f t="shared" ca="1" si="1"/>
        <v>0.63279173367123287</v>
      </c>
      <c r="L37" s="151">
        <f t="shared" ca="1" si="2"/>
        <v>230.96898278999998</v>
      </c>
    </row>
    <row r="38" spans="1:14" ht="31.75">
      <c r="A38" s="184" t="s">
        <v>240</v>
      </c>
      <c r="B38" s="521" t="s">
        <v>462</v>
      </c>
      <c r="C38" s="351" t="s">
        <v>261</v>
      </c>
      <c r="D38" s="187"/>
      <c r="E38" s="202" t="s">
        <v>263</v>
      </c>
      <c r="G38" s="189"/>
      <c r="J38" s="189"/>
      <c r="K38" s="188"/>
      <c r="L38" s="151">
        <f t="shared" si="2"/>
        <v>0</v>
      </c>
    </row>
    <row r="39" spans="1:14" ht="31.75">
      <c r="A39" s="184" t="s">
        <v>242</v>
      </c>
      <c r="B39" s="521" t="s">
        <v>462</v>
      </c>
      <c r="C39" s="351" t="s">
        <v>261</v>
      </c>
      <c r="D39" s="187"/>
      <c r="E39" s="202" t="s">
        <v>263</v>
      </c>
      <c r="G39" s="189"/>
      <c r="J39" s="189"/>
      <c r="K39" s="188"/>
      <c r="L39" s="151">
        <f t="shared" si="2"/>
        <v>0</v>
      </c>
    </row>
    <row r="40" spans="1:14" ht="31.75">
      <c r="A40" s="184" t="s">
        <v>243</v>
      </c>
      <c r="B40" s="521" t="s">
        <v>462</v>
      </c>
      <c r="C40" s="351" t="s">
        <v>261</v>
      </c>
      <c r="D40" s="187"/>
      <c r="E40" s="202" t="s">
        <v>263</v>
      </c>
      <c r="G40" s="189"/>
      <c r="J40" s="189"/>
      <c r="K40" s="188"/>
      <c r="L40" s="151">
        <f t="shared" si="2"/>
        <v>0</v>
      </c>
    </row>
    <row r="41" spans="1:14" ht="31.75">
      <c r="A41" s="192" t="s">
        <v>241</v>
      </c>
      <c r="B41" s="522" t="s">
        <v>462</v>
      </c>
      <c r="C41" s="352" t="s">
        <v>261</v>
      </c>
      <c r="D41" s="193"/>
      <c r="E41" s="203" t="s">
        <v>263</v>
      </c>
      <c r="F41" s="194"/>
      <c r="G41" s="275"/>
      <c r="H41" s="194"/>
      <c r="I41" s="194"/>
      <c r="J41" s="275"/>
      <c r="K41" s="195"/>
      <c r="L41" s="151">
        <f t="shared" si="2"/>
        <v>0</v>
      </c>
    </row>
    <row r="42" spans="1:14">
      <c r="A42" s="185"/>
      <c r="B42" s="350"/>
      <c r="C42" s="351"/>
      <c r="D42" s="187"/>
      <c r="E42" s="202"/>
      <c r="G42" s="189"/>
      <c r="J42" s="189"/>
      <c r="K42" s="387" t="s">
        <v>2</v>
      </c>
      <c r="L42" s="367">
        <f ca="1">SUM(L30:L41)</f>
        <v>3233.5657590600003</v>
      </c>
      <c r="M42" s="368" t="s">
        <v>62</v>
      </c>
    </row>
    <row r="43" spans="1:14">
      <c r="A43" s="383" t="s">
        <v>391</v>
      </c>
      <c r="B43" s="202"/>
      <c r="C43" s="186"/>
      <c r="D43" s="187"/>
      <c r="E43" s="185"/>
      <c r="G43" s="190"/>
      <c r="J43" s="191"/>
      <c r="K43" s="387" t="s">
        <v>2</v>
      </c>
      <c r="L43" s="367">
        <f ca="1">SUM(L30:L41)/2000</f>
        <v>1.6167828795300001</v>
      </c>
      <c r="M43" s="368" t="s">
        <v>115</v>
      </c>
    </row>
    <row r="44" spans="1:14">
      <c r="A44" s="383" t="s">
        <v>392</v>
      </c>
      <c r="B44" s="202"/>
      <c r="C44" s="280"/>
      <c r="D44" s="187"/>
      <c r="E44" s="185"/>
      <c r="G44" s="190"/>
      <c r="J44" s="191"/>
      <c r="K44" s="188"/>
      <c r="L44" s="187"/>
    </row>
    <row r="45" spans="1:14">
      <c r="A45" s="281"/>
      <c r="B45" s="202"/>
      <c r="C45" s="280"/>
      <c r="D45" s="187"/>
      <c r="E45" s="185"/>
      <c r="G45" s="190"/>
      <c r="J45" s="191"/>
      <c r="K45" s="188"/>
      <c r="L45" s="187"/>
    </row>
    <row r="46" spans="1:14">
      <c r="A46" s="281"/>
      <c r="B46" s="202"/>
      <c r="C46" s="280"/>
      <c r="D46" s="187"/>
      <c r="E46" s="185"/>
      <c r="G46" s="190"/>
      <c r="J46" s="191"/>
      <c r="K46" s="188"/>
      <c r="L46" s="187"/>
    </row>
    <row r="48" spans="1:14">
      <c r="A48" s="449" t="s">
        <v>445</v>
      </c>
    </row>
    <row r="49" spans="1:11">
      <c r="B49" s="384" t="s">
        <v>278</v>
      </c>
      <c r="C49" s="586" t="s">
        <v>367</v>
      </c>
      <c r="D49" s="587"/>
      <c r="E49" s="588"/>
      <c r="F49" s="586" t="s">
        <v>366</v>
      </c>
      <c r="G49" s="587"/>
      <c r="H49" s="588"/>
      <c r="I49" s="586" t="s">
        <v>365</v>
      </c>
      <c r="J49" s="587"/>
      <c r="K49" s="588"/>
    </row>
    <row r="50" spans="1:11">
      <c r="B50" s="384" t="s">
        <v>60</v>
      </c>
      <c r="C50" s="589" t="s">
        <v>149</v>
      </c>
      <c r="D50" s="590"/>
      <c r="E50" s="591"/>
      <c r="F50" s="589" t="s">
        <v>146</v>
      </c>
      <c r="G50" s="590"/>
      <c r="H50" s="591"/>
      <c r="I50" s="589" t="s">
        <v>145</v>
      </c>
      <c r="J50" s="590"/>
      <c r="K50" s="591"/>
    </row>
    <row r="51" spans="1:11" ht="47.6">
      <c r="A51" s="391" t="s">
        <v>257</v>
      </c>
      <c r="B51" s="422" t="s">
        <v>64</v>
      </c>
      <c r="C51" s="395" t="s">
        <v>368</v>
      </c>
      <c r="D51" s="388" t="s">
        <v>171</v>
      </c>
      <c r="E51" s="389" t="s">
        <v>62</v>
      </c>
      <c r="F51" s="397" t="s">
        <v>368</v>
      </c>
      <c r="G51" s="388" t="s">
        <v>171</v>
      </c>
      <c r="H51" s="389" t="s">
        <v>62</v>
      </c>
      <c r="I51" s="395" t="s">
        <v>368</v>
      </c>
      <c r="J51" s="388" t="s">
        <v>171</v>
      </c>
      <c r="K51" s="389" t="s">
        <v>62</v>
      </c>
    </row>
    <row r="52" spans="1:11">
      <c r="A52" s="184" t="s">
        <v>208</v>
      </c>
      <c r="B52" s="274" t="s">
        <v>282</v>
      </c>
      <c r="C52" s="400">
        <v>0.01</v>
      </c>
      <c r="D52" s="405">
        <f t="shared" ref="D52:D59" ca="1" si="6">C52*K30</f>
        <v>1.5819793341780818E-2</v>
      </c>
      <c r="E52" s="402">
        <f t="shared" ref="E52:E59" ca="1" si="7">C52*L30</f>
        <v>5.7742245697499994</v>
      </c>
      <c r="F52" s="398">
        <v>0.01</v>
      </c>
      <c r="G52" s="189">
        <f t="shared" ref="G52:G59" ca="1" si="8">F52*K30</f>
        <v>1.5819793341780818E-2</v>
      </c>
      <c r="H52" s="392">
        <f t="shared" ref="H52:H59" ca="1" si="9">F52*L30</f>
        <v>5.7742245697499994</v>
      </c>
      <c r="I52" s="400">
        <v>1E-3</v>
      </c>
      <c r="J52" s="401">
        <f t="shared" ref="J52:J59" ca="1" si="10">I52*K30</f>
        <v>1.581979334178082E-3</v>
      </c>
      <c r="K52" s="402">
        <f t="shared" ref="K52:K59" ca="1" si="11">I52*L30</f>
        <v>0.57742245697499994</v>
      </c>
    </row>
    <row r="53" spans="1:11">
      <c r="A53" s="184" t="s">
        <v>209</v>
      </c>
      <c r="B53" s="274" t="s">
        <v>282</v>
      </c>
      <c r="C53" s="398">
        <v>0.01</v>
      </c>
      <c r="D53" s="189">
        <f t="shared" ca="1" si="6"/>
        <v>1.5819793341780818E-2</v>
      </c>
      <c r="E53" s="392">
        <f t="shared" ca="1" si="7"/>
        <v>5.7742245697499994</v>
      </c>
      <c r="F53" s="398">
        <v>0.01</v>
      </c>
      <c r="G53" s="189">
        <f t="shared" ca="1" si="8"/>
        <v>1.5819793341780818E-2</v>
      </c>
      <c r="H53" s="392">
        <f t="shared" ca="1" si="9"/>
        <v>5.7742245697499994</v>
      </c>
      <c r="I53" s="398">
        <v>1E-3</v>
      </c>
      <c r="J53" s="403">
        <f t="shared" ca="1" si="10"/>
        <v>1.581979334178082E-3</v>
      </c>
      <c r="K53" s="392">
        <f t="shared" ca="1" si="11"/>
        <v>0.57742245697499994</v>
      </c>
    </row>
    <row r="54" spans="1:11">
      <c r="A54" s="184" t="s">
        <v>210</v>
      </c>
      <c r="B54" s="232" t="s">
        <v>282</v>
      </c>
      <c r="C54" s="398">
        <v>0.01</v>
      </c>
      <c r="D54" s="189">
        <f t="shared" ca="1" si="6"/>
        <v>1.5819793341780818E-2</v>
      </c>
      <c r="E54" s="392">
        <f t="shared" ca="1" si="7"/>
        <v>5.7742245697499994</v>
      </c>
      <c r="F54" s="398">
        <v>0.01</v>
      </c>
      <c r="G54" s="189">
        <f t="shared" ca="1" si="8"/>
        <v>1.5819793341780818E-2</v>
      </c>
      <c r="H54" s="392">
        <f t="shared" ca="1" si="9"/>
        <v>5.7742245697499994</v>
      </c>
      <c r="I54" s="398">
        <v>1E-3</v>
      </c>
      <c r="J54" s="403">
        <f t="shared" ca="1" si="10"/>
        <v>1.581979334178082E-3</v>
      </c>
      <c r="K54" s="392">
        <f t="shared" ca="1" si="11"/>
        <v>0.57742245697499994</v>
      </c>
    </row>
    <row r="55" spans="1:11">
      <c r="A55" s="184" t="s">
        <v>211</v>
      </c>
      <c r="B55" s="386" t="s">
        <v>282</v>
      </c>
      <c r="C55" s="398">
        <v>0.01</v>
      </c>
      <c r="D55" s="189">
        <f t="shared" ca="1" si="6"/>
        <v>1.5819793341780818E-2</v>
      </c>
      <c r="E55" s="392">
        <f t="shared" ca="1" si="7"/>
        <v>5.7742245697499994</v>
      </c>
      <c r="F55" s="398">
        <v>0.01</v>
      </c>
      <c r="G55" s="189">
        <f t="shared" ca="1" si="8"/>
        <v>1.5819793341780818E-2</v>
      </c>
      <c r="H55" s="392">
        <f t="shared" ca="1" si="9"/>
        <v>5.7742245697499994</v>
      </c>
      <c r="I55" s="398">
        <v>1E-3</v>
      </c>
      <c r="J55" s="403">
        <f t="shared" ca="1" si="10"/>
        <v>1.581979334178082E-3</v>
      </c>
      <c r="K55" s="392">
        <f t="shared" ca="1" si="11"/>
        <v>0.57742245697499994</v>
      </c>
    </row>
    <row r="56" spans="1:11">
      <c r="A56" s="506" t="s">
        <v>433</v>
      </c>
      <c r="B56" s="350" t="s">
        <v>282</v>
      </c>
      <c r="C56" s="398">
        <v>0.01</v>
      </c>
      <c r="D56" s="189">
        <f t="shared" ca="1" si="6"/>
        <v>6.3279173367123288E-3</v>
      </c>
      <c r="E56" s="392">
        <f t="shared" ca="1" si="7"/>
        <v>2.3096898278999998</v>
      </c>
      <c r="F56" s="398">
        <v>0.01</v>
      </c>
      <c r="G56" s="189">
        <f t="shared" ca="1" si="8"/>
        <v>6.3279173367123288E-3</v>
      </c>
      <c r="H56" s="392">
        <f t="shared" ca="1" si="9"/>
        <v>2.3096898278999998</v>
      </c>
      <c r="I56" s="398">
        <v>1E-3</v>
      </c>
      <c r="J56" s="403">
        <f t="shared" ca="1" si="10"/>
        <v>6.3279173367123288E-4</v>
      </c>
      <c r="K56" s="392">
        <f t="shared" ca="1" si="11"/>
        <v>0.23096898279</v>
      </c>
    </row>
    <row r="57" spans="1:11">
      <c r="A57" s="506" t="s">
        <v>432</v>
      </c>
      <c r="B57" s="350" t="s">
        <v>282</v>
      </c>
      <c r="C57" s="398">
        <v>0.01</v>
      </c>
      <c r="D57" s="189">
        <f t="shared" ca="1" si="6"/>
        <v>6.3279173367123288E-3</v>
      </c>
      <c r="E57" s="392">
        <f t="shared" ca="1" si="7"/>
        <v>2.3096898278999998</v>
      </c>
      <c r="F57" s="398">
        <v>0.01</v>
      </c>
      <c r="G57" s="189">
        <f t="shared" ca="1" si="8"/>
        <v>6.3279173367123288E-3</v>
      </c>
      <c r="H57" s="392">
        <f t="shared" ca="1" si="9"/>
        <v>2.3096898278999998</v>
      </c>
      <c r="I57" s="398">
        <v>1E-3</v>
      </c>
      <c r="J57" s="403">
        <f t="shared" ca="1" si="10"/>
        <v>6.3279173367123288E-4</v>
      </c>
      <c r="K57" s="392">
        <f t="shared" ca="1" si="11"/>
        <v>0.23096898279</v>
      </c>
    </row>
    <row r="58" spans="1:11">
      <c r="A58" s="184" t="s">
        <v>238</v>
      </c>
      <c r="B58" s="350" t="s">
        <v>282</v>
      </c>
      <c r="C58" s="398">
        <v>0.01</v>
      </c>
      <c r="D58" s="189">
        <f t="shared" ca="1" si="6"/>
        <v>6.3279173367123288E-3</v>
      </c>
      <c r="E58" s="392">
        <f t="shared" ca="1" si="7"/>
        <v>2.3096898278999998</v>
      </c>
      <c r="F58" s="398">
        <v>0.01</v>
      </c>
      <c r="G58" s="189">
        <f t="shared" ca="1" si="8"/>
        <v>6.3279173367123288E-3</v>
      </c>
      <c r="H58" s="392">
        <f t="shared" ca="1" si="9"/>
        <v>2.3096898278999998</v>
      </c>
      <c r="I58" s="398">
        <v>1E-3</v>
      </c>
      <c r="J58" s="403">
        <f t="shared" ca="1" si="10"/>
        <v>6.3279173367123288E-4</v>
      </c>
      <c r="K58" s="392">
        <f t="shared" ca="1" si="11"/>
        <v>0.23096898279</v>
      </c>
    </row>
    <row r="59" spans="1:11">
      <c r="A59" s="192" t="s">
        <v>239</v>
      </c>
      <c r="B59" s="393" t="s">
        <v>282</v>
      </c>
      <c r="C59" s="399">
        <v>0.01</v>
      </c>
      <c r="D59" s="275">
        <f t="shared" ca="1" si="6"/>
        <v>6.3279173367123288E-3</v>
      </c>
      <c r="E59" s="394">
        <f t="shared" ca="1" si="7"/>
        <v>2.3096898278999998</v>
      </c>
      <c r="F59" s="399">
        <v>0.01</v>
      </c>
      <c r="G59" s="275">
        <f t="shared" ca="1" si="8"/>
        <v>6.3279173367123288E-3</v>
      </c>
      <c r="H59" s="394">
        <f t="shared" ca="1" si="9"/>
        <v>2.3096898278999998</v>
      </c>
      <c r="I59" s="399">
        <v>1E-3</v>
      </c>
      <c r="J59" s="404">
        <f t="shared" ca="1" si="10"/>
        <v>6.3279173367123288E-4</v>
      </c>
      <c r="K59" s="394">
        <f t="shared" ca="1" si="11"/>
        <v>0.23096898279</v>
      </c>
    </row>
    <row r="60" spans="1:11">
      <c r="A60" s="384" t="s">
        <v>369</v>
      </c>
      <c r="C60" s="189"/>
      <c r="D60" s="390">
        <f ca="1">SUM(D52:D59)</f>
        <v>8.8590842713972578E-2</v>
      </c>
      <c r="E60" s="396">
        <f ca="1">SUM(E52:E59)</f>
        <v>32.3356575906</v>
      </c>
      <c r="F60" s="189"/>
      <c r="G60" s="390">
        <f ca="1">SUM(G52:G59)</f>
        <v>8.8590842713972578E-2</v>
      </c>
      <c r="H60" s="396">
        <f ca="1">SUM(H52:H59)</f>
        <v>32.3356575906</v>
      </c>
      <c r="I60" s="189"/>
      <c r="J60" s="390">
        <f ca="1">SUM(J52:J59)</f>
        <v>8.8590842713972585E-3</v>
      </c>
      <c r="K60" s="396">
        <f ca="1">SUM(K52:K59)</f>
        <v>3.2335657590599993</v>
      </c>
    </row>
    <row r="62" spans="1:11">
      <c r="A62" s="406" t="s">
        <v>370</v>
      </c>
      <c r="B62" s="407">
        <f ca="1">(E60+H60+K60)/2000</f>
        <v>3.3952440470129998E-2</v>
      </c>
      <c r="C62" s="408" t="s">
        <v>115</v>
      </c>
      <c r="E62" s="126" t="s">
        <v>384</v>
      </c>
    </row>
    <row r="80" spans="1:12" s="44" customFormat="1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</row>
    <row r="81" spans="1:12">
      <c r="A81" s="11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</row>
    <row r="82" spans="1:12">
      <c r="A82" s="123"/>
      <c r="B82" s="124"/>
      <c r="C82" s="123"/>
      <c r="D82" s="123"/>
      <c r="E82" s="123"/>
      <c r="F82" s="123"/>
      <c r="G82" s="123"/>
      <c r="H82" s="123"/>
      <c r="I82" s="123"/>
      <c r="J82" s="123"/>
      <c r="K82" s="123"/>
      <c r="L82" s="123"/>
    </row>
    <row r="83" spans="1:12">
      <c r="A83" s="123"/>
      <c r="B83" s="124"/>
      <c r="C83" s="123"/>
      <c r="D83" s="123"/>
      <c r="E83" s="123"/>
      <c r="F83" s="123"/>
      <c r="G83" s="123"/>
      <c r="H83" s="123"/>
      <c r="I83" s="123"/>
      <c r="J83" s="123"/>
      <c r="K83" s="123"/>
      <c r="L83" s="123"/>
    </row>
    <row r="84" spans="1:12">
      <c r="A84" s="123"/>
      <c r="B84" s="124"/>
      <c r="C84" s="123"/>
      <c r="D84" s="123"/>
      <c r="E84" s="123"/>
      <c r="F84" s="123"/>
      <c r="G84" s="123"/>
      <c r="H84" s="123"/>
      <c r="I84" s="123"/>
      <c r="J84" s="123"/>
      <c r="K84" s="123"/>
      <c r="L84" s="123"/>
    </row>
    <row r="85" spans="1:12">
      <c r="A85" s="123"/>
      <c r="B85" s="124"/>
      <c r="C85" s="123"/>
      <c r="D85" s="123"/>
      <c r="E85" s="123"/>
      <c r="F85" s="123"/>
      <c r="G85" s="123"/>
      <c r="H85" s="123"/>
      <c r="I85" s="123"/>
      <c r="J85" s="123"/>
      <c r="K85" s="123"/>
      <c r="L85" s="123"/>
    </row>
    <row r="86" spans="1:12">
      <c r="A86" s="123"/>
      <c r="B86" s="124"/>
      <c r="C86" s="123"/>
      <c r="D86" s="123"/>
      <c r="E86" s="123"/>
      <c r="F86" s="123"/>
      <c r="G86" s="123"/>
      <c r="H86" s="123"/>
      <c r="I86" s="123"/>
      <c r="J86" s="123"/>
      <c r="K86" s="123"/>
      <c r="L86" s="123"/>
    </row>
    <row r="87" spans="1:12">
      <c r="A87" s="123"/>
      <c r="B87" s="124"/>
      <c r="C87" s="123"/>
      <c r="D87" s="123"/>
      <c r="E87" s="123"/>
      <c r="F87" s="123"/>
      <c r="G87" s="123"/>
      <c r="H87" s="123"/>
      <c r="I87" s="123"/>
      <c r="J87" s="123"/>
      <c r="K87" s="123"/>
      <c r="L87" s="123"/>
    </row>
    <row r="88" spans="1:12">
      <c r="A88" s="123"/>
      <c r="B88" s="124"/>
      <c r="C88" s="123"/>
      <c r="D88" s="123"/>
      <c r="E88" s="123"/>
      <c r="F88" s="123"/>
      <c r="G88" s="123"/>
      <c r="H88" s="123"/>
      <c r="I88" s="123"/>
      <c r="J88" s="123"/>
      <c r="K88" s="123"/>
      <c r="L88" s="123"/>
    </row>
  </sheetData>
  <sheetProtection algorithmName="SHA-512" hashValue="HJO+k9aCwamjY1EN5m5PbH7KhccKzzFl+0t+003YVsGoewL6lVb67N+EDM0giA5ns4IYuhZYX2SJmhlQN814tg==" saltValue="gM0E+c2iJLbVShlNbhey+w==" spinCount="100000" sheet="1" objects="1" scenarios="1"/>
  <autoFilter ref="A29:L40" xr:uid="{00000000-0009-0000-0000-00000A000000}"/>
  <mergeCells count="7">
    <mergeCell ref="I49:K49"/>
    <mergeCell ref="I50:K50"/>
    <mergeCell ref="E7:F7"/>
    <mergeCell ref="F49:H49"/>
    <mergeCell ref="C49:E49"/>
    <mergeCell ref="F50:H50"/>
    <mergeCell ref="C50:E50"/>
  </mergeCells>
  <phoneticPr fontId="48" type="noConversion"/>
  <pageMargins left="0.75" right="0.75" top="1" bottom="1" header="0.5" footer="0.5"/>
  <pageSetup scale="7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00B050"/>
  </sheetPr>
  <dimension ref="A1:W81"/>
  <sheetViews>
    <sheetView workbookViewId="0">
      <selection activeCell="C9" sqref="C9"/>
    </sheetView>
  </sheetViews>
  <sheetFormatPr defaultColWidth="9.15234375" defaultRowHeight="15.45"/>
  <cols>
    <col min="1" max="1" width="50.84375" style="11" customWidth="1"/>
    <col min="2" max="2" width="16.84375" style="11" customWidth="1"/>
    <col min="3" max="3" width="45.4609375" style="11" customWidth="1"/>
    <col min="4" max="4" width="19.69140625" style="11" customWidth="1"/>
    <col min="5" max="5" width="16.3046875" style="11" customWidth="1"/>
    <col min="6" max="6" width="15.4609375" style="11" customWidth="1"/>
    <col min="7" max="7" width="14.84375" style="11" customWidth="1"/>
    <col min="8" max="8" width="15.3046875" style="11" customWidth="1"/>
    <col min="9" max="9" width="9.15234375" style="11"/>
    <col min="10" max="10" width="9.69140625" style="11" bestFit="1" customWidth="1"/>
    <col min="11" max="11" width="11" style="11" customWidth="1"/>
    <col min="12" max="13" width="9.15234375" style="11"/>
    <col min="14" max="14" width="13.84375" style="11" customWidth="1"/>
    <col min="15" max="15" width="11" style="11" customWidth="1"/>
    <col min="16" max="20" width="9.15234375" style="11"/>
    <col min="21" max="21" width="12.15234375" style="11" bestFit="1" customWidth="1"/>
    <col min="22" max="260" width="9.15234375" style="11"/>
    <col min="261" max="261" width="50.84375" style="11" customWidth="1"/>
    <col min="262" max="262" width="15.4609375" style="11" bestFit="1" customWidth="1"/>
    <col min="263" max="263" width="8.69140625" style="11" customWidth="1"/>
    <col min="264" max="264" width="13.15234375" style="11" customWidth="1"/>
    <col min="265" max="266" width="9.15234375" style="11"/>
    <col min="267" max="267" width="11" style="11" customWidth="1"/>
    <col min="268" max="269" width="9.15234375" style="11"/>
    <col min="270" max="270" width="13.84375" style="11" customWidth="1"/>
    <col min="271" max="516" width="9.15234375" style="11"/>
    <col min="517" max="517" width="50.84375" style="11" customWidth="1"/>
    <col min="518" max="518" width="15.4609375" style="11" bestFit="1" customWidth="1"/>
    <col min="519" max="519" width="8.69140625" style="11" customWidth="1"/>
    <col min="520" max="520" width="13.15234375" style="11" customWidth="1"/>
    <col min="521" max="522" width="9.15234375" style="11"/>
    <col min="523" max="523" width="11" style="11" customWidth="1"/>
    <col min="524" max="525" width="9.15234375" style="11"/>
    <col min="526" max="526" width="13.84375" style="11" customWidth="1"/>
    <col min="527" max="772" width="9.15234375" style="11"/>
    <col min="773" max="773" width="50.84375" style="11" customWidth="1"/>
    <col min="774" max="774" width="15.4609375" style="11" bestFit="1" customWidth="1"/>
    <col min="775" max="775" width="8.69140625" style="11" customWidth="1"/>
    <col min="776" max="776" width="13.15234375" style="11" customWidth="1"/>
    <col min="777" max="778" width="9.15234375" style="11"/>
    <col min="779" max="779" width="11" style="11" customWidth="1"/>
    <col min="780" max="781" width="9.15234375" style="11"/>
    <col min="782" max="782" width="13.84375" style="11" customWidth="1"/>
    <col min="783" max="1028" width="9.15234375" style="11"/>
    <col min="1029" max="1029" width="50.84375" style="11" customWidth="1"/>
    <col min="1030" max="1030" width="15.4609375" style="11" bestFit="1" customWidth="1"/>
    <col min="1031" max="1031" width="8.69140625" style="11" customWidth="1"/>
    <col min="1032" max="1032" width="13.15234375" style="11" customWidth="1"/>
    <col min="1033" max="1034" width="9.15234375" style="11"/>
    <col min="1035" max="1035" width="11" style="11" customWidth="1"/>
    <col min="1036" max="1037" width="9.15234375" style="11"/>
    <col min="1038" max="1038" width="13.84375" style="11" customWidth="1"/>
    <col min="1039" max="1284" width="9.15234375" style="11"/>
    <col min="1285" max="1285" width="50.84375" style="11" customWidth="1"/>
    <col min="1286" max="1286" width="15.4609375" style="11" bestFit="1" customWidth="1"/>
    <col min="1287" max="1287" width="8.69140625" style="11" customWidth="1"/>
    <col min="1288" max="1288" width="13.15234375" style="11" customWidth="1"/>
    <col min="1289" max="1290" width="9.15234375" style="11"/>
    <col min="1291" max="1291" width="11" style="11" customWidth="1"/>
    <col min="1292" max="1293" width="9.15234375" style="11"/>
    <col min="1294" max="1294" width="13.84375" style="11" customWidth="1"/>
    <col min="1295" max="1540" width="9.15234375" style="11"/>
    <col min="1541" max="1541" width="50.84375" style="11" customWidth="1"/>
    <col min="1542" max="1542" width="15.4609375" style="11" bestFit="1" customWidth="1"/>
    <col min="1543" max="1543" width="8.69140625" style="11" customWidth="1"/>
    <col min="1544" max="1544" width="13.15234375" style="11" customWidth="1"/>
    <col min="1545" max="1546" width="9.15234375" style="11"/>
    <col min="1547" max="1547" width="11" style="11" customWidth="1"/>
    <col min="1548" max="1549" width="9.15234375" style="11"/>
    <col min="1550" max="1550" width="13.84375" style="11" customWidth="1"/>
    <col min="1551" max="1796" width="9.15234375" style="11"/>
    <col min="1797" max="1797" width="50.84375" style="11" customWidth="1"/>
    <col min="1798" max="1798" width="15.4609375" style="11" bestFit="1" customWidth="1"/>
    <col min="1799" max="1799" width="8.69140625" style="11" customWidth="1"/>
    <col min="1800" max="1800" width="13.15234375" style="11" customWidth="1"/>
    <col min="1801" max="1802" width="9.15234375" style="11"/>
    <col min="1803" max="1803" width="11" style="11" customWidth="1"/>
    <col min="1804" max="1805" width="9.15234375" style="11"/>
    <col min="1806" max="1806" width="13.84375" style="11" customWidth="1"/>
    <col min="1807" max="2052" width="9.15234375" style="11"/>
    <col min="2053" max="2053" width="50.84375" style="11" customWidth="1"/>
    <col min="2054" max="2054" width="15.4609375" style="11" bestFit="1" customWidth="1"/>
    <col min="2055" max="2055" width="8.69140625" style="11" customWidth="1"/>
    <col min="2056" max="2056" width="13.15234375" style="11" customWidth="1"/>
    <col min="2057" max="2058" width="9.15234375" style="11"/>
    <col min="2059" max="2059" width="11" style="11" customWidth="1"/>
    <col min="2060" max="2061" width="9.15234375" style="11"/>
    <col min="2062" max="2062" width="13.84375" style="11" customWidth="1"/>
    <col min="2063" max="2308" width="9.15234375" style="11"/>
    <col min="2309" max="2309" width="50.84375" style="11" customWidth="1"/>
    <col min="2310" max="2310" width="15.4609375" style="11" bestFit="1" customWidth="1"/>
    <col min="2311" max="2311" width="8.69140625" style="11" customWidth="1"/>
    <col min="2312" max="2312" width="13.15234375" style="11" customWidth="1"/>
    <col min="2313" max="2314" width="9.15234375" style="11"/>
    <col min="2315" max="2315" width="11" style="11" customWidth="1"/>
    <col min="2316" max="2317" width="9.15234375" style="11"/>
    <col min="2318" max="2318" width="13.84375" style="11" customWidth="1"/>
    <col min="2319" max="2564" width="9.15234375" style="11"/>
    <col min="2565" max="2565" width="50.84375" style="11" customWidth="1"/>
    <col min="2566" max="2566" width="15.4609375" style="11" bestFit="1" customWidth="1"/>
    <col min="2567" max="2567" width="8.69140625" style="11" customWidth="1"/>
    <col min="2568" max="2568" width="13.15234375" style="11" customWidth="1"/>
    <col min="2569" max="2570" width="9.15234375" style="11"/>
    <col min="2571" max="2571" width="11" style="11" customWidth="1"/>
    <col min="2572" max="2573" width="9.15234375" style="11"/>
    <col min="2574" max="2574" width="13.84375" style="11" customWidth="1"/>
    <col min="2575" max="2820" width="9.15234375" style="11"/>
    <col min="2821" max="2821" width="50.84375" style="11" customWidth="1"/>
    <col min="2822" max="2822" width="15.4609375" style="11" bestFit="1" customWidth="1"/>
    <col min="2823" max="2823" width="8.69140625" style="11" customWidth="1"/>
    <col min="2824" max="2824" width="13.15234375" style="11" customWidth="1"/>
    <col min="2825" max="2826" width="9.15234375" style="11"/>
    <col min="2827" max="2827" width="11" style="11" customWidth="1"/>
    <col min="2828" max="2829" width="9.15234375" style="11"/>
    <col min="2830" max="2830" width="13.84375" style="11" customWidth="1"/>
    <col min="2831" max="3076" width="9.15234375" style="11"/>
    <col min="3077" max="3077" width="50.84375" style="11" customWidth="1"/>
    <col min="3078" max="3078" width="15.4609375" style="11" bestFit="1" customWidth="1"/>
    <col min="3079" max="3079" width="8.69140625" style="11" customWidth="1"/>
    <col min="3080" max="3080" width="13.15234375" style="11" customWidth="1"/>
    <col min="3081" max="3082" width="9.15234375" style="11"/>
    <col min="3083" max="3083" width="11" style="11" customWidth="1"/>
    <col min="3084" max="3085" width="9.15234375" style="11"/>
    <col min="3086" max="3086" width="13.84375" style="11" customWidth="1"/>
    <col min="3087" max="3332" width="9.15234375" style="11"/>
    <col min="3333" max="3333" width="50.84375" style="11" customWidth="1"/>
    <col min="3334" max="3334" width="15.4609375" style="11" bestFit="1" customWidth="1"/>
    <col min="3335" max="3335" width="8.69140625" style="11" customWidth="1"/>
    <col min="3336" max="3336" width="13.15234375" style="11" customWidth="1"/>
    <col min="3337" max="3338" width="9.15234375" style="11"/>
    <col min="3339" max="3339" width="11" style="11" customWidth="1"/>
    <col min="3340" max="3341" width="9.15234375" style="11"/>
    <col min="3342" max="3342" width="13.84375" style="11" customWidth="1"/>
    <col min="3343" max="3588" width="9.15234375" style="11"/>
    <col min="3589" max="3589" width="50.84375" style="11" customWidth="1"/>
    <col min="3590" max="3590" width="15.4609375" style="11" bestFit="1" customWidth="1"/>
    <col min="3591" max="3591" width="8.69140625" style="11" customWidth="1"/>
    <col min="3592" max="3592" width="13.15234375" style="11" customWidth="1"/>
    <col min="3593" max="3594" width="9.15234375" style="11"/>
    <col min="3595" max="3595" width="11" style="11" customWidth="1"/>
    <col min="3596" max="3597" width="9.15234375" style="11"/>
    <col min="3598" max="3598" width="13.84375" style="11" customWidth="1"/>
    <col min="3599" max="3844" width="9.15234375" style="11"/>
    <col min="3845" max="3845" width="50.84375" style="11" customWidth="1"/>
    <col min="3846" max="3846" width="15.4609375" style="11" bestFit="1" customWidth="1"/>
    <col min="3847" max="3847" width="8.69140625" style="11" customWidth="1"/>
    <col min="3848" max="3848" width="13.15234375" style="11" customWidth="1"/>
    <col min="3849" max="3850" width="9.15234375" style="11"/>
    <col min="3851" max="3851" width="11" style="11" customWidth="1"/>
    <col min="3852" max="3853" width="9.15234375" style="11"/>
    <col min="3854" max="3854" width="13.84375" style="11" customWidth="1"/>
    <col min="3855" max="4100" width="9.15234375" style="11"/>
    <col min="4101" max="4101" width="50.84375" style="11" customWidth="1"/>
    <col min="4102" max="4102" width="15.4609375" style="11" bestFit="1" customWidth="1"/>
    <col min="4103" max="4103" width="8.69140625" style="11" customWidth="1"/>
    <col min="4104" max="4104" width="13.15234375" style="11" customWidth="1"/>
    <col min="4105" max="4106" width="9.15234375" style="11"/>
    <col min="4107" max="4107" width="11" style="11" customWidth="1"/>
    <col min="4108" max="4109" width="9.15234375" style="11"/>
    <col min="4110" max="4110" width="13.84375" style="11" customWidth="1"/>
    <col min="4111" max="4356" width="9.15234375" style="11"/>
    <col min="4357" max="4357" width="50.84375" style="11" customWidth="1"/>
    <col min="4358" max="4358" width="15.4609375" style="11" bestFit="1" customWidth="1"/>
    <col min="4359" max="4359" width="8.69140625" style="11" customWidth="1"/>
    <col min="4360" max="4360" width="13.15234375" style="11" customWidth="1"/>
    <col min="4361" max="4362" width="9.15234375" style="11"/>
    <col min="4363" max="4363" width="11" style="11" customWidth="1"/>
    <col min="4364" max="4365" width="9.15234375" style="11"/>
    <col min="4366" max="4366" width="13.84375" style="11" customWidth="1"/>
    <col min="4367" max="4612" width="9.15234375" style="11"/>
    <col min="4613" max="4613" width="50.84375" style="11" customWidth="1"/>
    <col min="4614" max="4614" width="15.4609375" style="11" bestFit="1" customWidth="1"/>
    <col min="4615" max="4615" width="8.69140625" style="11" customWidth="1"/>
    <col min="4616" max="4616" width="13.15234375" style="11" customWidth="1"/>
    <col min="4617" max="4618" width="9.15234375" style="11"/>
    <col min="4619" max="4619" width="11" style="11" customWidth="1"/>
    <col min="4620" max="4621" width="9.15234375" style="11"/>
    <col min="4622" max="4622" width="13.84375" style="11" customWidth="1"/>
    <col min="4623" max="4868" width="9.15234375" style="11"/>
    <col min="4869" max="4869" width="50.84375" style="11" customWidth="1"/>
    <col min="4870" max="4870" width="15.4609375" style="11" bestFit="1" customWidth="1"/>
    <col min="4871" max="4871" width="8.69140625" style="11" customWidth="1"/>
    <col min="4872" max="4872" width="13.15234375" style="11" customWidth="1"/>
    <col min="4873" max="4874" width="9.15234375" style="11"/>
    <col min="4875" max="4875" width="11" style="11" customWidth="1"/>
    <col min="4876" max="4877" width="9.15234375" style="11"/>
    <col min="4878" max="4878" width="13.84375" style="11" customWidth="1"/>
    <col min="4879" max="5124" width="9.15234375" style="11"/>
    <col min="5125" max="5125" width="50.84375" style="11" customWidth="1"/>
    <col min="5126" max="5126" width="15.4609375" style="11" bestFit="1" customWidth="1"/>
    <col min="5127" max="5127" width="8.69140625" style="11" customWidth="1"/>
    <col min="5128" max="5128" width="13.15234375" style="11" customWidth="1"/>
    <col min="5129" max="5130" width="9.15234375" style="11"/>
    <col min="5131" max="5131" width="11" style="11" customWidth="1"/>
    <col min="5132" max="5133" width="9.15234375" style="11"/>
    <col min="5134" max="5134" width="13.84375" style="11" customWidth="1"/>
    <col min="5135" max="5380" width="9.15234375" style="11"/>
    <col min="5381" max="5381" width="50.84375" style="11" customWidth="1"/>
    <col min="5382" max="5382" width="15.4609375" style="11" bestFit="1" customWidth="1"/>
    <col min="5383" max="5383" width="8.69140625" style="11" customWidth="1"/>
    <col min="5384" max="5384" width="13.15234375" style="11" customWidth="1"/>
    <col min="5385" max="5386" width="9.15234375" style="11"/>
    <col min="5387" max="5387" width="11" style="11" customWidth="1"/>
    <col min="5388" max="5389" width="9.15234375" style="11"/>
    <col min="5390" max="5390" width="13.84375" style="11" customWidth="1"/>
    <col min="5391" max="5636" width="9.15234375" style="11"/>
    <col min="5637" max="5637" width="50.84375" style="11" customWidth="1"/>
    <col min="5638" max="5638" width="15.4609375" style="11" bestFit="1" customWidth="1"/>
    <col min="5639" max="5639" width="8.69140625" style="11" customWidth="1"/>
    <col min="5640" max="5640" width="13.15234375" style="11" customWidth="1"/>
    <col min="5641" max="5642" width="9.15234375" style="11"/>
    <col min="5643" max="5643" width="11" style="11" customWidth="1"/>
    <col min="5644" max="5645" width="9.15234375" style="11"/>
    <col min="5646" max="5646" width="13.84375" style="11" customWidth="1"/>
    <col min="5647" max="5892" width="9.15234375" style="11"/>
    <col min="5893" max="5893" width="50.84375" style="11" customWidth="1"/>
    <col min="5894" max="5894" width="15.4609375" style="11" bestFit="1" customWidth="1"/>
    <col min="5895" max="5895" width="8.69140625" style="11" customWidth="1"/>
    <col min="5896" max="5896" width="13.15234375" style="11" customWidth="1"/>
    <col min="5897" max="5898" width="9.15234375" style="11"/>
    <col min="5899" max="5899" width="11" style="11" customWidth="1"/>
    <col min="5900" max="5901" width="9.15234375" style="11"/>
    <col min="5902" max="5902" width="13.84375" style="11" customWidth="1"/>
    <col min="5903" max="6148" width="9.15234375" style="11"/>
    <col min="6149" max="6149" width="50.84375" style="11" customWidth="1"/>
    <col min="6150" max="6150" width="15.4609375" style="11" bestFit="1" customWidth="1"/>
    <col min="6151" max="6151" width="8.69140625" style="11" customWidth="1"/>
    <col min="6152" max="6152" width="13.15234375" style="11" customWidth="1"/>
    <col min="6153" max="6154" width="9.15234375" style="11"/>
    <col min="6155" max="6155" width="11" style="11" customWidth="1"/>
    <col min="6156" max="6157" width="9.15234375" style="11"/>
    <col min="6158" max="6158" width="13.84375" style="11" customWidth="1"/>
    <col min="6159" max="6404" width="9.15234375" style="11"/>
    <col min="6405" max="6405" width="50.84375" style="11" customWidth="1"/>
    <col min="6406" max="6406" width="15.4609375" style="11" bestFit="1" customWidth="1"/>
    <col min="6407" max="6407" width="8.69140625" style="11" customWidth="1"/>
    <col min="6408" max="6408" width="13.15234375" style="11" customWidth="1"/>
    <col min="6409" max="6410" width="9.15234375" style="11"/>
    <col min="6411" max="6411" width="11" style="11" customWidth="1"/>
    <col min="6412" max="6413" width="9.15234375" style="11"/>
    <col min="6414" max="6414" width="13.84375" style="11" customWidth="1"/>
    <col min="6415" max="6660" width="9.15234375" style="11"/>
    <col min="6661" max="6661" width="50.84375" style="11" customWidth="1"/>
    <col min="6662" max="6662" width="15.4609375" style="11" bestFit="1" customWidth="1"/>
    <col min="6663" max="6663" width="8.69140625" style="11" customWidth="1"/>
    <col min="6664" max="6664" width="13.15234375" style="11" customWidth="1"/>
    <col min="6665" max="6666" width="9.15234375" style="11"/>
    <col min="6667" max="6667" width="11" style="11" customWidth="1"/>
    <col min="6668" max="6669" width="9.15234375" style="11"/>
    <col min="6670" max="6670" width="13.84375" style="11" customWidth="1"/>
    <col min="6671" max="6916" width="9.15234375" style="11"/>
    <col min="6917" max="6917" width="50.84375" style="11" customWidth="1"/>
    <col min="6918" max="6918" width="15.4609375" style="11" bestFit="1" customWidth="1"/>
    <col min="6919" max="6919" width="8.69140625" style="11" customWidth="1"/>
    <col min="6920" max="6920" width="13.15234375" style="11" customWidth="1"/>
    <col min="6921" max="6922" width="9.15234375" style="11"/>
    <col min="6923" max="6923" width="11" style="11" customWidth="1"/>
    <col min="6924" max="6925" width="9.15234375" style="11"/>
    <col min="6926" max="6926" width="13.84375" style="11" customWidth="1"/>
    <col min="6927" max="7172" width="9.15234375" style="11"/>
    <col min="7173" max="7173" width="50.84375" style="11" customWidth="1"/>
    <col min="7174" max="7174" width="15.4609375" style="11" bestFit="1" customWidth="1"/>
    <col min="7175" max="7175" width="8.69140625" style="11" customWidth="1"/>
    <col min="7176" max="7176" width="13.15234375" style="11" customWidth="1"/>
    <col min="7177" max="7178" width="9.15234375" style="11"/>
    <col min="7179" max="7179" width="11" style="11" customWidth="1"/>
    <col min="7180" max="7181" width="9.15234375" style="11"/>
    <col min="7182" max="7182" width="13.84375" style="11" customWidth="1"/>
    <col min="7183" max="7428" width="9.15234375" style="11"/>
    <col min="7429" max="7429" width="50.84375" style="11" customWidth="1"/>
    <col min="7430" max="7430" width="15.4609375" style="11" bestFit="1" customWidth="1"/>
    <col min="7431" max="7431" width="8.69140625" style="11" customWidth="1"/>
    <col min="7432" max="7432" width="13.15234375" style="11" customWidth="1"/>
    <col min="7433" max="7434" width="9.15234375" style="11"/>
    <col min="7435" max="7435" width="11" style="11" customWidth="1"/>
    <col min="7436" max="7437" width="9.15234375" style="11"/>
    <col min="7438" max="7438" width="13.84375" style="11" customWidth="1"/>
    <col min="7439" max="7684" width="9.15234375" style="11"/>
    <col min="7685" max="7685" width="50.84375" style="11" customWidth="1"/>
    <col min="7686" max="7686" width="15.4609375" style="11" bestFit="1" customWidth="1"/>
    <col min="7687" max="7687" width="8.69140625" style="11" customWidth="1"/>
    <col min="7688" max="7688" width="13.15234375" style="11" customWidth="1"/>
    <col min="7689" max="7690" width="9.15234375" style="11"/>
    <col min="7691" max="7691" width="11" style="11" customWidth="1"/>
    <col min="7692" max="7693" width="9.15234375" style="11"/>
    <col min="7694" max="7694" width="13.84375" style="11" customWidth="1"/>
    <col min="7695" max="7940" width="9.15234375" style="11"/>
    <col min="7941" max="7941" width="50.84375" style="11" customWidth="1"/>
    <col min="7942" max="7942" width="15.4609375" style="11" bestFit="1" customWidth="1"/>
    <col min="7943" max="7943" width="8.69140625" style="11" customWidth="1"/>
    <col min="7944" max="7944" width="13.15234375" style="11" customWidth="1"/>
    <col min="7945" max="7946" width="9.15234375" style="11"/>
    <col min="7947" max="7947" width="11" style="11" customWidth="1"/>
    <col min="7948" max="7949" width="9.15234375" style="11"/>
    <col min="7950" max="7950" width="13.84375" style="11" customWidth="1"/>
    <col min="7951" max="8196" width="9.15234375" style="11"/>
    <col min="8197" max="8197" width="50.84375" style="11" customWidth="1"/>
    <col min="8198" max="8198" width="15.4609375" style="11" bestFit="1" customWidth="1"/>
    <col min="8199" max="8199" width="8.69140625" style="11" customWidth="1"/>
    <col min="8200" max="8200" width="13.15234375" style="11" customWidth="1"/>
    <col min="8201" max="8202" width="9.15234375" style="11"/>
    <col min="8203" max="8203" width="11" style="11" customWidth="1"/>
    <col min="8204" max="8205" width="9.15234375" style="11"/>
    <col min="8206" max="8206" width="13.84375" style="11" customWidth="1"/>
    <col min="8207" max="8452" width="9.15234375" style="11"/>
    <col min="8453" max="8453" width="50.84375" style="11" customWidth="1"/>
    <col min="8454" max="8454" width="15.4609375" style="11" bestFit="1" customWidth="1"/>
    <col min="8455" max="8455" width="8.69140625" style="11" customWidth="1"/>
    <col min="8456" max="8456" width="13.15234375" style="11" customWidth="1"/>
    <col min="8457" max="8458" width="9.15234375" style="11"/>
    <col min="8459" max="8459" width="11" style="11" customWidth="1"/>
    <col min="8460" max="8461" width="9.15234375" style="11"/>
    <col min="8462" max="8462" width="13.84375" style="11" customWidth="1"/>
    <col min="8463" max="8708" width="9.15234375" style="11"/>
    <col min="8709" max="8709" width="50.84375" style="11" customWidth="1"/>
    <col min="8710" max="8710" width="15.4609375" style="11" bestFit="1" customWidth="1"/>
    <col min="8711" max="8711" width="8.69140625" style="11" customWidth="1"/>
    <col min="8712" max="8712" width="13.15234375" style="11" customWidth="1"/>
    <col min="8713" max="8714" width="9.15234375" style="11"/>
    <col min="8715" max="8715" width="11" style="11" customWidth="1"/>
    <col min="8716" max="8717" width="9.15234375" style="11"/>
    <col min="8718" max="8718" width="13.84375" style="11" customWidth="1"/>
    <col min="8719" max="8964" width="9.15234375" style="11"/>
    <col min="8965" max="8965" width="50.84375" style="11" customWidth="1"/>
    <col min="8966" max="8966" width="15.4609375" style="11" bestFit="1" customWidth="1"/>
    <col min="8967" max="8967" width="8.69140625" style="11" customWidth="1"/>
    <col min="8968" max="8968" width="13.15234375" style="11" customWidth="1"/>
    <col min="8969" max="8970" width="9.15234375" style="11"/>
    <col min="8971" max="8971" width="11" style="11" customWidth="1"/>
    <col min="8972" max="8973" width="9.15234375" style="11"/>
    <col min="8974" max="8974" width="13.84375" style="11" customWidth="1"/>
    <col min="8975" max="9220" width="9.15234375" style="11"/>
    <col min="9221" max="9221" width="50.84375" style="11" customWidth="1"/>
    <col min="9222" max="9222" width="15.4609375" style="11" bestFit="1" customWidth="1"/>
    <col min="9223" max="9223" width="8.69140625" style="11" customWidth="1"/>
    <col min="9224" max="9224" width="13.15234375" style="11" customWidth="1"/>
    <col min="9225" max="9226" width="9.15234375" style="11"/>
    <col min="9227" max="9227" width="11" style="11" customWidth="1"/>
    <col min="9228" max="9229" width="9.15234375" style="11"/>
    <col min="9230" max="9230" width="13.84375" style="11" customWidth="1"/>
    <col min="9231" max="9476" width="9.15234375" style="11"/>
    <col min="9477" max="9477" width="50.84375" style="11" customWidth="1"/>
    <col min="9478" max="9478" width="15.4609375" style="11" bestFit="1" customWidth="1"/>
    <col min="9479" max="9479" width="8.69140625" style="11" customWidth="1"/>
    <col min="9480" max="9480" width="13.15234375" style="11" customWidth="1"/>
    <col min="9481" max="9482" width="9.15234375" style="11"/>
    <col min="9483" max="9483" width="11" style="11" customWidth="1"/>
    <col min="9484" max="9485" width="9.15234375" style="11"/>
    <col min="9486" max="9486" width="13.84375" style="11" customWidth="1"/>
    <col min="9487" max="9732" width="9.15234375" style="11"/>
    <col min="9733" max="9733" width="50.84375" style="11" customWidth="1"/>
    <col min="9734" max="9734" width="15.4609375" style="11" bestFit="1" customWidth="1"/>
    <col min="9735" max="9735" width="8.69140625" style="11" customWidth="1"/>
    <col min="9736" max="9736" width="13.15234375" style="11" customWidth="1"/>
    <col min="9737" max="9738" width="9.15234375" style="11"/>
    <col min="9739" max="9739" width="11" style="11" customWidth="1"/>
    <col min="9740" max="9741" width="9.15234375" style="11"/>
    <col min="9742" max="9742" width="13.84375" style="11" customWidth="1"/>
    <col min="9743" max="9988" width="9.15234375" style="11"/>
    <col min="9989" max="9989" width="50.84375" style="11" customWidth="1"/>
    <col min="9990" max="9990" width="15.4609375" style="11" bestFit="1" customWidth="1"/>
    <col min="9991" max="9991" width="8.69140625" style="11" customWidth="1"/>
    <col min="9992" max="9992" width="13.15234375" style="11" customWidth="1"/>
    <col min="9993" max="9994" width="9.15234375" style="11"/>
    <col min="9995" max="9995" width="11" style="11" customWidth="1"/>
    <col min="9996" max="9997" width="9.15234375" style="11"/>
    <col min="9998" max="9998" width="13.84375" style="11" customWidth="1"/>
    <col min="9999" max="10244" width="9.15234375" style="11"/>
    <col min="10245" max="10245" width="50.84375" style="11" customWidth="1"/>
    <col min="10246" max="10246" width="15.4609375" style="11" bestFit="1" customWidth="1"/>
    <col min="10247" max="10247" width="8.69140625" style="11" customWidth="1"/>
    <col min="10248" max="10248" width="13.15234375" style="11" customWidth="1"/>
    <col min="10249" max="10250" width="9.15234375" style="11"/>
    <col min="10251" max="10251" width="11" style="11" customWidth="1"/>
    <col min="10252" max="10253" width="9.15234375" style="11"/>
    <col min="10254" max="10254" width="13.84375" style="11" customWidth="1"/>
    <col min="10255" max="10500" width="9.15234375" style="11"/>
    <col min="10501" max="10501" width="50.84375" style="11" customWidth="1"/>
    <col min="10502" max="10502" width="15.4609375" style="11" bestFit="1" customWidth="1"/>
    <col min="10503" max="10503" width="8.69140625" style="11" customWidth="1"/>
    <col min="10504" max="10504" width="13.15234375" style="11" customWidth="1"/>
    <col min="10505" max="10506" width="9.15234375" style="11"/>
    <col min="10507" max="10507" width="11" style="11" customWidth="1"/>
    <col min="10508" max="10509" width="9.15234375" style="11"/>
    <col min="10510" max="10510" width="13.84375" style="11" customWidth="1"/>
    <col min="10511" max="10756" width="9.15234375" style="11"/>
    <col min="10757" max="10757" width="50.84375" style="11" customWidth="1"/>
    <col min="10758" max="10758" width="15.4609375" style="11" bestFit="1" customWidth="1"/>
    <col min="10759" max="10759" width="8.69140625" style="11" customWidth="1"/>
    <col min="10760" max="10760" width="13.15234375" style="11" customWidth="1"/>
    <col min="10761" max="10762" width="9.15234375" style="11"/>
    <col min="10763" max="10763" width="11" style="11" customWidth="1"/>
    <col min="10764" max="10765" width="9.15234375" style="11"/>
    <col min="10766" max="10766" width="13.84375" style="11" customWidth="1"/>
    <col min="10767" max="11012" width="9.15234375" style="11"/>
    <col min="11013" max="11013" width="50.84375" style="11" customWidth="1"/>
    <col min="11014" max="11014" width="15.4609375" style="11" bestFit="1" customWidth="1"/>
    <col min="11015" max="11015" width="8.69140625" style="11" customWidth="1"/>
    <col min="11016" max="11016" width="13.15234375" style="11" customWidth="1"/>
    <col min="11017" max="11018" width="9.15234375" style="11"/>
    <col min="11019" max="11019" width="11" style="11" customWidth="1"/>
    <col min="11020" max="11021" width="9.15234375" style="11"/>
    <col min="11022" max="11022" width="13.84375" style="11" customWidth="1"/>
    <col min="11023" max="11268" width="9.15234375" style="11"/>
    <col min="11269" max="11269" width="50.84375" style="11" customWidth="1"/>
    <col min="11270" max="11270" width="15.4609375" style="11" bestFit="1" customWidth="1"/>
    <col min="11271" max="11271" width="8.69140625" style="11" customWidth="1"/>
    <col min="11272" max="11272" width="13.15234375" style="11" customWidth="1"/>
    <col min="11273" max="11274" width="9.15234375" style="11"/>
    <col min="11275" max="11275" width="11" style="11" customWidth="1"/>
    <col min="11276" max="11277" width="9.15234375" style="11"/>
    <col min="11278" max="11278" width="13.84375" style="11" customWidth="1"/>
    <col min="11279" max="11524" width="9.15234375" style="11"/>
    <col min="11525" max="11525" width="50.84375" style="11" customWidth="1"/>
    <col min="11526" max="11526" width="15.4609375" style="11" bestFit="1" customWidth="1"/>
    <col min="11527" max="11527" width="8.69140625" style="11" customWidth="1"/>
    <col min="11528" max="11528" width="13.15234375" style="11" customWidth="1"/>
    <col min="11529" max="11530" width="9.15234375" style="11"/>
    <col min="11531" max="11531" width="11" style="11" customWidth="1"/>
    <col min="11532" max="11533" width="9.15234375" style="11"/>
    <col min="11534" max="11534" width="13.84375" style="11" customWidth="1"/>
    <col min="11535" max="11780" width="9.15234375" style="11"/>
    <col min="11781" max="11781" width="50.84375" style="11" customWidth="1"/>
    <col min="11782" max="11782" width="15.4609375" style="11" bestFit="1" customWidth="1"/>
    <col min="11783" max="11783" width="8.69140625" style="11" customWidth="1"/>
    <col min="11784" max="11784" width="13.15234375" style="11" customWidth="1"/>
    <col min="11785" max="11786" width="9.15234375" style="11"/>
    <col min="11787" max="11787" width="11" style="11" customWidth="1"/>
    <col min="11788" max="11789" width="9.15234375" style="11"/>
    <col min="11790" max="11790" width="13.84375" style="11" customWidth="1"/>
    <col min="11791" max="12036" width="9.15234375" style="11"/>
    <col min="12037" max="12037" width="50.84375" style="11" customWidth="1"/>
    <col min="12038" max="12038" width="15.4609375" style="11" bestFit="1" customWidth="1"/>
    <col min="12039" max="12039" width="8.69140625" style="11" customWidth="1"/>
    <col min="12040" max="12040" width="13.15234375" style="11" customWidth="1"/>
    <col min="12041" max="12042" width="9.15234375" style="11"/>
    <col min="12043" max="12043" width="11" style="11" customWidth="1"/>
    <col min="12044" max="12045" width="9.15234375" style="11"/>
    <col min="12046" max="12046" width="13.84375" style="11" customWidth="1"/>
    <col min="12047" max="12292" width="9.15234375" style="11"/>
    <col min="12293" max="12293" width="50.84375" style="11" customWidth="1"/>
    <col min="12294" max="12294" width="15.4609375" style="11" bestFit="1" customWidth="1"/>
    <col min="12295" max="12295" width="8.69140625" style="11" customWidth="1"/>
    <col min="12296" max="12296" width="13.15234375" style="11" customWidth="1"/>
    <col min="12297" max="12298" width="9.15234375" style="11"/>
    <col min="12299" max="12299" width="11" style="11" customWidth="1"/>
    <col min="12300" max="12301" width="9.15234375" style="11"/>
    <col min="12302" max="12302" width="13.84375" style="11" customWidth="1"/>
    <col min="12303" max="12548" width="9.15234375" style="11"/>
    <col min="12549" max="12549" width="50.84375" style="11" customWidth="1"/>
    <col min="12550" max="12550" width="15.4609375" style="11" bestFit="1" customWidth="1"/>
    <col min="12551" max="12551" width="8.69140625" style="11" customWidth="1"/>
    <col min="12552" max="12552" width="13.15234375" style="11" customWidth="1"/>
    <col min="12553" max="12554" width="9.15234375" style="11"/>
    <col min="12555" max="12555" width="11" style="11" customWidth="1"/>
    <col min="12556" max="12557" width="9.15234375" style="11"/>
    <col min="12558" max="12558" width="13.84375" style="11" customWidth="1"/>
    <col min="12559" max="12804" width="9.15234375" style="11"/>
    <col min="12805" max="12805" width="50.84375" style="11" customWidth="1"/>
    <col min="12806" max="12806" width="15.4609375" style="11" bestFit="1" customWidth="1"/>
    <col min="12807" max="12807" width="8.69140625" style="11" customWidth="1"/>
    <col min="12808" max="12808" width="13.15234375" style="11" customWidth="1"/>
    <col min="12809" max="12810" width="9.15234375" style="11"/>
    <col min="12811" max="12811" width="11" style="11" customWidth="1"/>
    <col min="12812" max="12813" width="9.15234375" style="11"/>
    <col min="12814" max="12814" width="13.84375" style="11" customWidth="1"/>
    <col min="12815" max="13060" width="9.15234375" style="11"/>
    <col min="13061" max="13061" width="50.84375" style="11" customWidth="1"/>
    <col min="13062" max="13062" width="15.4609375" style="11" bestFit="1" customWidth="1"/>
    <col min="13063" max="13063" width="8.69140625" style="11" customWidth="1"/>
    <col min="13064" max="13064" width="13.15234375" style="11" customWidth="1"/>
    <col min="13065" max="13066" width="9.15234375" style="11"/>
    <col min="13067" max="13067" width="11" style="11" customWidth="1"/>
    <col min="13068" max="13069" width="9.15234375" style="11"/>
    <col min="13070" max="13070" width="13.84375" style="11" customWidth="1"/>
    <col min="13071" max="13316" width="9.15234375" style="11"/>
    <col min="13317" max="13317" width="50.84375" style="11" customWidth="1"/>
    <col min="13318" max="13318" width="15.4609375" style="11" bestFit="1" customWidth="1"/>
    <col min="13319" max="13319" width="8.69140625" style="11" customWidth="1"/>
    <col min="13320" max="13320" width="13.15234375" style="11" customWidth="1"/>
    <col min="13321" max="13322" width="9.15234375" style="11"/>
    <col min="13323" max="13323" width="11" style="11" customWidth="1"/>
    <col min="13324" max="13325" width="9.15234375" style="11"/>
    <col min="13326" max="13326" width="13.84375" style="11" customWidth="1"/>
    <col min="13327" max="13572" width="9.15234375" style="11"/>
    <col min="13573" max="13573" width="50.84375" style="11" customWidth="1"/>
    <col min="13574" max="13574" width="15.4609375" style="11" bestFit="1" customWidth="1"/>
    <col min="13575" max="13575" width="8.69140625" style="11" customWidth="1"/>
    <col min="13576" max="13576" width="13.15234375" style="11" customWidth="1"/>
    <col min="13577" max="13578" width="9.15234375" style="11"/>
    <col min="13579" max="13579" width="11" style="11" customWidth="1"/>
    <col min="13580" max="13581" width="9.15234375" style="11"/>
    <col min="13582" max="13582" width="13.84375" style="11" customWidth="1"/>
    <col min="13583" max="13828" width="9.15234375" style="11"/>
    <col min="13829" max="13829" width="50.84375" style="11" customWidth="1"/>
    <col min="13830" max="13830" width="15.4609375" style="11" bestFit="1" customWidth="1"/>
    <col min="13831" max="13831" width="8.69140625" style="11" customWidth="1"/>
    <col min="13832" max="13832" width="13.15234375" style="11" customWidth="1"/>
    <col min="13833" max="13834" width="9.15234375" style="11"/>
    <col min="13835" max="13835" width="11" style="11" customWidth="1"/>
    <col min="13836" max="13837" width="9.15234375" style="11"/>
    <col min="13838" max="13838" width="13.84375" style="11" customWidth="1"/>
    <col min="13839" max="14084" width="9.15234375" style="11"/>
    <col min="14085" max="14085" width="50.84375" style="11" customWidth="1"/>
    <col min="14086" max="14086" width="15.4609375" style="11" bestFit="1" customWidth="1"/>
    <col min="14087" max="14087" width="8.69140625" style="11" customWidth="1"/>
    <col min="14088" max="14088" width="13.15234375" style="11" customWidth="1"/>
    <col min="14089" max="14090" width="9.15234375" style="11"/>
    <col min="14091" max="14091" width="11" style="11" customWidth="1"/>
    <col min="14092" max="14093" width="9.15234375" style="11"/>
    <col min="14094" max="14094" width="13.84375" style="11" customWidth="1"/>
    <col min="14095" max="14340" width="9.15234375" style="11"/>
    <col min="14341" max="14341" width="50.84375" style="11" customWidth="1"/>
    <col min="14342" max="14342" width="15.4609375" style="11" bestFit="1" customWidth="1"/>
    <col min="14343" max="14343" width="8.69140625" style="11" customWidth="1"/>
    <col min="14344" max="14344" width="13.15234375" style="11" customWidth="1"/>
    <col min="14345" max="14346" width="9.15234375" style="11"/>
    <col min="14347" max="14347" width="11" style="11" customWidth="1"/>
    <col min="14348" max="14349" width="9.15234375" style="11"/>
    <col min="14350" max="14350" width="13.84375" style="11" customWidth="1"/>
    <col min="14351" max="14596" width="9.15234375" style="11"/>
    <col min="14597" max="14597" width="50.84375" style="11" customWidth="1"/>
    <col min="14598" max="14598" width="15.4609375" style="11" bestFit="1" customWidth="1"/>
    <col min="14599" max="14599" width="8.69140625" style="11" customWidth="1"/>
    <col min="14600" max="14600" width="13.15234375" style="11" customWidth="1"/>
    <col min="14601" max="14602" width="9.15234375" style="11"/>
    <col min="14603" max="14603" width="11" style="11" customWidth="1"/>
    <col min="14604" max="14605" width="9.15234375" style="11"/>
    <col min="14606" max="14606" width="13.84375" style="11" customWidth="1"/>
    <col min="14607" max="14852" width="9.15234375" style="11"/>
    <col min="14853" max="14853" width="50.84375" style="11" customWidth="1"/>
    <col min="14854" max="14854" width="15.4609375" style="11" bestFit="1" customWidth="1"/>
    <col min="14855" max="14855" width="8.69140625" style="11" customWidth="1"/>
    <col min="14856" max="14856" width="13.15234375" style="11" customWidth="1"/>
    <col min="14857" max="14858" width="9.15234375" style="11"/>
    <col min="14859" max="14859" width="11" style="11" customWidth="1"/>
    <col min="14860" max="14861" width="9.15234375" style="11"/>
    <col min="14862" max="14862" width="13.84375" style="11" customWidth="1"/>
    <col min="14863" max="15108" width="9.15234375" style="11"/>
    <col min="15109" max="15109" width="50.84375" style="11" customWidth="1"/>
    <col min="15110" max="15110" width="15.4609375" style="11" bestFit="1" customWidth="1"/>
    <col min="15111" max="15111" width="8.69140625" style="11" customWidth="1"/>
    <col min="15112" max="15112" width="13.15234375" style="11" customWidth="1"/>
    <col min="15113" max="15114" width="9.15234375" style="11"/>
    <col min="15115" max="15115" width="11" style="11" customWidth="1"/>
    <col min="15116" max="15117" width="9.15234375" style="11"/>
    <col min="15118" max="15118" width="13.84375" style="11" customWidth="1"/>
    <col min="15119" max="15364" width="9.15234375" style="11"/>
    <col min="15365" max="15365" width="50.84375" style="11" customWidth="1"/>
    <col min="15366" max="15366" width="15.4609375" style="11" bestFit="1" customWidth="1"/>
    <col min="15367" max="15367" width="8.69140625" style="11" customWidth="1"/>
    <col min="15368" max="15368" width="13.15234375" style="11" customWidth="1"/>
    <col min="15369" max="15370" width="9.15234375" style="11"/>
    <col min="15371" max="15371" width="11" style="11" customWidth="1"/>
    <col min="15372" max="15373" width="9.15234375" style="11"/>
    <col min="15374" max="15374" width="13.84375" style="11" customWidth="1"/>
    <col min="15375" max="15620" width="9.15234375" style="11"/>
    <col min="15621" max="15621" width="50.84375" style="11" customWidth="1"/>
    <col min="15622" max="15622" width="15.4609375" style="11" bestFit="1" customWidth="1"/>
    <col min="15623" max="15623" width="8.69140625" style="11" customWidth="1"/>
    <col min="15624" max="15624" width="13.15234375" style="11" customWidth="1"/>
    <col min="15625" max="15626" width="9.15234375" style="11"/>
    <col min="15627" max="15627" width="11" style="11" customWidth="1"/>
    <col min="15628" max="15629" width="9.15234375" style="11"/>
    <col min="15630" max="15630" width="13.84375" style="11" customWidth="1"/>
    <col min="15631" max="15876" width="9.15234375" style="11"/>
    <col min="15877" max="15877" width="50.84375" style="11" customWidth="1"/>
    <col min="15878" max="15878" width="15.4609375" style="11" bestFit="1" customWidth="1"/>
    <col min="15879" max="15879" width="8.69140625" style="11" customWidth="1"/>
    <col min="15880" max="15880" width="13.15234375" style="11" customWidth="1"/>
    <col min="15881" max="15882" width="9.15234375" style="11"/>
    <col min="15883" max="15883" width="11" style="11" customWidth="1"/>
    <col min="15884" max="15885" width="9.15234375" style="11"/>
    <col min="15886" max="15886" width="13.84375" style="11" customWidth="1"/>
    <col min="15887" max="16132" width="9.15234375" style="11"/>
    <col min="16133" max="16133" width="50.84375" style="11" customWidth="1"/>
    <col min="16134" max="16134" width="15.4609375" style="11" bestFit="1" customWidth="1"/>
    <col min="16135" max="16135" width="8.69140625" style="11" customWidth="1"/>
    <col min="16136" max="16136" width="13.15234375" style="11" customWidth="1"/>
    <col min="16137" max="16138" width="9.15234375" style="11"/>
    <col min="16139" max="16139" width="11" style="11" customWidth="1"/>
    <col min="16140" max="16141" width="9.15234375" style="11"/>
    <col min="16142" max="16142" width="13.84375" style="11" customWidth="1"/>
    <col min="16143" max="16384" width="9.15234375" style="11"/>
  </cols>
  <sheetData>
    <row r="1" spans="1:18" ht="17.600000000000001">
      <c r="A1" s="597" t="s">
        <v>429</v>
      </c>
      <c r="B1" s="597"/>
      <c r="C1" s="597"/>
      <c r="D1" s="597"/>
      <c r="E1" s="597"/>
      <c r="F1" s="597"/>
      <c r="G1" s="597"/>
      <c r="H1" s="597"/>
      <c r="I1" s="8"/>
      <c r="J1" s="10"/>
      <c r="K1" s="10"/>
      <c r="P1" s="10"/>
      <c r="Q1" s="10"/>
      <c r="R1" s="10"/>
    </row>
    <row r="2" spans="1:18" ht="17.600000000000001">
      <c r="A2" s="598" t="s">
        <v>72</v>
      </c>
      <c r="B2" s="598"/>
      <c r="C2" s="598"/>
      <c r="D2" s="598"/>
      <c r="E2" s="598"/>
      <c r="F2" s="598"/>
      <c r="G2" s="598"/>
      <c r="H2" s="598"/>
      <c r="I2" s="10"/>
      <c r="J2" s="10"/>
      <c r="K2" s="10"/>
      <c r="P2" s="10"/>
      <c r="Q2" s="10"/>
      <c r="R2" s="10"/>
    </row>
    <row r="3" spans="1:18" ht="17.600000000000001">
      <c r="A3" s="450" t="s">
        <v>403</v>
      </c>
      <c r="B3" s="12"/>
      <c r="C3" s="12"/>
      <c r="D3" s="12"/>
      <c r="E3" s="12"/>
      <c r="F3" s="12"/>
      <c r="G3" s="12"/>
      <c r="H3" s="13"/>
      <c r="I3" s="10"/>
      <c r="J3" s="10"/>
      <c r="K3" s="10"/>
      <c r="L3" s="11" t="s">
        <v>72</v>
      </c>
      <c r="P3" s="10"/>
      <c r="Q3" s="10"/>
      <c r="R3" s="10"/>
    </row>
    <row r="4" spans="1:18" ht="17.600000000000001">
      <c r="A4" s="14"/>
      <c r="B4" s="14"/>
      <c r="C4" s="14"/>
      <c r="D4" s="14"/>
      <c r="E4" s="14"/>
      <c r="F4" s="14"/>
      <c r="G4" s="14"/>
      <c r="H4" s="14"/>
      <c r="I4" s="10"/>
      <c r="J4" s="10"/>
      <c r="K4" s="10"/>
      <c r="P4" s="10"/>
      <c r="Q4" s="10"/>
      <c r="R4" s="10"/>
    </row>
    <row r="5" spans="1:18" ht="15.9">
      <c r="A5" s="287" t="s">
        <v>355</v>
      </c>
      <c r="B5" s="15" t="s">
        <v>73</v>
      </c>
      <c r="C5" s="16" t="s">
        <v>74</v>
      </c>
      <c r="D5" s="17" t="s">
        <v>75</v>
      </c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5.9">
      <c r="A6" s="284" t="s">
        <v>65</v>
      </c>
      <c r="B6" s="19">
        <f ca="1">TRACK_Emissions!F11*products!J34</f>
        <v>8567832</v>
      </c>
      <c r="C6" s="20">
        <v>42</v>
      </c>
      <c r="D6" s="21">
        <f ca="1">PRODUCT(C6,B6)</f>
        <v>359848944</v>
      </c>
      <c r="E6" s="535">
        <f>products!J34</f>
        <v>1</v>
      </c>
      <c r="F6" s="38" t="s">
        <v>363</v>
      </c>
      <c r="G6" s="3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9">
      <c r="A7" s="285" t="s">
        <v>283</v>
      </c>
      <c r="B7" s="19">
        <f ca="1">TRACK_Emissions!F13*products!J41</f>
        <v>0</v>
      </c>
      <c r="C7" s="20">
        <v>42</v>
      </c>
      <c r="D7" s="21">
        <f ca="1">PRODUCT(C7,B7)</f>
        <v>0</v>
      </c>
      <c r="G7" s="282"/>
      <c r="H7" s="283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9">
      <c r="A8" s="285" t="s">
        <v>207</v>
      </c>
      <c r="B8" s="19">
        <f ca="1">TRACK_Emissions!F18*products!J41</f>
        <v>0</v>
      </c>
      <c r="C8" s="20">
        <v>42</v>
      </c>
      <c r="D8" s="21">
        <f ca="1">PRODUCT(C8,B8)</f>
        <v>0</v>
      </c>
      <c r="G8" s="282"/>
      <c r="H8" s="283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9">
      <c r="A9" s="285" t="s">
        <v>282</v>
      </c>
      <c r="B9" s="19">
        <f ca="1">TRACK_Emissions!F15*products!J35</f>
        <v>7061652</v>
      </c>
      <c r="C9" s="20">
        <v>42</v>
      </c>
      <c r="D9" s="21">
        <f ca="1">PRODUCT(C9,B9)</f>
        <v>296589384</v>
      </c>
      <c r="E9" s="535">
        <f>products!J35</f>
        <v>0.65</v>
      </c>
      <c r="F9" s="38" t="s">
        <v>363</v>
      </c>
      <c r="G9" s="282"/>
      <c r="H9" s="283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>
      <c r="A10" s="18"/>
      <c r="B10" s="22"/>
      <c r="C10" s="22"/>
      <c r="D10" s="22"/>
      <c r="E10" s="22"/>
      <c r="F10" s="2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.9">
      <c r="A11" s="23" t="s">
        <v>404</v>
      </c>
      <c r="I11" s="18"/>
      <c r="J11" s="18"/>
      <c r="K11" s="18"/>
      <c r="N11" s="24"/>
      <c r="Q11" s="18"/>
      <c r="R11" s="18"/>
    </row>
    <row r="12" spans="1:18" ht="15.9">
      <c r="A12" s="288" t="s">
        <v>326</v>
      </c>
      <c r="B12" s="307" t="s">
        <v>65</v>
      </c>
      <c r="C12" s="288" t="s">
        <v>327</v>
      </c>
      <c r="D12" s="306" t="s">
        <v>283</v>
      </c>
      <c r="E12" s="314" t="s">
        <v>357</v>
      </c>
      <c r="F12" s="26" t="s">
        <v>282</v>
      </c>
      <c r="H12" s="27" t="s">
        <v>71</v>
      </c>
      <c r="I12" s="18"/>
      <c r="J12" s="18"/>
      <c r="K12" s="18"/>
      <c r="N12" s="24"/>
      <c r="Q12" s="18"/>
      <c r="R12" s="18"/>
    </row>
    <row r="13" spans="1:18" ht="15.9">
      <c r="A13" s="25" t="s">
        <v>265</v>
      </c>
      <c r="B13" s="307">
        <v>1.02</v>
      </c>
      <c r="C13" s="325" t="s">
        <v>334</v>
      </c>
      <c r="D13" s="307">
        <v>0.5</v>
      </c>
      <c r="E13" s="282">
        <v>0.5</v>
      </c>
      <c r="F13" s="307">
        <v>0.5</v>
      </c>
      <c r="H13" s="27" t="s">
        <v>329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8" ht="15.9">
      <c r="A14" s="29" t="s">
        <v>266</v>
      </c>
      <c r="B14" s="308">
        <v>7</v>
      </c>
      <c r="C14" s="326" t="s">
        <v>266</v>
      </c>
      <c r="D14" s="308">
        <v>2.68</v>
      </c>
      <c r="E14" s="369">
        <v>1.8</v>
      </c>
      <c r="F14" s="370">
        <v>1.0999999999999999E-2</v>
      </c>
      <c r="H14" s="289"/>
      <c r="I14" s="97"/>
      <c r="J14" s="97"/>
      <c r="K14" s="97"/>
      <c r="L14" s="97"/>
      <c r="M14" s="97"/>
      <c r="N14" s="97"/>
      <c r="O14" s="97"/>
      <c r="P14" s="97"/>
      <c r="Q14" s="169"/>
    </row>
    <row r="15" spans="1:18" ht="15.9">
      <c r="A15" s="29" t="s">
        <v>267</v>
      </c>
      <c r="B15" s="308">
        <v>50</v>
      </c>
      <c r="C15" s="326" t="s">
        <v>267</v>
      </c>
      <c r="D15" s="308">
        <v>80</v>
      </c>
      <c r="E15" s="369">
        <v>46</v>
      </c>
      <c r="F15" s="308">
        <v>130</v>
      </c>
      <c r="H15" s="290" t="s">
        <v>325</v>
      </c>
      <c r="I15" s="28"/>
      <c r="J15" s="28"/>
      <c r="K15" s="28"/>
      <c r="L15" s="28"/>
      <c r="M15" s="28"/>
      <c r="N15" s="28"/>
      <c r="O15" s="28"/>
      <c r="P15" s="28"/>
      <c r="Q15" s="170"/>
    </row>
    <row r="16" spans="1:18" ht="15.9">
      <c r="A16" s="29" t="s">
        <v>268</v>
      </c>
      <c r="B16" s="309">
        <v>530</v>
      </c>
      <c r="C16" s="326" t="s">
        <v>335</v>
      </c>
      <c r="D16" s="309">
        <v>528</v>
      </c>
      <c r="E16" s="282">
        <v>528</v>
      </c>
      <c r="F16" s="309">
        <v>528</v>
      </c>
      <c r="H16" s="291" t="s">
        <v>273</v>
      </c>
      <c r="I16" s="27"/>
      <c r="J16" s="27"/>
      <c r="K16" s="27"/>
      <c r="L16" s="28"/>
      <c r="M16" s="28"/>
      <c r="N16" s="28"/>
      <c r="O16" s="28"/>
      <c r="P16" s="28"/>
      <c r="Q16" s="170"/>
    </row>
    <row r="17" spans="1:17" ht="15.9">
      <c r="A17" s="29" t="s">
        <v>269</v>
      </c>
      <c r="B17" s="310">
        <f>1.84*(0.44 *B14-0.42)*B15*B13/B16</f>
        <v>0.47097056603773585</v>
      </c>
      <c r="C17" s="326" t="s">
        <v>336</v>
      </c>
      <c r="D17" s="310">
        <f>12.46*D13*D14*D15/D16</f>
        <v>2.5297575757575759</v>
      </c>
      <c r="E17" s="371">
        <f t="shared" ref="E17:F17" si="0">12.46*E13*E14*E15/E16</f>
        <v>0.97697727272727286</v>
      </c>
      <c r="F17" s="310">
        <f t="shared" si="0"/>
        <v>1.6872916666666668E-2</v>
      </c>
      <c r="H17" s="292" t="s">
        <v>264</v>
      </c>
      <c r="I17" s="28"/>
      <c r="J17" s="28"/>
      <c r="K17" s="28"/>
      <c r="L17" s="28"/>
      <c r="M17" s="28"/>
      <c r="N17" s="28"/>
      <c r="O17" s="28"/>
      <c r="P17" s="28"/>
      <c r="Q17" s="170"/>
    </row>
    <row r="18" spans="1:17" ht="15.9">
      <c r="A18" s="29" t="s">
        <v>270</v>
      </c>
      <c r="B18" s="310">
        <f>B17+I25</f>
        <v>1.3309705660377358</v>
      </c>
      <c r="C18" s="326" t="s">
        <v>337</v>
      </c>
      <c r="D18" s="310">
        <f>D17</f>
        <v>2.5297575757575759</v>
      </c>
      <c r="E18" s="371">
        <f t="shared" ref="E18:F18" si="1">E17</f>
        <v>0.97697727272727286</v>
      </c>
      <c r="F18" s="310">
        <f t="shared" si="1"/>
        <v>1.6872916666666668E-2</v>
      </c>
      <c r="H18" s="293"/>
      <c r="I18" s="28"/>
      <c r="J18" s="28"/>
      <c r="K18" s="28"/>
      <c r="L18" s="28"/>
      <c r="M18" s="28"/>
      <c r="N18" s="28"/>
      <c r="O18" s="28"/>
      <c r="P18" s="28"/>
      <c r="Q18" s="170"/>
    </row>
    <row r="19" spans="1:17" ht="15.9">
      <c r="A19" s="29" t="s">
        <v>76</v>
      </c>
      <c r="B19" s="311">
        <f ca="1">D6</f>
        <v>359848944</v>
      </c>
      <c r="C19" s="326" t="s">
        <v>338</v>
      </c>
      <c r="D19" s="311">
        <f ca="1">D7</f>
        <v>0</v>
      </c>
      <c r="E19" s="283">
        <f ca="1">D8</f>
        <v>0</v>
      </c>
      <c r="F19" s="311">
        <f ca="1">D9</f>
        <v>296589384</v>
      </c>
      <c r="H19" s="317" t="s">
        <v>271</v>
      </c>
      <c r="I19" s="318"/>
      <c r="J19" s="318"/>
      <c r="K19" s="318"/>
      <c r="L19" s="318"/>
      <c r="M19" s="28"/>
      <c r="N19" s="28"/>
      <c r="O19" s="28"/>
      <c r="P19" s="28"/>
      <c r="Q19" s="170"/>
    </row>
    <row r="20" spans="1:17" ht="15.9">
      <c r="A20" s="31" t="s">
        <v>77</v>
      </c>
      <c r="B20" s="312">
        <f ca="1">(B19/1000)*B18</f>
        <v>478948.35268376151</v>
      </c>
      <c r="C20" s="327" t="s">
        <v>77</v>
      </c>
      <c r="D20" s="312">
        <f ca="1">(D19/1000)*D18</f>
        <v>0</v>
      </c>
      <c r="E20" s="372">
        <f t="shared" ref="E20:F20" ca="1" si="2">(E19/1000)*E18</f>
        <v>0</v>
      </c>
      <c r="F20" s="312">
        <f t="shared" ca="1" si="2"/>
        <v>5004.3279604500003</v>
      </c>
      <c r="H20" s="290"/>
      <c r="I20" s="28"/>
      <c r="J20" s="28"/>
      <c r="K20" s="28"/>
      <c r="L20" s="28"/>
      <c r="M20" s="28"/>
      <c r="N20" s="28"/>
      <c r="O20" s="28"/>
      <c r="P20" s="28"/>
      <c r="Q20" s="170"/>
    </row>
    <row r="21" spans="1:17" ht="15.9">
      <c r="A21" s="33" t="s">
        <v>78</v>
      </c>
      <c r="B21" s="313">
        <f ca="1">B20/2000</f>
        <v>239.47417634188076</v>
      </c>
      <c r="C21" s="328" t="s">
        <v>78</v>
      </c>
      <c r="D21" s="313">
        <f ca="1">D20/2000</f>
        <v>0</v>
      </c>
      <c r="E21" s="373">
        <f t="shared" ref="E21:F21" ca="1" si="3">E20/2000</f>
        <v>0</v>
      </c>
      <c r="F21" s="313">
        <f t="shared" ca="1" si="3"/>
        <v>2.5021639802250002</v>
      </c>
      <c r="H21" s="290" t="s">
        <v>79</v>
      </c>
      <c r="I21" s="28"/>
      <c r="J21" s="28"/>
      <c r="K21" s="28"/>
      <c r="L21" s="28"/>
      <c r="M21" s="28"/>
      <c r="N21" s="28"/>
      <c r="O21" s="28"/>
      <c r="P21" s="28"/>
      <c r="Q21" s="170"/>
    </row>
    <row r="22" spans="1:17" ht="15.9">
      <c r="A22" s="25" t="s">
        <v>80</v>
      </c>
      <c r="B22" s="304">
        <v>0.998</v>
      </c>
      <c r="C22" s="329" t="s">
        <v>80</v>
      </c>
      <c r="D22" s="374">
        <v>0.998</v>
      </c>
      <c r="E22" s="304">
        <v>0.998</v>
      </c>
      <c r="F22" s="375">
        <v>0</v>
      </c>
      <c r="H22" s="290" t="s">
        <v>81</v>
      </c>
      <c r="I22" s="28"/>
      <c r="J22" s="28"/>
      <c r="K22" s="28"/>
      <c r="L22" s="28"/>
      <c r="M22" s="28"/>
      <c r="N22" s="28"/>
      <c r="O22" s="28"/>
      <c r="P22" s="28"/>
      <c r="Q22" s="170"/>
    </row>
    <row r="23" spans="1:17" ht="16.3">
      <c r="A23" s="33" t="s">
        <v>82</v>
      </c>
      <c r="B23" s="305">
        <v>1</v>
      </c>
      <c r="C23" s="330" t="s">
        <v>82</v>
      </c>
      <c r="D23" s="376">
        <v>1</v>
      </c>
      <c r="E23" s="305">
        <v>1</v>
      </c>
      <c r="F23" s="377">
        <v>0</v>
      </c>
      <c r="H23" s="290" t="s">
        <v>83</v>
      </c>
      <c r="I23" s="28"/>
      <c r="J23" s="28"/>
      <c r="K23" s="28"/>
      <c r="L23" s="28"/>
      <c r="M23" s="28"/>
      <c r="N23" s="28"/>
      <c r="O23" s="28"/>
      <c r="P23" s="28"/>
      <c r="Q23" s="170"/>
    </row>
    <row r="24" spans="1:17" ht="15.9">
      <c r="A24" s="25" t="s">
        <v>436</v>
      </c>
      <c r="B24" s="332">
        <f ca="1">B20*(1-B22)*B23</f>
        <v>957.89670536752385</v>
      </c>
      <c r="C24" s="25" t="s">
        <v>436</v>
      </c>
      <c r="D24" s="35">
        <f ca="1">D20*(1-D22)*D23</f>
        <v>0</v>
      </c>
      <c r="E24" s="35">
        <f t="shared" ref="E24:F24" ca="1" si="4">E20*(1-E22)*E23</f>
        <v>0</v>
      </c>
      <c r="F24" s="35">
        <f t="shared" ca="1" si="4"/>
        <v>0</v>
      </c>
      <c r="H24" s="290"/>
      <c r="I24" s="28"/>
      <c r="J24" s="28"/>
      <c r="K24" s="28"/>
      <c r="L24" s="28"/>
      <c r="M24" s="28"/>
      <c r="N24" s="28"/>
      <c r="O24" s="28"/>
      <c r="P24" s="28"/>
      <c r="Q24" s="170"/>
    </row>
    <row r="25" spans="1:17" ht="15.9">
      <c r="A25" s="29" t="s">
        <v>84</v>
      </c>
      <c r="B25" s="312">
        <f ca="1">B20*(1-B23)</f>
        <v>0</v>
      </c>
      <c r="C25" s="331" t="s">
        <v>84</v>
      </c>
      <c r="D25" s="32">
        <f ca="1">D20*(1-D23)</f>
        <v>0</v>
      </c>
      <c r="E25" s="32">
        <f t="shared" ref="E25:F25" ca="1" si="5">E20*(1-E23)</f>
        <v>0</v>
      </c>
      <c r="F25" s="32">
        <f t="shared" ca="1" si="5"/>
        <v>5004.3279604500003</v>
      </c>
      <c r="H25" s="291" t="s">
        <v>272</v>
      </c>
      <c r="I25" s="96">
        <v>0.86</v>
      </c>
      <c r="J25" s="27" t="s">
        <v>85</v>
      </c>
      <c r="K25" s="27" t="s">
        <v>86</v>
      </c>
      <c r="L25" s="27"/>
      <c r="M25" s="27"/>
      <c r="N25" s="27"/>
      <c r="O25" s="27"/>
      <c r="P25" s="27"/>
      <c r="Q25" s="170"/>
    </row>
    <row r="26" spans="1:17" ht="15.9">
      <c r="A26" s="33" t="s">
        <v>87</v>
      </c>
      <c r="B26" s="313">
        <f ca="1">B24+B25</f>
        <v>957.89670536752385</v>
      </c>
      <c r="C26" s="330" t="s">
        <v>87</v>
      </c>
      <c r="D26" s="34">
        <f ca="1">D24+D25</f>
        <v>0</v>
      </c>
      <c r="E26" s="34">
        <f t="shared" ref="E26:F26" ca="1" si="6">E24+E25</f>
        <v>0</v>
      </c>
      <c r="F26" s="34">
        <f t="shared" ca="1" si="6"/>
        <v>5004.3279604500003</v>
      </c>
      <c r="H26" s="294"/>
      <c r="I26" s="295"/>
      <c r="J26" s="295"/>
      <c r="K26" s="295"/>
      <c r="L26" s="295"/>
      <c r="M26" s="295"/>
      <c r="N26" s="295"/>
      <c r="O26" s="295"/>
      <c r="P26" s="295"/>
      <c r="Q26" s="296"/>
    </row>
    <row r="27" spans="1:17" ht="15.9">
      <c r="A27" s="25" t="s">
        <v>437</v>
      </c>
      <c r="B27" s="333">
        <f ca="1">B24/2000</f>
        <v>0.4789483526837619</v>
      </c>
      <c r="C27" s="25" t="s">
        <v>437</v>
      </c>
      <c r="D27" s="36">
        <f ca="1">D24/2000</f>
        <v>0</v>
      </c>
      <c r="E27" s="36">
        <f t="shared" ref="E27:F27" ca="1" si="7">E24/2000</f>
        <v>0</v>
      </c>
      <c r="F27" s="36">
        <f t="shared" ca="1" si="7"/>
        <v>0</v>
      </c>
    </row>
    <row r="28" spans="1:17" ht="15.9">
      <c r="A28" s="29" t="s">
        <v>88</v>
      </c>
      <c r="B28" s="308">
        <f ca="1">B25/2000</f>
        <v>0</v>
      </c>
      <c r="C28" s="331" t="s">
        <v>88</v>
      </c>
      <c r="D28" s="30">
        <f ca="1">D25/2000</f>
        <v>0</v>
      </c>
      <c r="E28" s="30">
        <f t="shared" ref="E28:F28" ca="1" si="8">E25/2000</f>
        <v>0</v>
      </c>
      <c r="F28" s="30">
        <f t="shared" ca="1" si="8"/>
        <v>2.5021639802250002</v>
      </c>
      <c r="H28" s="10" t="s">
        <v>328</v>
      </c>
    </row>
    <row r="29" spans="1:17" ht="15.9">
      <c r="A29" s="33" t="s">
        <v>89</v>
      </c>
      <c r="B29" s="334">
        <f ca="1">B27+B28</f>
        <v>0.4789483526837619</v>
      </c>
      <c r="C29" s="330" t="s">
        <v>89</v>
      </c>
      <c r="D29" s="37">
        <f ca="1">D27+D28</f>
        <v>0</v>
      </c>
      <c r="E29" s="30">
        <f t="shared" ref="E29:F29" ca="1" si="9">E27+E28</f>
        <v>0</v>
      </c>
      <c r="F29" s="30">
        <f t="shared" ca="1" si="9"/>
        <v>2.5021639802250002</v>
      </c>
      <c r="H29" s="289" t="s">
        <v>330</v>
      </c>
      <c r="I29" s="297"/>
      <c r="J29" s="297"/>
      <c r="K29" s="297"/>
      <c r="L29" s="97"/>
      <c r="M29" s="298"/>
    </row>
    <row r="30" spans="1:17" ht="15.9">
      <c r="A30" s="38"/>
      <c r="B30" s="38"/>
      <c r="C30" s="38"/>
      <c r="D30" s="38"/>
      <c r="E30" s="319" t="s">
        <v>47</v>
      </c>
      <c r="F30" s="320">
        <f ca="1">B29+D29+E29+F29</f>
        <v>2.9811123329087623</v>
      </c>
      <c r="G30" s="321" t="s">
        <v>249</v>
      </c>
      <c r="H30" s="299" t="s">
        <v>331</v>
      </c>
      <c r="I30" s="28"/>
      <c r="J30" s="28"/>
      <c r="K30" s="28"/>
      <c r="L30" s="28"/>
      <c r="M30" s="300"/>
    </row>
    <row r="31" spans="1:17" ht="15.9">
      <c r="A31" s="39" t="s">
        <v>90</v>
      </c>
      <c r="B31" s="38"/>
      <c r="C31" s="38"/>
      <c r="D31" s="38"/>
      <c r="E31" s="38"/>
      <c r="F31" s="38"/>
      <c r="H31" s="301" t="s">
        <v>332</v>
      </c>
      <c r="I31" s="302"/>
      <c r="J31" s="302"/>
      <c r="K31" s="28"/>
      <c r="L31" s="28"/>
      <c r="M31" s="300"/>
      <c r="N31" s="24" t="s">
        <v>72</v>
      </c>
    </row>
    <row r="32" spans="1:17" ht="15.9">
      <c r="A32" s="38"/>
      <c r="B32" s="38"/>
      <c r="C32" s="38"/>
      <c r="D32" s="38"/>
      <c r="E32" s="38"/>
      <c r="F32" s="38"/>
      <c r="H32" s="291"/>
      <c r="I32" s="27"/>
      <c r="J32" s="27"/>
      <c r="K32" s="27"/>
      <c r="L32" s="27"/>
      <c r="M32" s="300"/>
    </row>
    <row r="33" spans="1:18" ht="15.9">
      <c r="A33" s="23" t="s">
        <v>463</v>
      </c>
      <c r="B33" s="39"/>
      <c r="C33" s="39"/>
      <c r="D33" s="39"/>
      <c r="E33" s="39"/>
      <c r="F33" s="39"/>
      <c r="G33" s="18"/>
      <c r="H33" s="303" t="s">
        <v>333</v>
      </c>
      <c r="I33" s="28"/>
      <c r="J33" s="28"/>
      <c r="K33" s="28"/>
      <c r="L33" s="28"/>
      <c r="M33" s="300"/>
      <c r="N33" s="18"/>
      <c r="O33" s="18"/>
      <c r="P33" s="18"/>
      <c r="Q33" s="18"/>
      <c r="R33" s="18"/>
    </row>
    <row r="34" spans="1:18" ht="15.9">
      <c r="A34" s="288" t="s">
        <v>326</v>
      </c>
      <c r="B34" s="307" t="s">
        <v>65</v>
      </c>
      <c r="C34" s="288" t="s">
        <v>327</v>
      </c>
      <c r="D34" s="315" t="s">
        <v>283</v>
      </c>
      <c r="E34" s="314" t="s">
        <v>357</v>
      </c>
      <c r="F34" s="316" t="s">
        <v>282</v>
      </c>
      <c r="G34" s="18"/>
      <c r="H34" s="290" t="s">
        <v>79</v>
      </c>
      <c r="I34" s="28"/>
      <c r="J34" s="28"/>
      <c r="K34" s="28"/>
      <c r="L34" s="28"/>
      <c r="M34" s="300"/>
      <c r="N34" s="18"/>
      <c r="O34" s="18"/>
      <c r="P34" s="18"/>
      <c r="Q34" s="18"/>
      <c r="R34" s="18"/>
    </row>
    <row r="35" spans="1:18" ht="15.9">
      <c r="A35" s="25" t="s">
        <v>265</v>
      </c>
      <c r="B35" s="307">
        <v>1.02</v>
      </c>
      <c r="C35" s="329" t="s">
        <v>334</v>
      </c>
      <c r="D35" s="282">
        <v>0.2</v>
      </c>
      <c r="E35" s="309">
        <v>0.2</v>
      </c>
      <c r="F35" s="307">
        <v>0.2</v>
      </c>
      <c r="H35" s="290" t="s">
        <v>81</v>
      </c>
      <c r="I35" s="28"/>
      <c r="J35" s="28"/>
      <c r="K35" s="28"/>
      <c r="L35" s="28"/>
      <c r="M35" s="300"/>
    </row>
    <row r="36" spans="1:18" ht="16.3">
      <c r="A36" s="29" t="s">
        <v>266</v>
      </c>
      <c r="B36" s="308">
        <v>7</v>
      </c>
      <c r="C36" s="331" t="s">
        <v>266</v>
      </c>
      <c r="D36" s="378">
        <v>2.68</v>
      </c>
      <c r="E36" s="308">
        <v>1.8</v>
      </c>
      <c r="F36" s="370">
        <v>1.0999999999999999E-2</v>
      </c>
      <c r="H36" s="290" t="s">
        <v>83</v>
      </c>
      <c r="I36" s="28"/>
      <c r="J36" s="28"/>
      <c r="K36" s="28"/>
      <c r="L36" s="28"/>
      <c r="M36" s="300"/>
    </row>
    <row r="37" spans="1:18" ht="15.9">
      <c r="A37" s="29" t="s">
        <v>267</v>
      </c>
      <c r="B37" s="308">
        <v>50</v>
      </c>
      <c r="C37" s="331" t="s">
        <v>267</v>
      </c>
      <c r="D37" s="378">
        <v>80</v>
      </c>
      <c r="E37" s="308">
        <v>46</v>
      </c>
      <c r="F37" s="308">
        <v>130</v>
      </c>
      <c r="H37" s="294"/>
      <c r="I37" s="295"/>
      <c r="J37" s="295"/>
      <c r="K37" s="295"/>
      <c r="L37" s="295"/>
      <c r="M37" s="296"/>
    </row>
    <row r="38" spans="1:18" ht="15.9">
      <c r="A38" s="29" t="s">
        <v>268</v>
      </c>
      <c r="B38" s="309">
        <v>530</v>
      </c>
      <c r="C38" s="331" t="s">
        <v>335</v>
      </c>
      <c r="D38" s="379">
        <v>528</v>
      </c>
      <c r="E38" s="309">
        <v>528</v>
      </c>
      <c r="F38" s="309">
        <v>528</v>
      </c>
    </row>
    <row r="39" spans="1:18" ht="15.9">
      <c r="A39" s="29" t="s">
        <v>269</v>
      </c>
      <c r="B39" s="310">
        <f>1.84*(0.44 *B36-0.42)*B37*B35/B38</f>
        <v>0.47097056603773585</v>
      </c>
      <c r="C39" s="331" t="s">
        <v>336</v>
      </c>
      <c r="D39" s="380">
        <f>12.46*D35*D36*D37/D38</f>
        <v>1.0119030303030305</v>
      </c>
      <c r="E39" s="310">
        <f t="shared" ref="E39:F39" si="10">12.46*E35*E36*E37/E38</f>
        <v>0.39079090909090919</v>
      </c>
      <c r="F39" s="310">
        <f t="shared" si="10"/>
        <v>6.7491666666666672E-3</v>
      </c>
    </row>
    <row r="40" spans="1:18" ht="15.9">
      <c r="A40" s="29" t="s">
        <v>270</v>
      </c>
      <c r="B40" s="310">
        <f>B39+I25</f>
        <v>1.3309705660377358</v>
      </c>
      <c r="C40" s="331" t="s">
        <v>337</v>
      </c>
      <c r="D40" s="380">
        <f>D39</f>
        <v>1.0119030303030305</v>
      </c>
      <c r="E40" s="310">
        <f t="shared" ref="E40:F40" si="11">E39</f>
        <v>0.39079090909090919</v>
      </c>
      <c r="F40" s="310">
        <f t="shared" si="11"/>
        <v>6.7491666666666672E-3</v>
      </c>
    </row>
    <row r="41" spans="1:18" ht="15.9">
      <c r="A41" s="41" t="s">
        <v>91</v>
      </c>
      <c r="B41" s="311">
        <f ca="1">D6</f>
        <v>359848944</v>
      </c>
      <c r="C41" s="331" t="s">
        <v>338</v>
      </c>
      <c r="D41" s="283">
        <f ca="1">D7</f>
        <v>0</v>
      </c>
      <c r="E41" s="311">
        <f ca="1">D8</f>
        <v>0</v>
      </c>
      <c r="F41" s="311">
        <f ca="1">D9</f>
        <v>296589384</v>
      </c>
    </row>
    <row r="42" spans="1:18" ht="15.9">
      <c r="A42" s="42" t="s">
        <v>92</v>
      </c>
      <c r="B42" s="312">
        <f ca="1">B41/1000*B40</f>
        <v>478948.35268376151</v>
      </c>
      <c r="C42" s="335" t="s">
        <v>77</v>
      </c>
      <c r="D42" s="372">
        <f ca="1">D41/1000*D40</f>
        <v>0</v>
      </c>
      <c r="E42" s="312">
        <f t="shared" ref="E42:F42" ca="1" si="12">E41/1000*E40</f>
        <v>0</v>
      </c>
      <c r="F42" s="312">
        <f t="shared" ca="1" si="12"/>
        <v>2001.7311841800004</v>
      </c>
    </row>
    <row r="43" spans="1:18" ht="15.9">
      <c r="A43" s="43" t="s">
        <v>93</v>
      </c>
      <c r="B43" s="313">
        <f ca="1">B42/2000</f>
        <v>239.47417634188076</v>
      </c>
      <c r="C43" s="330" t="s">
        <v>78</v>
      </c>
      <c r="D43" s="373">
        <f ca="1">D42/2000</f>
        <v>0</v>
      </c>
      <c r="E43" s="313">
        <f t="shared" ref="E43:F43" ca="1" si="13">E42/2000</f>
        <v>0</v>
      </c>
      <c r="F43" s="313">
        <f t="shared" ca="1" si="13"/>
        <v>1.0008655920900003</v>
      </c>
      <c r="I43" s="519"/>
      <c r="J43" s="10"/>
    </row>
    <row r="44" spans="1:18" ht="15.9">
      <c r="A44" s="40" t="s">
        <v>80</v>
      </c>
      <c r="B44" s="304">
        <v>0.998</v>
      </c>
      <c r="C44" s="329" t="s">
        <v>80</v>
      </c>
      <c r="D44" s="375">
        <v>0.998</v>
      </c>
      <c r="E44" s="375">
        <v>0.998</v>
      </c>
      <c r="F44" s="375">
        <v>0</v>
      </c>
      <c r="I44" s="519"/>
      <c r="J44" s="10"/>
    </row>
    <row r="45" spans="1:18" ht="15.9">
      <c r="A45" s="43" t="s">
        <v>82</v>
      </c>
      <c r="B45" s="305">
        <v>0.99</v>
      </c>
      <c r="C45" s="330" t="s">
        <v>82</v>
      </c>
      <c r="D45" s="377">
        <v>0.99</v>
      </c>
      <c r="E45" s="377">
        <v>0.99</v>
      </c>
      <c r="F45" s="377">
        <v>0</v>
      </c>
    </row>
    <row r="46" spans="1:18" ht="15.9">
      <c r="A46" s="25" t="s">
        <v>437</v>
      </c>
      <c r="B46" s="332">
        <f ca="1">B42*(1-B44)*(B45)</f>
        <v>948.31773831384862</v>
      </c>
      <c r="C46" s="25" t="s">
        <v>437</v>
      </c>
      <c r="D46" s="35">
        <f ca="1">D42*(1-D44)*(D45)</f>
        <v>0</v>
      </c>
      <c r="E46" s="35">
        <f t="shared" ref="E46:F46" ca="1" si="14">E42*(1-E44)*(E45)</f>
        <v>0</v>
      </c>
      <c r="F46" s="35">
        <f t="shared" ca="1" si="14"/>
        <v>0</v>
      </c>
    </row>
    <row r="47" spans="1:18" ht="15.9">
      <c r="A47" s="41" t="s">
        <v>84</v>
      </c>
      <c r="B47" s="312">
        <f ca="1">B42*(1-B45)</f>
        <v>4789.4835268376191</v>
      </c>
      <c r="C47" s="331" t="s">
        <v>84</v>
      </c>
      <c r="D47" s="32">
        <f ca="1">D42*(1-D45)</f>
        <v>0</v>
      </c>
      <c r="E47" s="32">
        <f t="shared" ref="E47:F47" ca="1" si="15">E42*(1-E45)</f>
        <v>0</v>
      </c>
      <c r="F47" s="32">
        <f t="shared" ca="1" si="15"/>
        <v>2001.7311841800004</v>
      </c>
    </row>
    <row r="48" spans="1:18" ht="15.9">
      <c r="A48" s="43" t="s">
        <v>87</v>
      </c>
      <c r="B48" s="313">
        <f ca="1">B46+B47</f>
        <v>5737.8012651514673</v>
      </c>
      <c r="C48" s="330" t="s">
        <v>87</v>
      </c>
      <c r="D48" s="34">
        <f ca="1">D46+D47</f>
        <v>0</v>
      </c>
      <c r="E48" s="34">
        <f t="shared" ref="E48:F48" ca="1" si="16">E46+E47</f>
        <v>0</v>
      </c>
      <c r="F48" s="34">
        <f t="shared" ca="1" si="16"/>
        <v>2001.7311841800004</v>
      </c>
    </row>
    <row r="49" spans="1:23" ht="15.9">
      <c r="A49" s="25" t="s">
        <v>437</v>
      </c>
      <c r="B49" s="333">
        <f ca="1">B46/2000</f>
        <v>0.47415886915692429</v>
      </c>
      <c r="C49" s="25" t="s">
        <v>437</v>
      </c>
      <c r="D49" s="36">
        <f ca="1">D46/2000</f>
        <v>0</v>
      </c>
      <c r="E49" s="36">
        <f t="shared" ref="E49:F49" ca="1" si="17">E46/2000</f>
        <v>0</v>
      </c>
      <c r="F49" s="36">
        <f t="shared" ca="1" si="17"/>
        <v>0</v>
      </c>
    </row>
    <row r="50" spans="1:23" ht="15.9">
      <c r="A50" s="41" t="s">
        <v>88</v>
      </c>
      <c r="B50" s="308">
        <f ca="1">B47/2000</f>
        <v>2.3947417634188097</v>
      </c>
      <c r="C50" s="331" t="s">
        <v>88</v>
      </c>
      <c r="D50" s="30">
        <f ca="1">D47/2000</f>
        <v>0</v>
      </c>
      <c r="E50" s="30">
        <f t="shared" ref="E50:F50" ca="1" si="18">E47/2000</f>
        <v>0</v>
      </c>
      <c r="F50" s="30">
        <f t="shared" ca="1" si="18"/>
        <v>1.0008655920900003</v>
      </c>
    </row>
    <row r="51" spans="1:23" ht="15.9">
      <c r="A51" s="43" t="s">
        <v>89</v>
      </c>
      <c r="B51" s="334">
        <f ca="1">B49+B50</f>
        <v>2.868900632575734</v>
      </c>
      <c r="C51" s="330" t="s">
        <v>89</v>
      </c>
      <c r="D51" s="37">
        <f ca="1">D49+D50</f>
        <v>0</v>
      </c>
      <c r="E51" s="37">
        <f t="shared" ref="E51:F51" ca="1" si="19">E49+E50</f>
        <v>0</v>
      </c>
      <c r="F51" s="37">
        <f t="shared" ca="1" si="19"/>
        <v>1.0008655920900003</v>
      </c>
    </row>
    <row r="52" spans="1:23" ht="15.9">
      <c r="E52" s="319" t="s">
        <v>47</v>
      </c>
      <c r="F52" s="320">
        <f ca="1">B51+D51+E51+F51</f>
        <v>3.8697662246657343</v>
      </c>
      <c r="G52" s="321" t="s">
        <v>249</v>
      </c>
    </row>
    <row r="56" spans="1:23" ht="15.9">
      <c r="A56" s="38"/>
      <c r="B56" s="38"/>
      <c r="C56" s="423"/>
      <c r="D56" s="38"/>
      <c r="E56" s="38"/>
      <c r="F56" s="38"/>
      <c r="G56" s="38"/>
      <c r="H56" s="38"/>
    </row>
    <row r="57" spans="1:23" ht="15.9">
      <c r="B57" s="38"/>
      <c r="C57" s="38"/>
      <c r="D57" s="38"/>
      <c r="E57" s="38"/>
      <c r="F57" s="38"/>
      <c r="G57" s="38"/>
      <c r="H57" s="450" t="s">
        <v>446</v>
      </c>
    </row>
    <row r="58" spans="1:23" ht="15.9">
      <c r="B58" s="38"/>
      <c r="C58" s="38"/>
      <c r="D58" s="38"/>
      <c r="E58" s="38"/>
      <c r="F58" s="38"/>
      <c r="G58" s="38"/>
      <c r="H58" s="38"/>
    </row>
    <row r="59" spans="1:23" ht="20.05" customHeight="1">
      <c r="A59" s="38"/>
      <c r="B59" s="38"/>
      <c r="C59" s="38"/>
      <c r="D59" s="38"/>
      <c r="E59" s="38"/>
      <c r="F59" s="38"/>
      <c r="G59" s="38"/>
      <c r="H59" s="423" t="s">
        <v>278</v>
      </c>
      <c r="I59" s="599" t="s">
        <v>50</v>
      </c>
      <c r="J59" s="600"/>
      <c r="K59" s="599" t="s">
        <v>54</v>
      </c>
      <c r="L59" s="600"/>
      <c r="M59" s="599" t="s">
        <v>386</v>
      </c>
      <c r="N59" s="600"/>
      <c r="O59" s="599" t="s">
        <v>51</v>
      </c>
      <c r="P59" s="600"/>
      <c r="Q59" s="605" t="s">
        <v>53</v>
      </c>
      <c r="R59" s="606"/>
      <c r="S59" s="605" t="s">
        <v>55</v>
      </c>
      <c r="T59" s="606"/>
      <c r="U59" s="605" t="s">
        <v>244</v>
      </c>
      <c r="V59" s="606"/>
      <c r="W59" s="38"/>
    </row>
    <row r="60" spans="1:23" ht="15.9">
      <c r="A60" s="38"/>
      <c r="B60" s="38"/>
      <c r="C60" s="38"/>
      <c r="D60" s="38"/>
      <c r="E60" s="38"/>
      <c r="F60" s="38"/>
      <c r="G60" s="38"/>
      <c r="H60" s="423" t="s">
        <v>60</v>
      </c>
      <c r="I60" s="601" t="s">
        <v>145</v>
      </c>
      <c r="J60" s="602"/>
      <c r="K60" s="601" t="s">
        <v>146</v>
      </c>
      <c r="L60" s="602"/>
      <c r="M60" s="601" t="s">
        <v>147</v>
      </c>
      <c r="N60" s="602"/>
      <c r="O60" s="601" t="s">
        <v>148</v>
      </c>
      <c r="P60" s="602"/>
      <c r="Q60" s="601" t="s">
        <v>144</v>
      </c>
      <c r="R60" s="602"/>
      <c r="S60" s="601" t="s">
        <v>149</v>
      </c>
      <c r="T60" s="602"/>
      <c r="U60" s="607" t="s">
        <v>174</v>
      </c>
      <c r="V60" s="608"/>
      <c r="W60" s="38"/>
    </row>
    <row r="61" spans="1:23" ht="31.75">
      <c r="A61" s="38"/>
      <c r="B61" s="38"/>
      <c r="C61" s="38"/>
      <c r="D61" s="38"/>
      <c r="E61" s="38"/>
      <c r="F61" s="38"/>
      <c r="G61" s="38"/>
      <c r="H61" s="38"/>
      <c r="I61" s="454" t="s">
        <v>364</v>
      </c>
      <c r="J61" s="455" t="s">
        <v>62</v>
      </c>
      <c r="K61" s="454" t="s">
        <v>364</v>
      </c>
      <c r="L61" s="455" t="s">
        <v>62</v>
      </c>
      <c r="M61" s="454" t="s">
        <v>364</v>
      </c>
      <c r="N61" s="455" t="s">
        <v>62</v>
      </c>
      <c r="O61" s="454" t="s">
        <v>364</v>
      </c>
      <c r="P61" s="455" t="s">
        <v>62</v>
      </c>
      <c r="Q61" s="454" t="s">
        <v>364</v>
      </c>
      <c r="R61" s="455" t="s">
        <v>62</v>
      </c>
      <c r="S61" s="454" t="s">
        <v>364</v>
      </c>
      <c r="T61" s="455" t="s">
        <v>62</v>
      </c>
      <c r="U61" s="454" t="s">
        <v>364</v>
      </c>
      <c r="V61" s="455" t="s">
        <v>62</v>
      </c>
      <c r="W61" s="38"/>
    </row>
    <row r="62" spans="1:23" ht="26.05" customHeight="1">
      <c r="A62" s="38"/>
      <c r="B62" s="38"/>
      <c r="C62" s="38"/>
      <c r="D62" s="38"/>
      <c r="E62" s="38"/>
      <c r="F62" s="38"/>
      <c r="G62" s="38"/>
      <c r="H62" s="423" t="s">
        <v>400</v>
      </c>
      <c r="I62" s="379">
        <v>7</v>
      </c>
      <c r="J62" s="30">
        <f ca="1">$B$48*I62/100</f>
        <v>401.64608856060272</v>
      </c>
      <c r="K62" s="379">
        <v>7</v>
      </c>
      <c r="L62" s="30">
        <f ca="1">$B$48*K62/100</f>
        <v>401.64608856060272</v>
      </c>
      <c r="M62" s="379">
        <v>7</v>
      </c>
      <c r="N62" s="30">
        <f ca="1">$B$48*M62/100</f>
        <v>401.64608856060272</v>
      </c>
      <c r="O62" s="379">
        <v>7</v>
      </c>
      <c r="P62" s="30">
        <f ca="1">$B$48*O62/100</f>
        <v>401.64608856060272</v>
      </c>
      <c r="Q62" s="452">
        <v>5</v>
      </c>
      <c r="R62" s="30">
        <f ca="1">$B$48*Q62/100</f>
        <v>286.89006325757333</v>
      </c>
      <c r="S62" s="452">
        <v>1</v>
      </c>
      <c r="T62" s="30">
        <f ca="1">$B$48*S62/100</f>
        <v>57.378012651514673</v>
      </c>
      <c r="U62" s="493">
        <v>0.5</v>
      </c>
      <c r="V62" s="30">
        <f ca="1">$B$48*U62/100</f>
        <v>28.689006325757337</v>
      </c>
    </row>
    <row r="63" spans="1:23" ht="26.05" customHeight="1">
      <c r="A63" s="38"/>
      <c r="B63" s="38"/>
      <c r="C63" s="38"/>
      <c r="D63" s="38"/>
      <c r="E63" s="38"/>
      <c r="F63" s="38"/>
      <c r="G63" s="38"/>
      <c r="H63" s="423" t="s">
        <v>401</v>
      </c>
      <c r="I63" s="451">
        <v>0.1</v>
      </c>
      <c r="J63" s="37">
        <f ca="1">$F$26*I63/100</f>
        <v>5.0043279604500004</v>
      </c>
      <c r="K63" s="451">
        <v>1</v>
      </c>
      <c r="L63" s="37">
        <f ca="1">$F$26*K63/100</f>
        <v>50.0432796045</v>
      </c>
      <c r="M63" s="451"/>
      <c r="N63" s="456"/>
      <c r="O63" s="451"/>
      <c r="P63" s="457"/>
      <c r="Q63" s="453"/>
      <c r="R63" s="457"/>
      <c r="S63" s="453">
        <v>1</v>
      </c>
      <c r="T63" s="37">
        <f ca="1">$F$26*S63/100</f>
        <v>50.0432796045</v>
      </c>
      <c r="U63" s="451"/>
      <c r="V63" s="37"/>
    </row>
    <row r="64" spans="1:23" ht="29.05" customHeight="1">
      <c r="A64" s="38"/>
      <c r="B64" s="38"/>
      <c r="C64" s="38"/>
      <c r="D64" s="38"/>
      <c r="E64" s="38"/>
      <c r="F64" s="38"/>
      <c r="G64" s="38"/>
      <c r="H64" s="423" t="s">
        <v>47</v>
      </c>
      <c r="I64" s="451"/>
      <c r="J64" s="37">
        <f ca="1">SUM(J62:J63)</f>
        <v>406.6504165210527</v>
      </c>
      <c r="K64" s="451"/>
      <c r="L64" s="37">
        <f ca="1">SUM(L62:L63)</f>
        <v>451.68936816510274</v>
      </c>
      <c r="M64" s="451"/>
      <c r="N64" s="37">
        <f ca="1">SUM(N62:N63)</f>
        <v>401.64608856060272</v>
      </c>
      <c r="O64" s="451"/>
      <c r="P64" s="37">
        <f ca="1">SUM(P62:P63)</f>
        <v>401.64608856060272</v>
      </c>
      <c r="Q64" s="453"/>
      <c r="R64" s="37">
        <f ca="1">SUM(R62:R63)</f>
        <v>286.89006325757333</v>
      </c>
      <c r="S64" s="453"/>
      <c r="T64" s="37">
        <f ca="1">SUM(T62:T63)</f>
        <v>107.42129225601468</v>
      </c>
      <c r="U64" s="451"/>
      <c r="V64" s="37">
        <f ca="1">SUM(V62:V63)</f>
        <v>28.689006325757337</v>
      </c>
    </row>
    <row r="65" spans="1:22" ht="15.9">
      <c r="A65" s="38"/>
      <c r="B65" s="38"/>
      <c r="C65" s="38"/>
      <c r="D65" s="38"/>
      <c r="E65" s="38"/>
      <c r="F65" s="38"/>
      <c r="G65" s="38"/>
      <c r="H65" s="38"/>
      <c r="I65" s="126" t="s">
        <v>376</v>
      </c>
      <c r="J65" s="282"/>
      <c r="K65" s="282"/>
      <c r="L65" s="282"/>
      <c r="M65" s="282"/>
      <c r="N65" s="282"/>
      <c r="O65" s="282"/>
      <c r="P65" s="424"/>
      <c r="Q65" s="424"/>
      <c r="R65" s="424"/>
      <c r="S65" s="424"/>
      <c r="T65" s="424"/>
      <c r="U65" s="603"/>
      <c r="V65" s="603"/>
    </row>
    <row r="66" spans="1:22" ht="15.9">
      <c r="A66" s="38"/>
      <c r="B66" s="38"/>
      <c r="C66" s="38"/>
      <c r="D66" s="38"/>
      <c r="E66" s="38"/>
      <c r="F66" s="38"/>
      <c r="G66" s="38"/>
      <c r="H66" s="38"/>
      <c r="I66" s="126" t="s">
        <v>402</v>
      </c>
      <c r="J66" s="282"/>
      <c r="K66" s="282"/>
      <c r="L66" s="282"/>
      <c r="M66" s="282"/>
      <c r="N66" s="282"/>
      <c r="O66" s="282"/>
      <c r="P66" s="424"/>
      <c r="Q66" s="424"/>
      <c r="R66" s="424"/>
      <c r="S66" s="424"/>
      <c r="T66" s="424"/>
      <c r="U66" s="604"/>
      <c r="V66" s="604"/>
    </row>
    <row r="67" spans="1:22" ht="15.9">
      <c r="A67" s="38"/>
      <c r="B67" s="38"/>
      <c r="C67" s="38"/>
      <c r="D67" s="38"/>
      <c r="E67" s="38"/>
      <c r="F67" s="38"/>
      <c r="G67" s="38"/>
      <c r="H67" s="38"/>
      <c r="I67" s="425" t="s">
        <v>413</v>
      </c>
      <c r="J67" s="282"/>
      <c r="K67" s="282"/>
      <c r="L67" s="282"/>
      <c r="M67" s="282"/>
      <c r="N67" s="282"/>
      <c r="O67" s="282"/>
      <c r="P67" s="424"/>
      <c r="Q67" s="424"/>
      <c r="R67" s="424"/>
      <c r="S67" s="424"/>
      <c r="T67" s="424"/>
      <c r="U67" s="425"/>
      <c r="V67" s="282"/>
    </row>
    <row r="68" spans="1:22" ht="15.9">
      <c r="A68" s="38"/>
      <c r="B68" s="38"/>
      <c r="C68" s="38"/>
      <c r="D68" s="38"/>
      <c r="E68" s="38"/>
      <c r="F68" s="38"/>
      <c r="G68" s="38"/>
      <c r="K68" s="282"/>
      <c r="L68" s="282"/>
      <c r="M68" s="282"/>
      <c r="N68" s="282"/>
      <c r="O68" s="282"/>
      <c r="P68" s="424"/>
      <c r="Q68" s="424"/>
      <c r="R68" s="424"/>
      <c r="S68" s="424"/>
      <c r="T68" s="424"/>
      <c r="U68" s="282"/>
      <c r="V68" s="282"/>
    </row>
    <row r="69" spans="1:22" ht="15.9">
      <c r="A69" s="38"/>
      <c r="B69" s="38"/>
      <c r="C69" s="38"/>
      <c r="D69" s="38"/>
      <c r="E69" s="38"/>
      <c r="F69" s="38"/>
      <c r="G69" s="38"/>
      <c r="H69" s="461" t="s">
        <v>370</v>
      </c>
      <c r="I69" s="462">
        <f ca="1">(J64+L64+N64+P64+R64+T64)/2000</f>
        <v>1.0279716586604746</v>
      </c>
      <c r="J69" s="463" t="s">
        <v>115</v>
      </c>
      <c r="K69" s="282"/>
      <c r="L69" s="282"/>
      <c r="M69" s="282"/>
      <c r="N69" s="282"/>
      <c r="O69" s="282"/>
      <c r="P69" s="424"/>
      <c r="Q69" s="424"/>
      <c r="R69" s="424"/>
      <c r="S69" s="424"/>
      <c r="T69" s="424"/>
      <c r="U69" s="424"/>
      <c r="V69" s="424"/>
    </row>
    <row r="70" spans="1:22" ht="15.9">
      <c r="B70" s="38"/>
      <c r="C70" s="38"/>
      <c r="D70" s="38"/>
      <c r="E70" s="38"/>
      <c r="F70" s="38"/>
      <c r="G70" s="38"/>
      <c r="H70" s="38" t="s">
        <v>443</v>
      </c>
      <c r="I70" s="38"/>
      <c r="J70" s="38"/>
      <c r="K70" s="38"/>
      <c r="L70" s="38"/>
      <c r="M70" s="38"/>
      <c r="N70" s="38"/>
      <c r="O70" s="38"/>
    </row>
    <row r="71" spans="1:22" ht="15.9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M71" s="38"/>
      <c r="N71" s="38"/>
      <c r="O71" s="38"/>
    </row>
    <row r="72" spans="1:22" ht="15.9">
      <c r="A72" s="38"/>
      <c r="B72" s="38"/>
      <c r="C72" s="38"/>
      <c r="D72" s="38"/>
      <c r="E72" s="38"/>
      <c r="F72" s="38"/>
      <c r="G72" s="38"/>
      <c r="H72" s="38"/>
      <c r="L72"/>
    </row>
    <row r="73" spans="1:22" ht="15.9">
      <c r="A73" s="38"/>
      <c r="B73" s="38"/>
      <c r="C73" s="38"/>
      <c r="D73" s="38"/>
      <c r="E73" s="38"/>
      <c r="F73" s="38"/>
      <c r="G73" s="38"/>
      <c r="H73" s="38"/>
    </row>
    <row r="74" spans="1:22" ht="18.45">
      <c r="A74" s="38"/>
      <c r="B74" s="38"/>
      <c r="C74" s="38"/>
      <c r="D74" s="38"/>
      <c r="E74" s="38"/>
      <c r="F74" s="38"/>
      <c r="G74" s="523" t="s">
        <v>475</v>
      </c>
      <c r="H74" s="523"/>
    </row>
    <row r="75" spans="1:22" ht="15.9">
      <c r="A75" s="38"/>
      <c r="B75" s="38"/>
      <c r="C75" s="38"/>
      <c r="D75" s="38"/>
      <c r="E75" s="38"/>
      <c r="F75" s="38"/>
      <c r="G75" s="38"/>
      <c r="H75" s="38"/>
    </row>
    <row r="76" spans="1:22" ht="15.9">
      <c r="I76" s="594" t="s">
        <v>467</v>
      </c>
      <c r="J76" s="595"/>
      <c r="K76" s="595"/>
      <c r="L76" s="595"/>
      <c r="M76" s="595"/>
      <c r="N76" s="595"/>
      <c r="O76" s="595"/>
      <c r="P76" s="596"/>
    </row>
    <row r="77" spans="1:22" ht="31.75">
      <c r="G77" s="524" t="s">
        <v>465</v>
      </c>
      <c r="H77" s="525" t="s">
        <v>474</v>
      </c>
      <c r="I77" s="525" t="s">
        <v>2</v>
      </c>
      <c r="J77" s="525" t="s">
        <v>50</v>
      </c>
      <c r="K77" s="525" t="s">
        <v>54</v>
      </c>
      <c r="L77" s="525" t="s">
        <v>386</v>
      </c>
      <c r="M77" s="526" t="s">
        <v>51</v>
      </c>
      <c r="N77" s="525" t="s">
        <v>53</v>
      </c>
      <c r="O77" s="525" t="s">
        <v>55</v>
      </c>
      <c r="P77" s="525" t="s">
        <v>244</v>
      </c>
    </row>
    <row r="78" spans="1:22" ht="20.05" customHeight="1">
      <c r="G78" s="524" t="s">
        <v>464</v>
      </c>
      <c r="H78" s="314" t="s">
        <v>468</v>
      </c>
      <c r="I78" s="527">
        <f ca="1">B51+0.4*F51</f>
        <v>3.269246869411734</v>
      </c>
      <c r="J78" s="527">
        <f ca="1">(J62+0.4*J63)/2000</f>
        <v>0.20182390987239138</v>
      </c>
      <c r="K78" s="527">
        <f ca="1">(L62+0.4*L63)/2000</f>
        <v>0.21083170020120134</v>
      </c>
      <c r="L78" s="527">
        <f ca="1">(N62+0.4*N63)/2000</f>
        <v>0.20082304428030137</v>
      </c>
      <c r="M78" s="527">
        <f ca="1">(P62+0.4*P63)/2000</f>
        <v>0.20082304428030137</v>
      </c>
      <c r="N78" s="527">
        <f ca="1">(R62+0.4*R63)/2000</f>
        <v>0.14344503162878666</v>
      </c>
      <c r="O78" s="527">
        <f ca="1">(T62+0.4*T63)/2000</f>
        <v>3.8697662246657334E-2</v>
      </c>
      <c r="P78" s="527">
        <f ca="1">V62/2000</f>
        <v>1.4344503162878669E-2</v>
      </c>
    </row>
    <row r="79" spans="1:22" ht="20.05" customHeight="1">
      <c r="G79" s="524" t="s">
        <v>466</v>
      </c>
      <c r="H79" s="314" t="s">
        <v>469</v>
      </c>
      <c r="I79" s="527">
        <f ca="1">0.6*F51</f>
        <v>0.60051935525400013</v>
      </c>
      <c r="J79" s="528">
        <f ca="1">0.6*J63/2000</f>
        <v>1.5012983881350001E-3</v>
      </c>
      <c r="K79" s="527">
        <f ca="1">0.6*L63/2000</f>
        <v>1.5012983881349999E-2</v>
      </c>
      <c r="L79" s="527"/>
      <c r="M79" s="527"/>
      <c r="N79" s="527"/>
      <c r="O79" s="527">
        <f ca="1">0.6*T63/2000</f>
        <v>1.5012983881349999E-2</v>
      </c>
      <c r="P79" s="527"/>
    </row>
    <row r="81" spans="7:7" ht="15.9">
      <c r="G81" s="38" t="s">
        <v>470</v>
      </c>
    </row>
  </sheetData>
  <sheetProtection algorithmName="SHA-512" hashValue="xnTQkCd36gHjzRaexmmranBSweTEipvoa5ei4c4LUuqfEkxVCAJ92nGBDNXThvKv6T00/4OXDF3abk0o0NdFOg==" saltValue="YY5+bOxatsDrtlP/L2ZYrg==" spinCount="100000" sheet="1" objects="1" scenarios="1"/>
  <mergeCells count="18">
    <mergeCell ref="Q60:R60"/>
    <mergeCell ref="U65:V66"/>
    <mergeCell ref="O59:P59"/>
    <mergeCell ref="Q59:R59"/>
    <mergeCell ref="S59:T59"/>
    <mergeCell ref="U59:V59"/>
    <mergeCell ref="S60:T60"/>
    <mergeCell ref="U60:V60"/>
    <mergeCell ref="I76:P76"/>
    <mergeCell ref="A1:H1"/>
    <mergeCell ref="A2:H2"/>
    <mergeCell ref="I59:J59"/>
    <mergeCell ref="K59:L59"/>
    <mergeCell ref="M59:N59"/>
    <mergeCell ref="I60:J60"/>
    <mergeCell ref="K60:L60"/>
    <mergeCell ref="M60:N60"/>
    <mergeCell ref="O60:P60"/>
  </mergeCells>
  <printOptions horizontalCentered="1"/>
  <pageMargins left="0.75" right="0.75" top="1" bottom="1" header="0.5" footer="0.5"/>
  <pageSetup scale="66" orientation="landscape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tabColor rgb="FF00B050"/>
  </sheetPr>
  <dimension ref="A1:J43"/>
  <sheetViews>
    <sheetView workbookViewId="0">
      <selection activeCell="H20" sqref="H20"/>
    </sheetView>
  </sheetViews>
  <sheetFormatPr defaultColWidth="11.4609375" defaultRowHeight="12.45"/>
  <cols>
    <col min="1" max="1" width="19.69140625" style="44" customWidth="1"/>
    <col min="2" max="2" width="17.84375" style="44" customWidth="1"/>
    <col min="3" max="3" width="9.4609375" style="44" customWidth="1"/>
    <col min="4" max="4" width="16.84375" style="44" customWidth="1"/>
    <col min="5" max="5" width="11.4609375" style="44"/>
    <col min="6" max="6" width="12.3046875" style="44" customWidth="1"/>
    <col min="7" max="256" width="11.4609375" style="44"/>
    <col min="257" max="257" width="19.69140625" style="44" customWidth="1"/>
    <col min="258" max="258" width="11.15234375" style="44" bestFit="1" customWidth="1"/>
    <col min="259" max="259" width="9.4609375" style="44" customWidth="1"/>
    <col min="260" max="260" width="13.15234375" style="44" customWidth="1"/>
    <col min="261" max="261" width="11.4609375" style="44"/>
    <col min="262" max="262" width="12.3046875" style="44" customWidth="1"/>
    <col min="263" max="512" width="11.4609375" style="44"/>
    <col min="513" max="513" width="19.69140625" style="44" customWidth="1"/>
    <col min="514" max="514" width="11.15234375" style="44" bestFit="1" customWidth="1"/>
    <col min="515" max="515" width="9.4609375" style="44" customWidth="1"/>
    <col min="516" max="516" width="13.15234375" style="44" customWidth="1"/>
    <col min="517" max="517" width="11.4609375" style="44"/>
    <col min="518" max="518" width="12.3046875" style="44" customWidth="1"/>
    <col min="519" max="768" width="11.4609375" style="44"/>
    <col min="769" max="769" width="19.69140625" style="44" customWidth="1"/>
    <col min="770" max="770" width="11.15234375" style="44" bestFit="1" customWidth="1"/>
    <col min="771" max="771" width="9.4609375" style="44" customWidth="1"/>
    <col min="772" max="772" width="13.15234375" style="44" customWidth="1"/>
    <col min="773" max="773" width="11.4609375" style="44"/>
    <col min="774" max="774" width="12.3046875" style="44" customWidth="1"/>
    <col min="775" max="1024" width="11.4609375" style="44"/>
    <col min="1025" max="1025" width="19.69140625" style="44" customWidth="1"/>
    <col min="1026" max="1026" width="11.15234375" style="44" bestFit="1" customWidth="1"/>
    <col min="1027" max="1027" width="9.4609375" style="44" customWidth="1"/>
    <col min="1028" max="1028" width="13.15234375" style="44" customWidth="1"/>
    <col min="1029" max="1029" width="11.4609375" style="44"/>
    <col min="1030" max="1030" width="12.3046875" style="44" customWidth="1"/>
    <col min="1031" max="1280" width="11.4609375" style="44"/>
    <col min="1281" max="1281" width="19.69140625" style="44" customWidth="1"/>
    <col min="1282" max="1282" width="11.15234375" style="44" bestFit="1" customWidth="1"/>
    <col min="1283" max="1283" width="9.4609375" style="44" customWidth="1"/>
    <col min="1284" max="1284" width="13.15234375" style="44" customWidth="1"/>
    <col min="1285" max="1285" width="11.4609375" style="44"/>
    <col min="1286" max="1286" width="12.3046875" style="44" customWidth="1"/>
    <col min="1287" max="1536" width="11.4609375" style="44"/>
    <col min="1537" max="1537" width="19.69140625" style="44" customWidth="1"/>
    <col min="1538" max="1538" width="11.15234375" style="44" bestFit="1" customWidth="1"/>
    <col min="1539" max="1539" width="9.4609375" style="44" customWidth="1"/>
    <col min="1540" max="1540" width="13.15234375" style="44" customWidth="1"/>
    <col min="1541" max="1541" width="11.4609375" style="44"/>
    <col min="1542" max="1542" width="12.3046875" style="44" customWidth="1"/>
    <col min="1543" max="1792" width="11.4609375" style="44"/>
    <col min="1793" max="1793" width="19.69140625" style="44" customWidth="1"/>
    <col min="1794" max="1794" width="11.15234375" style="44" bestFit="1" customWidth="1"/>
    <col min="1795" max="1795" width="9.4609375" style="44" customWidth="1"/>
    <col min="1796" max="1796" width="13.15234375" style="44" customWidth="1"/>
    <col min="1797" max="1797" width="11.4609375" style="44"/>
    <col min="1798" max="1798" width="12.3046875" style="44" customWidth="1"/>
    <col min="1799" max="2048" width="11.4609375" style="44"/>
    <col min="2049" max="2049" width="19.69140625" style="44" customWidth="1"/>
    <col min="2050" max="2050" width="11.15234375" style="44" bestFit="1" customWidth="1"/>
    <col min="2051" max="2051" width="9.4609375" style="44" customWidth="1"/>
    <col min="2052" max="2052" width="13.15234375" style="44" customWidth="1"/>
    <col min="2053" max="2053" width="11.4609375" style="44"/>
    <col min="2054" max="2054" width="12.3046875" style="44" customWidth="1"/>
    <col min="2055" max="2304" width="11.4609375" style="44"/>
    <col min="2305" max="2305" width="19.69140625" style="44" customWidth="1"/>
    <col min="2306" max="2306" width="11.15234375" style="44" bestFit="1" customWidth="1"/>
    <col min="2307" max="2307" width="9.4609375" style="44" customWidth="1"/>
    <col min="2308" max="2308" width="13.15234375" style="44" customWidth="1"/>
    <col min="2309" max="2309" width="11.4609375" style="44"/>
    <col min="2310" max="2310" width="12.3046875" style="44" customWidth="1"/>
    <col min="2311" max="2560" width="11.4609375" style="44"/>
    <col min="2561" max="2561" width="19.69140625" style="44" customWidth="1"/>
    <col min="2562" max="2562" width="11.15234375" style="44" bestFit="1" customWidth="1"/>
    <col min="2563" max="2563" width="9.4609375" style="44" customWidth="1"/>
    <col min="2564" max="2564" width="13.15234375" style="44" customWidth="1"/>
    <col min="2565" max="2565" width="11.4609375" style="44"/>
    <col min="2566" max="2566" width="12.3046875" style="44" customWidth="1"/>
    <col min="2567" max="2816" width="11.4609375" style="44"/>
    <col min="2817" max="2817" width="19.69140625" style="44" customWidth="1"/>
    <col min="2818" max="2818" width="11.15234375" style="44" bestFit="1" customWidth="1"/>
    <col min="2819" max="2819" width="9.4609375" style="44" customWidth="1"/>
    <col min="2820" max="2820" width="13.15234375" style="44" customWidth="1"/>
    <col min="2821" max="2821" width="11.4609375" style="44"/>
    <col min="2822" max="2822" width="12.3046875" style="44" customWidth="1"/>
    <col min="2823" max="3072" width="11.4609375" style="44"/>
    <col min="3073" max="3073" width="19.69140625" style="44" customWidth="1"/>
    <col min="3074" max="3074" width="11.15234375" style="44" bestFit="1" customWidth="1"/>
    <col min="3075" max="3075" width="9.4609375" style="44" customWidth="1"/>
    <col min="3076" max="3076" width="13.15234375" style="44" customWidth="1"/>
    <col min="3077" max="3077" width="11.4609375" style="44"/>
    <col min="3078" max="3078" width="12.3046875" style="44" customWidth="1"/>
    <col min="3079" max="3328" width="11.4609375" style="44"/>
    <col min="3329" max="3329" width="19.69140625" style="44" customWidth="1"/>
    <col min="3330" max="3330" width="11.15234375" style="44" bestFit="1" customWidth="1"/>
    <col min="3331" max="3331" width="9.4609375" style="44" customWidth="1"/>
    <col min="3332" max="3332" width="13.15234375" style="44" customWidth="1"/>
    <col min="3333" max="3333" width="11.4609375" style="44"/>
    <col min="3334" max="3334" width="12.3046875" style="44" customWidth="1"/>
    <col min="3335" max="3584" width="11.4609375" style="44"/>
    <col min="3585" max="3585" width="19.69140625" style="44" customWidth="1"/>
    <col min="3586" max="3586" width="11.15234375" style="44" bestFit="1" customWidth="1"/>
    <col min="3587" max="3587" width="9.4609375" style="44" customWidth="1"/>
    <col min="3588" max="3588" width="13.15234375" style="44" customWidth="1"/>
    <col min="3589" max="3589" width="11.4609375" style="44"/>
    <col min="3590" max="3590" width="12.3046875" style="44" customWidth="1"/>
    <col min="3591" max="3840" width="11.4609375" style="44"/>
    <col min="3841" max="3841" width="19.69140625" style="44" customWidth="1"/>
    <col min="3842" max="3842" width="11.15234375" style="44" bestFit="1" customWidth="1"/>
    <col min="3843" max="3843" width="9.4609375" style="44" customWidth="1"/>
    <col min="3844" max="3844" width="13.15234375" style="44" customWidth="1"/>
    <col min="3845" max="3845" width="11.4609375" style="44"/>
    <col min="3846" max="3846" width="12.3046875" style="44" customWidth="1"/>
    <col min="3847" max="4096" width="11.4609375" style="44"/>
    <col min="4097" max="4097" width="19.69140625" style="44" customWidth="1"/>
    <col min="4098" max="4098" width="11.15234375" style="44" bestFit="1" customWidth="1"/>
    <col min="4099" max="4099" width="9.4609375" style="44" customWidth="1"/>
    <col min="4100" max="4100" width="13.15234375" style="44" customWidth="1"/>
    <col min="4101" max="4101" width="11.4609375" style="44"/>
    <col min="4102" max="4102" width="12.3046875" style="44" customWidth="1"/>
    <col min="4103" max="4352" width="11.4609375" style="44"/>
    <col min="4353" max="4353" width="19.69140625" style="44" customWidth="1"/>
    <col min="4354" max="4354" width="11.15234375" style="44" bestFit="1" customWidth="1"/>
    <col min="4355" max="4355" width="9.4609375" style="44" customWidth="1"/>
    <col min="4356" max="4356" width="13.15234375" style="44" customWidth="1"/>
    <col min="4357" max="4357" width="11.4609375" style="44"/>
    <col min="4358" max="4358" width="12.3046875" style="44" customWidth="1"/>
    <col min="4359" max="4608" width="11.4609375" style="44"/>
    <col min="4609" max="4609" width="19.69140625" style="44" customWidth="1"/>
    <col min="4610" max="4610" width="11.15234375" style="44" bestFit="1" customWidth="1"/>
    <col min="4611" max="4611" width="9.4609375" style="44" customWidth="1"/>
    <col min="4612" max="4612" width="13.15234375" style="44" customWidth="1"/>
    <col min="4613" max="4613" width="11.4609375" style="44"/>
    <col min="4614" max="4614" width="12.3046875" style="44" customWidth="1"/>
    <col min="4615" max="4864" width="11.4609375" style="44"/>
    <col min="4865" max="4865" width="19.69140625" style="44" customWidth="1"/>
    <col min="4866" max="4866" width="11.15234375" style="44" bestFit="1" customWidth="1"/>
    <col min="4867" max="4867" width="9.4609375" style="44" customWidth="1"/>
    <col min="4868" max="4868" width="13.15234375" style="44" customWidth="1"/>
    <col min="4869" max="4869" width="11.4609375" style="44"/>
    <col min="4870" max="4870" width="12.3046875" style="44" customWidth="1"/>
    <col min="4871" max="5120" width="11.4609375" style="44"/>
    <col min="5121" max="5121" width="19.69140625" style="44" customWidth="1"/>
    <col min="5122" max="5122" width="11.15234375" style="44" bestFit="1" customWidth="1"/>
    <col min="5123" max="5123" width="9.4609375" style="44" customWidth="1"/>
    <col min="5124" max="5124" width="13.15234375" style="44" customWidth="1"/>
    <col min="5125" max="5125" width="11.4609375" style="44"/>
    <col min="5126" max="5126" width="12.3046875" style="44" customWidth="1"/>
    <col min="5127" max="5376" width="11.4609375" style="44"/>
    <col min="5377" max="5377" width="19.69140625" style="44" customWidth="1"/>
    <col min="5378" max="5378" width="11.15234375" style="44" bestFit="1" customWidth="1"/>
    <col min="5379" max="5379" width="9.4609375" style="44" customWidth="1"/>
    <col min="5380" max="5380" width="13.15234375" style="44" customWidth="1"/>
    <col min="5381" max="5381" width="11.4609375" style="44"/>
    <col min="5382" max="5382" width="12.3046875" style="44" customWidth="1"/>
    <col min="5383" max="5632" width="11.4609375" style="44"/>
    <col min="5633" max="5633" width="19.69140625" style="44" customWidth="1"/>
    <col min="5634" max="5634" width="11.15234375" style="44" bestFit="1" customWidth="1"/>
    <col min="5635" max="5635" width="9.4609375" style="44" customWidth="1"/>
    <col min="5636" max="5636" width="13.15234375" style="44" customWidth="1"/>
    <col min="5637" max="5637" width="11.4609375" style="44"/>
    <col min="5638" max="5638" width="12.3046875" style="44" customWidth="1"/>
    <col min="5639" max="5888" width="11.4609375" style="44"/>
    <col min="5889" max="5889" width="19.69140625" style="44" customWidth="1"/>
    <col min="5890" max="5890" width="11.15234375" style="44" bestFit="1" customWidth="1"/>
    <col min="5891" max="5891" width="9.4609375" style="44" customWidth="1"/>
    <col min="5892" max="5892" width="13.15234375" style="44" customWidth="1"/>
    <col min="5893" max="5893" width="11.4609375" style="44"/>
    <col min="5894" max="5894" width="12.3046875" style="44" customWidth="1"/>
    <col min="5895" max="6144" width="11.4609375" style="44"/>
    <col min="6145" max="6145" width="19.69140625" style="44" customWidth="1"/>
    <col min="6146" max="6146" width="11.15234375" style="44" bestFit="1" customWidth="1"/>
    <col min="6147" max="6147" width="9.4609375" style="44" customWidth="1"/>
    <col min="6148" max="6148" width="13.15234375" style="44" customWidth="1"/>
    <col min="6149" max="6149" width="11.4609375" style="44"/>
    <col min="6150" max="6150" width="12.3046875" style="44" customWidth="1"/>
    <col min="6151" max="6400" width="11.4609375" style="44"/>
    <col min="6401" max="6401" width="19.69140625" style="44" customWidth="1"/>
    <col min="6402" max="6402" width="11.15234375" style="44" bestFit="1" customWidth="1"/>
    <col min="6403" max="6403" width="9.4609375" style="44" customWidth="1"/>
    <col min="6404" max="6404" width="13.15234375" style="44" customWidth="1"/>
    <col min="6405" max="6405" width="11.4609375" style="44"/>
    <col min="6406" max="6406" width="12.3046875" style="44" customWidth="1"/>
    <col min="6407" max="6656" width="11.4609375" style="44"/>
    <col min="6657" max="6657" width="19.69140625" style="44" customWidth="1"/>
    <col min="6658" max="6658" width="11.15234375" style="44" bestFit="1" customWidth="1"/>
    <col min="6659" max="6659" width="9.4609375" style="44" customWidth="1"/>
    <col min="6660" max="6660" width="13.15234375" style="44" customWidth="1"/>
    <col min="6661" max="6661" width="11.4609375" style="44"/>
    <col min="6662" max="6662" width="12.3046875" style="44" customWidth="1"/>
    <col min="6663" max="6912" width="11.4609375" style="44"/>
    <col min="6913" max="6913" width="19.69140625" style="44" customWidth="1"/>
    <col min="6914" max="6914" width="11.15234375" style="44" bestFit="1" customWidth="1"/>
    <col min="6915" max="6915" width="9.4609375" style="44" customWidth="1"/>
    <col min="6916" max="6916" width="13.15234375" style="44" customWidth="1"/>
    <col min="6917" max="6917" width="11.4609375" style="44"/>
    <col min="6918" max="6918" width="12.3046875" style="44" customWidth="1"/>
    <col min="6919" max="7168" width="11.4609375" style="44"/>
    <col min="7169" max="7169" width="19.69140625" style="44" customWidth="1"/>
    <col min="7170" max="7170" width="11.15234375" style="44" bestFit="1" customWidth="1"/>
    <col min="7171" max="7171" width="9.4609375" style="44" customWidth="1"/>
    <col min="7172" max="7172" width="13.15234375" style="44" customWidth="1"/>
    <col min="7173" max="7173" width="11.4609375" style="44"/>
    <col min="7174" max="7174" width="12.3046875" style="44" customWidth="1"/>
    <col min="7175" max="7424" width="11.4609375" style="44"/>
    <col min="7425" max="7425" width="19.69140625" style="44" customWidth="1"/>
    <col min="7426" max="7426" width="11.15234375" style="44" bestFit="1" customWidth="1"/>
    <col min="7427" max="7427" width="9.4609375" style="44" customWidth="1"/>
    <col min="7428" max="7428" width="13.15234375" style="44" customWidth="1"/>
    <col min="7429" max="7429" width="11.4609375" style="44"/>
    <col min="7430" max="7430" width="12.3046875" style="44" customWidth="1"/>
    <col min="7431" max="7680" width="11.4609375" style="44"/>
    <col min="7681" max="7681" width="19.69140625" style="44" customWidth="1"/>
    <col min="7682" max="7682" width="11.15234375" style="44" bestFit="1" customWidth="1"/>
    <col min="7683" max="7683" width="9.4609375" style="44" customWidth="1"/>
    <col min="7684" max="7684" width="13.15234375" style="44" customWidth="1"/>
    <col min="7685" max="7685" width="11.4609375" style="44"/>
    <col min="7686" max="7686" width="12.3046875" style="44" customWidth="1"/>
    <col min="7687" max="7936" width="11.4609375" style="44"/>
    <col min="7937" max="7937" width="19.69140625" style="44" customWidth="1"/>
    <col min="7938" max="7938" width="11.15234375" style="44" bestFit="1" customWidth="1"/>
    <col min="7939" max="7939" width="9.4609375" style="44" customWidth="1"/>
    <col min="7940" max="7940" width="13.15234375" style="44" customWidth="1"/>
    <col min="7941" max="7941" width="11.4609375" style="44"/>
    <col min="7942" max="7942" width="12.3046875" style="44" customWidth="1"/>
    <col min="7943" max="8192" width="11.4609375" style="44"/>
    <col min="8193" max="8193" width="19.69140625" style="44" customWidth="1"/>
    <col min="8194" max="8194" width="11.15234375" style="44" bestFit="1" customWidth="1"/>
    <col min="8195" max="8195" width="9.4609375" style="44" customWidth="1"/>
    <col min="8196" max="8196" width="13.15234375" style="44" customWidth="1"/>
    <col min="8197" max="8197" width="11.4609375" style="44"/>
    <col min="8198" max="8198" width="12.3046875" style="44" customWidth="1"/>
    <col min="8199" max="8448" width="11.4609375" style="44"/>
    <col min="8449" max="8449" width="19.69140625" style="44" customWidth="1"/>
    <col min="8450" max="8450" width="11.15234375" style="44" bestFit="1" customWidth="1"/>
    <col min="8451" max="8451" width="9.4609375" style="44" customWidth="1"/>
    <col min="8452" max="8452" width="13.15234375" style="44" customWidth="1"/>
    <col min="8453" max="8453" width="11.4609375" style="44"/>
    <col min="8454" max="8454" width="12.3046875" style="44" customWidth="1"/>
    <col min="8455" max="8704" width="11.4609375" style="44"/>
    <col min="8705" max="8705" width="19.69140625" style="44" customWidth="1"/>
    <col min="8706" max="8706" width="11.15234375" style="44" bestFit="1" customWidth="1"/>
    <col min="8707" max="8707" width="9.4609375" style="44" customWidth="1"/>
    <col min="8708" max="8708" width="13.15234375" style="44" customWidth="1"/>
    <col min="8709" max="8709" width="11.4609375" style="44"/>
    <col min="8710" max="8710" width="12.3046875" style="44" customWidth="1"/>
    <col min="8711" max="8960" width="11.4609375" style="44"/>
    <col min="8961" max="8961" width="19.69140625" style="44" customWidth="1"/>
    <col min="8962" max="8962" width="11.15234375" style="44" bestFit="1" customWidth="1"/>
    <col min="8963" max="8963" width="9.4609375" style="44" customWidth="1"/>
    <col min="8964" max="8964" width="13.15234375" style="44" customWidth="1"/>
    <col min="8965" max="8965" width="11.4609375" style="44"/>
    <col min="8966" max="8966" width="12.3046875" style="44" customWidth="1"/>
    <col min="8967" max="9216" width="11.4609375" style="44"/>
    <col min="9217" max="9217" width="19.69140625" style="44" customWidth="1"/>
    <col min="9218" max="9218" width="11.15234375" style="44" bestFit="1" customWidth="1"/>
    <col min="9219" max="9219" width="9.4609375" style="44" customWidth="1"/>
    <col min="9220" max="9220" width="13.15234375" style="44" customWidth="1"/>
    <col min="9221" max="9221" width="11.4609375" style="44"/>
    <col min="9222" max="9222" width="12.3046875" style="44" customWidth="1"/>
    <col min="9223" max="9472" width="11.4609375" style="44"/>
    <col min="9473" max="9473" width="19.69140625" style="44" customWidth="1"/>
    <col min="9474" max="9474" width="11.15234375" style="44" bestFit="1" customWidth="1"/>
    <col min="9475" max="9475" width="9.4609375" style="44" customWidth="1"/>
    <col min="9476" max="9476" width="13.15234375" style="44" customWidth="1"/>
    <col min="9477" max="9477" width="11.4609375" style="44"/>
    <col min="9478" max="9478" width="12.3046875" style="44" customWidth="1"/>
    <col min="9479" max="9728" width="11.4609375" style="44"/>
    <col min="9729" max="9729" width="19.69140625" style="44" customWidth="1"/>
    <col min="9730" max="9730" width="11.15234375" style="44" bestFit="1" customWidth="1"/>
    <col min="9731" max="9731" width="9.4609375" style="44" customWidth="1"/>
    <col min="9732" max="9732" width="13.15234375" style="44" customWidth="1"/>
    <col min="9733" max="9733" width="11.4609375" style="44"/>
    <col min="9734" max="9734" width="12.3046875" style="44" customWidth="1"/>
    <col min="9735" max="9984" width="11.4609375" style="44"/>
    <col min="9985" max="9985" width="19.69140625" style="44" customWidth="1"/>
    <col min="9986" max="9986" width="11.15234375" style="44" bestFit="1" customWidth="1"/>
    <col min="9987" max="9987" width="9.4609375" style="44" customWidth="1"/>
    <col min="9988" max="9988" width="13.15234375" style="44" customWidth="1"/>
    <col min="9989" max="9989" width="11.4609375" style="44"/>
    <col min="9990" max="9990" width="12.3046875" style="44" customWidth="1"/>
    <col min="9991" max="10240" width="11.4609375" style="44"/>
    <col min="10241" max="10241" width="19.69140625" style="44" customWidth="1"/>
    <col min="10242" max="10242" width="11.15234375" style="44" bestFit="1" customWidth="1"/>
    <col min="10243" max="10243" width="9.4609375" style="44" customWidth="1"/>
    <col min="10244" max="10244" width="13.15234375" style="44" customWidth="1"/>
    <col min="10245" max="10245" width="11.4609375" style="44"/>
    <col min="10246" max="10246" width="12.3046875" style="44" customWidth="1"/>
    <col min="10247" max="10496" width="11.4609375" style="44"/>
    <col min="10497" max="10497" width="19.69140625" style="44" customWidth="1"/>
    <col min="10498" max="10498" width="11.15234375" style="44" bestFit="1" customWidth="1"/>
    <col min="10499" max="10499" width="9.4609375" style="44" customWidth="1"/>
    <col min="10500" max="10500" width="13.15234375" style="44" customWidth="1"/>
    <col min="10501" max="10501" width="11.4609375" style="44"/>
    <col min="10502" max="10502" width="12.3046875" style="44" customWidth="1"/>
    <col min="10503" max="10752" width="11.4609375" style="44"/>
    <col min="10753" max="10753" width="19.69140625" style="44" customWidth="1"/>
    <col min="10754" max="10754" width="11.15234375" style="44" bestFit="1" customWidth="1"/>
    <col min="10755" max="10755" width="9.4609375" style="44" customWidth="1"/>
    <col min="10756" max="10756" width="13.15234375" style="44" customWidth="1"/>
    <col min="10757" max="10757" width="11.4609375" style="44"/>
    <col min="10758" max="10758" width="12.3046875" style="44" customWidth="1"/>
    <col min="10759" max="11008" width="11.4609375" style="44"/>
    <col min="11009" max="11009" width="19.69140625" style="44" customWidth="1"/>
    <col min="11010" max="11010" width="11.15234375" style="44" bestFit="1" customWidth="1"/>
    <col min="11011" max="11011" width="9.4609375" style="44" customWidth="1"/>
    <col min="11012" max="11012" width="13.15234375" style="44" customWidth="1"/>
    <col min="11013" max="11013" width="11.4609375" style="44"/>
    <col min="11014" max="11014" width="12.3046875" style="44" customWidth="1"/>
    <col min="11015" max="11264" width="11.4609375" style="44"/>
    <col min="11265" max="11265" width="19.69140625" style="44" customWidth="1"/>
    <col min="11266" max="11266" width="11.15234375" style="44" bestFit="1" customWidth="1"/>
    <col min="11267" max="11267" width="9.4609375" style="44" customWidth="1"/>
    <col min="11268" max="11268" width="13.15234375" style="44" customWidth="1"/>
    <col min="11269" max="11269" width="11.4609375" style="44"/>
    <col min="11270" max="11270" width="12.3046875" style="44" customWidth="1"/>
    <col min="11271" max="11520" width="11.4609375" style="44"/>
    <col min="11521" max="11521" width="19.69140625" style="44" customWidth="1"/>
    <col min="11522" max="11522" width="11.15234375" style="44" bestFit="1" customWidth="1"/>
    <col min="11523" max="11523" width="9.4609375" style="44" customWidth="1"/>
    <col min="11524" max="11524" width="13.15234375" style="44" customWidth="1"/>
    <col min="11525" max="11525" width="11.4609375" style="44"/>
    <col min="11526" max="11526" width="12.3046875" style="44" customWidth="1"/>
    <col min="11527" max="11776" width="11.4609375" style="44"/>
    <col min="11777" max="11777" width="19.69140625" style="44" customWidth="1"/>
    <col min="11778" max="11778" width="11.15234375" style="44" bestFit="1" customWidth="1"/>
    <col min="11779" max="11779" width="9.4609375" style="44" customWidth="1"/>
    <col min="11780" max="11780" width="13.15234375" style="44" customWidth="1"/>
    <col min="11781" max="11781" width="11.4609375" style="44"/>
    <col min="11782" max="11782" width="12.3046875" style="44" customWidth="1"/>
    <col min="11783" max="12032" width="11.4609375" style="44"/>
    <col min="12033" max="12033" width="19.69140625" style="44" customWidth="1"/>
    <col min="12034" max="12034" width="11.15234375" style="44" bestFit="1" customWidth="1"/>
    <col min="12035" max="12035" width="9.4609375" style="44" customWidth="1"/>
    <col min="12036" max="12036" width="13.15234375" style="44" customWidth="1"/>
    <col min="12037" max="12037" width="11.4609375" style="44"/>
    <col min="12038" max="12038" width="12.3046875" style="44" customWidth="1"/>
    <col min="12039" max="12288" width="11.4609375" style="44"/>
    <col min="12289" max="12289" width="19.69140625" style="44" customWidth="1"/>
    <col min="12290" max="12290" width="11.15234375" style="44" bestFit="1" customWidth="1"/>
    <col min="12291" max="12291" width="9.4609375" style="44" customWidth="1"/>
    <col min="12292" max="12292" width="13.15234375" style="44" customWidth="1"/>
    <col min="12293" max="12293" width="11.4609375" style="44"/>
    <col min="12294" max="12294" width="12.3046875" style="44" customWidth="1"/>
    <col min="12295" max="12544" width="11.4609375" style="44"/>
    <col min="12545" max="12545" width="19.69140625" style="44" customWidth="1"/>
    <col min="12546" max="12546" width="11.15234375" style="44" bestFit="1" customWidth="1"/>
    <col min="12547" max="12547" width="9.4609375" style="44" customWidth="1"/>
    <col min="12548" max="12548" width="13.15234375" style="44" customWidth="1"/>
    <col min="12549" max="12549" width="11.4609375" style="44"/>
    <col min="12550" max="12550" width="12.3046875" style="44" customWidth="1"/>
    <col min="12551" max="12800" width="11.4609375" style="44"/>
    <col min="12801" max="12801" width="19.69140625" style="44" customWidth="1"/>
    <col min="12802" max="12802" width="11.15234375" style="44" bestFit="1" customWidth="1"/>
    <col min="12803" max="12803" width="9.4609375" style="44" customWidth="1"/>
    <col min="12804" max="12804" width="13.15234375" style="44" customWidth="1"/>
    <col min="12805" max="12805" width="11.4609375" style="44"/>
    <col min="12806" max="12806" width="12.3046875" style="44" customWidth="1"/>
    <col min="12807" max="13056" width="11.4609375" style="44"/>
    <col min="13057" max="13057" width="19.69140625" style="44" customWidth="1"/>
    <col min="13058" max="13058" width="11.15234375" style="44" bestFit="1" customWidth="1"/>
    <col min="13059" max="13059" width="9.4609375" style="44" customWidth="1"/>
    <col min="13060" max="13060" width="13.15234375" style="44" customWidth="1"/>
    <col min="13061" max="13061" width="11.4609375" style="44"/>
    <col min="13062" max="13062" width="12.3046875" style="44" customWidth="1"/>
    <col min="13063" max="13312" width="11.4609375" style="44"/>
    <col min="13313" max="13313" width="19.69140625" style="44" customWidth="1"/>
    <col min="13314" max="13314" width="11.15234375" style="44" bestFit="1" customWidth="1"/>
    <col min="13315" max="13315" width="9.4609375" style="44" customWidth="1"/>
    <col min="13316" max="13316" width="13.15234375" style="44" customWidth="1"/>
    <col min="13317" max="13317" width="11.4609375" style="44"/>
    <col min="13318" max="13318" width="12.3046875" style="44" customWidth="1"/>
    <col min="13319" max="13568" width="11.4609375" style="44"/>
    <col min="13569" max="13569" width="19.69140625" style="44" customWidth="1"/>
    <col min="13570" max="13570" width="11.15234375" style="44" bestFit="1" customWidth="1"/>
    <col min="13571" max="13571" width="9.4609375" style="44" customWidth="1"/>
    <col min="13572" max="13572" width="13.15234375" style="44" customWidth="1"/>
    <col min="13573" max="13573" width="11.4609375" style="44"/>
    <col min="13574" max="13574" width="12.3046875" style="44" customWidth="1"/>
    <col min="13575" max="13824" width="11.4609375" style="44"/>
    <col min="13825" max="13825" width="19.69140625" style="44" customWidth="1"/>
    <col min="13826" max="13826" width="11.15234375" style="44" bestFit="1" customWidth="1"/>
    <col min="13827" max="13827" width="9.4609375" style="44" customWidth="1"/>
    <col min="13828" max="13828" width="13.15234375" style="44" customWidth="1"/>
    <col min="13829" max="13829" width="11.4609375" style="44"/>
    <col min="13830" max="13830" width="12.3046875" style="44" customWidth="1"/>
    <col min="13831" max="14080" width="11.4609375" style="44"/>
    <col min="14081" max="14081" width="19.69140625" style="44" customWidth="1"/>
    <col min="14082" max="14082" width="11.15234375" style="44" bestFit="1" customWidth="1"/>
    <col min="14083" max="14083" width="9.4609375" style="44" customWidth="1"/>
    <col min="14084" max="14084" width="13.15234375" style="44" customWidth="1"/>
    <col min="14085" max="14085" width="11.4609375" style="44"/>
    <col min="14086" max="14086" width="12.3046875" style="44" customWidth="1"/>
    <col min="14087" max="14336" width="11.4609375" style="44"/>
    <col min="14337" max="14337" width="19.69140625" style="44" customWidth="1"/>
    <col min="14338" max="14338" width="11.15234375" style="44" bestFit="1" customWidth="1"/>
    <col min="14339" max="14339" width="9.4609375" style="44" customWidth="1"/>
    <col min="14340" max="14340" width="13.15234375" style="44" customWidth="1"/>
    <col min="14341" max="14341" width="11.4609375" style="44"/>
    <col min="14342" max="14342" width="12.3046875" style="44" customWidth="1"/>
    <col min="14343" max="14592" width="11.4609375" style="44"/>
    <col min="14593" max="14593" width="19.69140625" style="44" customWidth="1"/>
    <col min="14594" max="14594" width="11.15234375" style="44" bestFit="1" customWidth="1"/>
    <col min="14595" max="14595" width="9.4609375" style="44" customWidth="1"/>
    <col min="14596" max="14596" width="13.15234375" style="44" customWidth="1"/>
    <col min="14597" max="14597" width="11.4609375" style="44"/>
    <col min="14598" max="14598" width="12.3046875" style="44" customWidth="1"/>
    <col min="14599" max="14848" width="11.4609375" style="44"/>
    <col min="14849" max="14849" width="19.69140625" style="44" customWidth="1"/>
    <col min="14850" max="14850" width="11.15234375" style="44" bestFit="1" customWidth="1"/>
    <col min="14851" max="14851" width="9.4609375" style="44" customWidth="1"/>
    <col min="14852" max="14852" width="13.15234375" style="44" customWidth="1"/>
    <col min="14853" max="14853" width="11.4609375" style="44"/>
    <col min="14854" max="14854" width="12.3046875" style="44" customWidth="1"/>
    <col min="14855" max="15104" width="11.4609375" style="44"/>
    <col min="15105" max="15105" width="19.69140625" style="44" customWidth="1"/>
    <col min="15106" max="15106" width="11.15234375" style="44" bestFit="1" customWidth="1"/>
    <col min="15107" max="15107" width="9.4609375" style="44" customWidth="1"/>
    <col min="15108" max="15108" width="13.15234375" style="44" customWidth="1"/>
    <col min="15109" max="15109" width="11.4609375" style="44"/>
    <col min="15110" max="15110" width="12.3046875" style="44" customWidth="1"/>
    <col min="15111" max="15360" width="11.4609375" style="44"/>
    <col min="15361" max="15361" width="19.69140625" style="44" customWidth="1"/>
    <col min="15362" max="15362" width="11.15234375" style="44" bestFit="1" customWidth="1"/>
    <col min="15363" max="15363" width="9.4609375" style="44" customWidth="1"/>
    <col min="15364" max="15364" width="13.15234375" style="44" customWidth="1"/>
    <col min="15365" max="15365" width="11.4609375" style="44"/>
    <col min="15366" max="15366" width="12.3046875" style="44" customWidth="1"/>
    <col min="15367" max="15616" width="11.4609375" style="44"/>
    <col min="15617" max="15617" width="19.69140625" style="44" customWidth="1"/>
    <col min="15618" max="15618" width="11.15234375" style="44" bestFit="1" customWidth="1"/>
    <col min="15619" max="15619" width="9.4609375" style="44" customWidth="1"/>
    <col min="15620" max="15620" width="13.15234375" style="44" customWidth="1"/>
    <col min="15621" max="15621" width="11.4609375" style="44"/>
    <col min="15622" max="15622" width="12.3046875" style="44" customWidth="1"/>
    <col min="15623" max="15872" width="11.4609375" style="44"/>
    <col min="15873" max="15873" width="19.69140625" style="44" customWidth="1"/>
    <col min="15874" max="15874" width="11.15234375" style="44" bestFit="1" customWidth="1"/>
    <col min="15875" max="15875" width="9.4609375" style="44" customWidth="1"/>
    <col min="15876" max="15876" width="13.15234375" style="44" customWidth="1"/>
    <col min="15877" max="15877" width="11.4609375" style="44"/>
    <col min="15878" max="15878" width="12.3046875" style="44" customWidth="1"/>
    <col min="15879" max="16128" width="11.4609375" style="44"/>
    <col min="16129" max="16129" width="19.69140625" style="44" customWidth="1"/>
    <col min="16130" max="16130" width="11.15234375" style="44" bestFit="1" customWidth="1"/>
    <col min="16131" max="16131" width="9.4609375" style="44" customWidth="1"/>
    <col min="16132" max="16132" width="13.15234375" style="44" customWidth="1"/>
    <col min="16133" max="16133" width="11.4609375" style="44"/>
    <col min="16134" max="16134" width="12.3046875" style="44" customWidth="1"/>
    <col min="16135" max="16384" width="11.4609375" style="44"/>
  </cols>
  <sheetData>
    <row r="1" spans="1:10" ht="18.45">
      <c r="A1" s="502" t="s">
        <v>429</v>
      </c>
      <c r="B1" s="12"/>
      <c r="C1" s="12"/>
      <c r="D1" s="12"/>
      <c r="F1" s="8"/>
    </row>
    <row r="3" spans="1:10" ht="17.600000000000001">
      <c r="A3" s="160" t="s">
        <v>410</v>
      </c>
      <c r="F3" s="13"/>
    </row>
    <row r="4" spans="1:10">
      <c r="A4" s="46"/>
    </row>
    <row r="5" spans="1:10">
      <c r="A5" s="46" t="s">
        <v>405</v>
      </c>
    </row>
    <row r="6" spans="1:10">
      <c r="A6" s="322" t="s">
        <v>339</v>
      </c>
      <c r="B6" s="48">
        <f ca="1">'Marine Loading Emissions'!B6+'Marine Loading Emissions'!B7+'Marine Loading Emissions'!B8</f>
        <v>8567832</v>
      </c>
      <c r="C6" s="52" t="s">
        <v>73</v>
      </c>
      <c r="D6" s="534" t="s">
        <v>476</v>
      </c>
      <c r="E6" s="53"/>
      <c r="F6" s="54"/>
      <c r="G6" s="51"/>
      <c r="H6" s="51"/>
      <c r="I6" s="51"/>
      <c r="J6" s="51"/>
    </row>
    <row r="7" spans="1:10">
      <c r="A7" s="47" t="s">
        <v>95</v>
      </c>
      <c r="B7" s="55">
        <v>5.6145833333333304</v>
      </c>
      <c r="C7" s="49" t="s">
        <v>96</v>
      </c>
      <c r="D7" s="50" t="s">
        <v>97</v>
      </c>
      <c r="E7" s="49"/>
      <c r="F7" s="54"/>
      <c r="G7" s="51"/>
      <c r="H7" s="51"/>
      <c r="I7" s="56"/>
      <c r="J7" s="51"/>
    </row>
    <row r="8" spans="1:10">
      <c r="A8" s="57" t="s">
        <v>98</v>
      </c>
      <c r="B8" s="58">
        <f ca="1">B6*B7</f>
        <v>48104806.749999978</v>
      </c>
      <c r="C8" s="59" t="s">
        <v>99</v>
      </c>
      <c r="D8" s="60" t="s">
        <v>100</v>
      </c>
      <c r="E8" s="61"/>
      <c r="F8" s="62"/>
      <c r="G8" s="51"/>
      <c r="H8" s="51"/>
      <c r="I8" s="51"/>
      <c r="J8" s="51"/>
    </row>
    <row r="9" spans="1:10">
      <c r="A9" s="63"/>
      <c r="B9" s="64">
        <f>B12*1000000/B10</f>
        <v>67375</v>
      </c>
      <c r="C9" s="65" t="s">
        <v>101</v>
      </c>
      <c r="D9" s="66"/>
      <c r="E9" s="65"/>
      <c r="F9" s="67"/>
      <c r="G9" s="51"/>
      <c r="H9" s="51"/>
      <c r="I9" s="51"/>
      <c r="J9" s="51"/>
    </row>
    <row r="10" spans="1:10">
      <c r="A10" s="68" t="s">
        <v>102</v>
      </c>
      <c r="B10" s="61">
        <v>1200</v>
      </c>
      <c r="C10" s="61" t="s">
        <v>103</v>
      </c>
      <c r="D10" s="60" t="s">
        <v>104</v>
      </c>
      <c r="E10" s="61"/>
      <c r="F10" s="69"/>
      <c r="G10" s="51"/>
      <c r="H10" s="51"/>
      <c r="I10" s="51"/>
      <c r="J10" s="51"/>
    </row>
    <row r="11" spans="1:10">
      <c r="A11" s="70"/>
      <c r="B11" s="71">
        <f ca="1">B8*B10/1000000</f>
        <v>57725.768099999972</v>
      </c>
      <c r="C11" s="51" t="s">
        <v>105</v>
      </c>
      <c r="D11" s="72" t="s">
        <v>106</v>
      </c>
      <c r="E11" s="51"/>
      <c r="F11" s="73"/>
      <c r="G11" s="51"/>
      <c r="H11" s="51"/>
      <c r="I11" s="51"/>
      <c r="J11" s="51"/>
    </row>
    <row r="12" spans="1:10">
      <c r="A12" s="70"/>
      <c r="B12" s="71">
        <v>80.849999999999994</v>
      </c>
      <c r="C12" s="51" t="s">
        <v>107</v>
      </c>
      <c r="D12" s="503" t="s">
        <v>455</v>
      </c>
      <c r="E12" s="51"/>
      <c r="F12" s="73"/>
      <c r="G12" s="51"/>
      <c r="H12" s="51"/>
      <c r="I12" s="51"/>
      <c r="J12" s="51"/>
    </row>
    <row r="13" spans="1:10" ht="15" customHeight="1">
      <c r="A13" s="529" t="s">
        <v>108</v>
      </c>
      <c r="B13" s="530">
        <v>50</v>
      </c>
      <c r="C13" s="530" t="s">
        <v>109</v>
      </c>
      <c r="D13" s="531" t="s">
        <v>110</v>
      </c>
      <c r="E13" s="530"/>
      <c r="F13" s="532"/>
      <c r="G13" s="51"/>
      <c r="H13" s="51"/>
      <c r="I13" s="51"/>
      <c r="J13" s="51"/>
    </row>
    <row r="14" spans="1:10">
      <c r="B14" s="51"/>
      <c r="C14" s="51"/>
      <c r="D14" s="72"/>
      <c r="E14" s="51"/>
      <c r="F14" s="51"/>
      <c r="G14" s="51"/>
      <c r="H14" s="51"/>
      <c r="I14" s="51"/>
      <c r="J14" s="51"/>
    </row>
    <row r="15" spans="1:10">
      <c r="B15" s="51"/>
      <c r="C15" s="51"/>
      <c r="D15" s="51"/>
      <c r="E15" s="51"/>
      <c r="F15" s="51"/>
      <c r="G15" s="51"/>
      <c r="H15" s="51"/>
      <c r="I15" s="51"/>
      <c r="J15" s="51"/>
    </row>
    <row r="16" spans="1:10">
      <c r="B16" s="51"/>
      <c r="C16" s="51"/>
      <c r="D16" s="51"/>
      <c r="E16" s="51"/>
      <c r="F16" s="51"/>
      <c r="G16" s="51"/>
      <c r="H16" s="51"/>
      <c r="I16" s="51"/>
      <c r="J16" s="51"/>
    </row>
    <row r="17" spans="1:10">
      <c r="B17" s="51"/>
      <c r="C17" s="51"/>
      <c r="D17" s="51"/>
      <c r="E17" s="51"/>
      <c r="F17" s="51"/>
      <c r="G17" s="51"/>
      <c r="H17" s="51"/>
      <c r="I17" s="51"/>
      <c r="J17" s="51"/>
    </row>
    <row r="18" spans="1:10">
      <c r="A18" s="46" t="s">
        <v>57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>
      <c r="A19" s="68"/>
      <c r="B19" s="609" t="s">
        <v>59</v>
      </c>
      <c r="C19" s="610"/>
      <c r="D19" s="611"/>
      <c r="E19" s="609" t="s">
        <v>57</v>
      </c>
      <c r="F19" s="611"/>
      <c r="G19" s="51"/>
      <c r="H19" s="51"/>
      <c r="I19" s="51"/>
      <c r="J19" s="51"/>
    </row>
    <row r="20" spans="1:10">
      <c r="A20" s="70"/>
      <c r="B20" s="76" t="s">
        <v>111</v>
      </c>
      <c r="C20" s="76" t="s">
        <v>112</v>
      </c>
      <c r="D20" s="76" t="s">
        <v>113</v>
      </c>
      <c r="E20" s="511" t="s">
        <v>114</v>
      </c>
      <c r="F20" s="76" t="s">
        <v>115</v>
      </c>
      <c r="G20" s="51"/>
      <c r="H20" s="51"/>
      <c r="I20" s="51"/>
      <c r="J20" s="51"/>
    </row>
    <row r="21" spans="1:10" ht="14.05" customHeight="1">
      <c r="A21" s="74" t="s">
        <v>116</v>
      </c>
      <c r="B21" s="75">
        <v>0.15</v>
      </c>
      <c r="C21" s="75" t="s">
        <v>117</v>
      </c>
      <c r="D21" s="77" t="s">
        <v>118</v>
      </c>
      <c r="E21" s="78">
        <f>B21*B12</f>
        <v>12.1275</v>
      </c>
      <c r="F21" s="78">
        <f ca="1">B21*B11/2000</f>
        <v>4.3294326074999985</v>
      </c>
      <c r="G21" s="51"/>
      <c r="H21" s="51"/>
      <c r="I21" s="51"/>
      <c r="J21" s="51"/>
    </row>
    <row r="22" spans="1:10" ht="17.05" customHeight="1">
      <c r="A22" s="74" t="s">
        <v>119</v>
      </c>
      <c r="B22" s="75">
        <v>0.2</v>
      </c>
      <c r="C22" s="75" t="s">
        <v>117</v>
      </c>
      <c r="D22" s="77" t="s">
        <v>118</v>
      </c>
      <c r="E22" s="78">
        <f>B22*B12</f>
        <v>16.169999999999998</v>
      </c>
      <c r="F22" s="78">
        <f ca="1">B22*B11/2000</f>
        <v>5.7725768099999977</v>
      </c>
      <c r="G22" s="51"/>
      <c r="H22" s="51"/>
      <c r="I22" s="51"/>
      <c r="J22" s="51"/>
    </row>
    <row r="23" spans="1:10" ht="18" customHeight="1">
      <c r="A23" s="74" t="s">
        <v>120</v>
      </c>
      <c r="B23" s="358">
        <f>B13*64/(1000000*385.3)</f>
        <v>8.3052167142486372E-6</v>
      </c>
      <c r="C23" s="75" t="s">
        <v>121</v>
      </c>
      <c r="D23" s="77" t="s">
        <v>122</v>
      </c>
      <c r="E23" s="78">
        <f>B23*B9</f>
        <v>0.55956397612250197</v>
      </c>
      <c r="F23" s="78">
        <f ca="1">B23*B8/2000</f>
        <v>0.19976042252790024</v>
      </c>
      <c r="G23" s="51"/>
      <c r="H23" s="51"/>
      <c r="I23" s="51"/>
      <c r="J23" s="51"/>
    </row>
    <row r="24" spans="1:10" ht="26.25" customHeight="1">
      <c r="A24" s="74" t="s">
        <v>123</v>
      </c>
      <c r="B24" s="75">
        <v>2.5000000000000001E-3</v>
      </c>
      <c r="C24" s="75" t="s">
        <v>117</v>
      </c>
      <c r="D24" s="77" t="s">
        <v>124</v>
      </c>
      <c r="E24" s="78">
        <f>B24*B12</f>
        <v>0.202125</v>
      </c>
      <c r="F24" s="78">
        <f ca="1">B24*B11/2000</f>
        <v>7.2157210124999968E-2</v>
      </c>
      <c r="G24" s="51"/>
      <c r="H24" s="51"/>
      <c r="I24" s="51"/>
      <c r="J24" s="51"/>
    </row>
    <row r="25" spans="1:10" ht="58" customHeight="1">
      <c r="A25" s="510" t="s">
        <v>361</v>
      </c>
      <c r="B25" s="359">
        <f>(61.71+(0.003*25)+(0.0006*298))*2.2</f>
        <v>136.32036000000002</v>
      </c>
      <c r="C25" s="75" t="s">
        <v>117</v>
      </c>
      <c r="D25" s="355" t="s">
        <v>359</v>
      </c>
      <c r="E25" s="360">
        <f>B25*B12</f>
        <v>11021.501106000002</v>
      </c>
      <c r="F25" s="360">
        <f ca="1">B25*B11/2000</f>
        <v>3934.5987443342569</v>
      </c>
      <c r="G25" s="51"/>
      <c r="H25" s="51"/>
      <c r="I25" s="51"/>
      <c r="J25" s="51"/>
    </row>
    <row r="26" spans="1:10">
      <c r="A26" s="505" t="s">
        <v>456</v>
      </c>
      <c r="B26" s="51"/>
      <c r="C26" s="51"/>
      <c r="D26" s="79"/>
      <c r="E26" s="51"/>
      <c r="F26" s="51"/>
      <c r="G26" s="51"/>
      <c r="H26" s="51"/>
      <c r="I26" s="51"/>
      <c r="J26" s="51"/>
    </row>
    <row r="27" spans="1:10">
      <c r="B27" s="51"/>
      <c r="C27" s="51"/>
      <c r="D27" s="79"/>
      <c r="E27" s="51"/>
      <c r="F27" s="51"/>
      <c r="G27" s="51"/>
      <c r="H27" s="51"/>
      <c r="I27" s="51"/>
      <c r="J27" s="51"/>
    </row>
    <row r="28" spans="1:10">
      <c r="B28" s="51"/>
      <c r="C28" s="51"/>
      <c r="D28" s="79"/>
      <c r="E28" s="51"/>
      <c r="F28" s="51"/>
      <c r="G28" s="51"/>
      <c r="H28" s="51"/>
      <c r="I28" s="51"/>
      <c r="J28" s="51"/>
    </row>
    <row r="29" spans="1:10">
      <c r="B29" s="51"/>
      <c r="C29" s="51"/>
      <c r="D29" s="51"/>
      <c r="E29" s="51"/>
      <c r="F29" s="51"/>
      <c r="G29" s="51"/>
      <c r="H29" s="51"/>
      <c r="I29" s="51"/>
      <c r="J29" s="51"/>
    </row>
    <row r="30" spans="1:10">
      <c r="F30" s="51"/>
      <c r="G30" s="51"/>
      <c r="H30" s="51"/>
      <c r="I30" s="51"/>
      <c r="J30" s="51"/>
    </row>
    <row r="31" spans="1:10">
      <c r="F31" s="51"/>
      <c r="G31" s="51"/>
      <c r="H31" s="51"/>
      <c r="I31" s="51"/>
      <c r="J31" s="51"/>
    </row>
    <row r="32" spans="1:10">
      <c r="F32" s="51"/>
      <c r="G32" s="51"/>
      <c r="H32" s="51"/>
      <c r="I32" s="51"/>
      <c r="J32" s="51"/>
    </row>
    <row r="33" spans="2:10">
      <c r="F33" s="51"/>
      <c r="G33" s="51"/>
      <c r="H33" s="51"/>
      <c r="I33" s="51"/>
      <c r="J33" s="51"/>
    </row>
    <row r="34" spans="2:10">
      <c r="F34" s="51"/>
      <c r="G34" s="51"/>
      <c r="H34" s="51"/>
      <c r="I34" s="51"/>
      <c r="J34" s="51"/>
    </row>
    <row r="35" spans="2:10">
      <c r="B35" s="51"/>
      <c r="C35" s="51"/>
      <c r="D35" s="51"/>
      <c r="E35" s="51"/>
      <c r="F35" s="51"/>
      <c r="G35" s="51"/>
      <c r="H35" s="51"/>
      <c r="I35" s="51"/>
      <c r="J35" s="51"/>
    </row>
    <row r="36" spans="2:10">
      <c r="B36" s="51"/>
      <c r="C36" s="51"/>
      <c r="D36" s="51"/>
      <c r="E36" s="51"/>
      <c r="F36" s="51"/>
      <c r="G36" s="51"/>
      <c r="H36" s="51"/>
      <c r="I36" s="51"/>
      <c r="J36" s="51"/>
    </row>
    <row r="37" spans="2:10">
      <c r="B37" s="51"/>
      <c r="C37" s="51"/>
      <c r="D37" s="51"/>
      <c r="E37" s="51"/>
      <c r="F37" s="51"/>
      <c r="G37" s="51"/>
      <c r="H37" s="51"/>
      <c r="I37" s="51"/>
      <c r="J37" s="51"/>
    </row>
    <row r="38" spans="2:10">
      <c r="B38" s="51"/>
      <c r="C38" s="51"/>
      <c r="D38" s="51"/>
      <c r="E38" s="51"/>
      <c r="F38" s="51"/>
      <c r="G38" s="51"/>
      <c r="H38" s="51"/>
      <c r="I38" s="51"/>
      <c r="J38" s="51"/>
    </row>
    <row r="39" spans="2:10">
      <c r="B39" s="51"/>
      <c r="C39" s="51"/>
      <c r="D39" s="51"/>
      <c r="E39" s="51"/>
      <c r="F39" s="51"/>
      <c r="G39" s="51"/>
      <c r="H39" s="51"/>
      <c r="I39" s="51"/>
      <c r="J39" s="51"/>
    </row>
    <row r="40" spans="2:10">
      <c r="B40" s="51"/>
      <c r="C40" s="51"/>
      <c r="D40" s="51"/>
      <c r="E40" s="51"/>
      <c r="F40" s="51"/>
      <c r="G40" s="51"/>
      <c r="H40" s="51"/>
      <c r="I40" s="51"/>
      <c r="J40" s="51"/>
    </row>
    <row r="41" spans="2:10">
      <c r="B41" s="51"/>
      <c r="C41" s="51"/>
      <c r="D41" s="51"/>
      <c r="E41" s="51"/>
      <c r="F41" s="51"/>
      <c r="G41" s="51"/>
      <c r="H41" s="51"/>
      <c r="I41" s="51"/>
      <c r="J41" s="51"/>
    </row>
    <row r="42" spans="2:10">
      <c r="B42" s="51"/>
      <c r="C42" s="51"/>
      <c r="D42" s="51"/>
      <c r="E42" s="51"/>
      <c r="F42" s="51"/>
      <c r="G42" s="51"/>
      <c r="H42" s="51"/>
      <c r="I42" s="51"/>
      <c r="J42" s="51"/>
    </row>
    <row r="43" spans="2:10">
      <c r="B43" s="51"/>
      <c r="C43" s="51"/>
      <c r="D43" s="51"/>
      <c r="E43" s="51"/>
      <c r="F43" s="51"/>
      <c r="G43" s="51"/>
      <c r="H43" s="51"/>
      <c r="I43" s="51"/>
      <c r="J43" s="51"/>
    </row>
  </sheetData>
  <sheetProtection algorithmName="SHA-512" hashValue="0VzZOih6g0GmbaRFbdLK3jg+AAvpS6tyre05NH1vjH7yWkka56vjx32qSkyOAG7QL4cHMmLdFJiwcrOAHWnqTQ==" saltValue="WpzvMyKT/kaT8ewtoMAO4Q==" spinCount="100000" sheet="1" objects="1" scenarios="1"/>
  <mergeCells count="2">
    <mergeCell ref="B19:D19"/>
    <mergeCell ref="E19:F19"/>
  </mergeCells>
  <phoneticPr fontId="48" type="noConversion"/>
  <pageMargins left="0.75" right="0.75" top="1" bottom="1" header="0.5" footer="0.5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50"/>
  </sheetPr>
  <dimension ref="A1:M29"/>
  <sheetViews>
    <sheetView workbookViewId="0">
      <selection activeCell="I23" sqref="I23"/>
    </sheetView>
  </sheetViews>
  <sheetFormatPr defaultColWidth="11.4609375" defaultRowHeight="12.45"/>
  <cols>
    <col min="1" max="1" width="25.3046875" style="44" customWidth="1"/>
    <col min="2" max="2" width="12" style="44" bestFit="1" customWidth="1"/>
    <col min="3" max="3" width="14.3046875" style="44" customWidth="1"/>
    <col min="4" max="4" width="16.84375" style="44" customWidth="1"/>
    <col min="5" max="5" width="20.3046875" style="44" customWidth="1"/>
    <col min="6" max="6" width="11.4609375" style="44"/>
    <col min="7" max="7" width="14.4609375" style="44" customWidth="1"/>
    <col min="8" max="256" width="11.4609375" style="44"/>
    <col min="257" max="257" width="25.3046875" style="44" customWidth="1"/>
    <col min="258" max="258" width="12" style="44" bestFit="1" customWidth="1"/>
    <col min="259" max="259" width="17.3046875" style="44" customWidth="1"/>
    <col min="260" max="260" width="16.84375" style="44" customWidth="1"/>
    <col min="261" max="512" width="11.4609375" style="44"/>
    <col min="513" max="513" width="25.3046875" style="44" customWidth="1"/>
    <col min="514" max="514" width="12" style="44" bestFit="1" customWidth="1"/>
    <col min="515" max="515" width="17.3046875" style="44" customWidth="1"/>
    <col min="516" max="516" width="16.84375" style="44" customWidth="1"/>
    <col min="517" max="768" width="11.4609375" style="44"/>
    <col min="769" max="769" width="25.3046875" style="44" customWidth="1"/>
    <col min="770" max="770" width="12" style="44" bestFit="1" customWidth="1"/>
    <col min="771" max="771" width="17.3046875" style="44" customWidth="1"/>
    <col min="772" max="772" width="16.84375" style="44" customWidth="1"/>
    <col min="773" max="1024" width="11.4609375" style="44"/>
    <col min="1025" max="1025" width="25.3046875" style="44" customWidth="1"/>
    <col min="1026" max="1026" width="12" style="44" bestFit="1" customWidth="1"/>
    <col min="1027" max="1027" width="17.3046875" style="44" customWidth="1"/>
    <col min="1028" max="1028" width="16.84375" style="44" customWidth="1"/>
    <col min="1029" max="1280" width="11.4609375" style="44"/>
    <col min="1281" max="1281" width="25.3046875" style="44" customWidth="1"/>
    <col min="1282" max="1282" width="12" style="44" bestFit="1" customWidth="1"/>
    <col min="1283" max="1283" width="17.3046875" style="44" customWidth="1"/>
    <col min="1284" max="1284" width="16.84375" style="44" customWidth="1"/>
    <col min="1285" max="1536" width="11.4609375" style="44"/>
    <col min="1537" max="1537" width="25.3046875" style="44" customWidth="1"/>
    <col min="1538" max="1538" width="12" style="44" bestFit="1" customWidth="1"/>
    <col min="1539" max="1539" width="17.3046875" style="44" customWidth="1"/>
    <col min="1540" max="1540" width="16.84375" style="44" customWidth="1"/>
    <col min="1541" max="1792" width="11.4609375" style="44"/>
    <col min="1793" max="1793" width="25.3046875" style="44" customWidth="1"/>
    <col min="1794" max="1794" width="12" style="44" bestFit="1" customWidth="1"/>
    <col min="1795" max="1795" width="17.3046875" style="44" customWidth="1"/>
    <col min="1796" max="1796" width="16.84375" style="44" customWidth="1"/>
    <col min="1797" max="2048" width="11.4609375" style="44"/>
    <col min="2049" max="2049" width="25.3046875" style="44" customWidth="1"/>
    <col min="2050" max="2050" width="12" style="44" bestFit="1" customWidth="1"/>
    <col min="2051" max="2051" width="17.3046875" style="44" customWidth="1"/>
    <col min="2052" max="2052" width="16.84375" style="44" customWidth="1"/>
    <col min="2053" max="2304" width="11.4609375" style="44"/>
    <col min="2305" max="2305" width="25.3046875" style="44" customWidth="1"/>
    <col min="2306" max="2306" width="12" style="44" bestFit="1" customWidth="1"/>
    <col min="2307" max="2307" width="17.3046875" style="44" customWidth="1"/>
    <col min="2308" max="2308" width="16.84375" style="44" customWidth="1"/>
    <col min="2309" max="2560" width="11.4609375" style="44"/>
    <col min="2561" max="2561" width="25.3046875" style="44" customWidth="1"/>
    <col min="2562" max="2562" width="12" style="44" bestFit="1" customWidth="1"/>
    <col min="2563" max="2563" width="17.3046875" style="44" customWidth="1"/>
    <col min="2564" max="2564" width="16.84375" style="44" customWidth="1"/>
    <col min="2565" max="2816" width="11.4609375" style="44"/>
    <col min="2817" max="2817" width="25.3046875" style="44" customWidth="1"/>
    <col min="2818" max="2818" width="12" style="44" bestFit="1" customWidth="1"/>
    <col min="2819" max="2819" width="17.3046875" style="44" customWidth="1"/>
    <col min="2820" max="2820" width="16.84375" style="44" customWidth="1"/>
    <col min="2821" max="3072" width="11.4609375" style="44"/>
    <col min="3073" max="3073" width="25.3046875" style="44" customWidth="1"/>
    <col min="3074" max="3074" width="12" style="44" bestFit="1" customWidth="1"/>
    <col min="3075" max="3075" width="17.3046875" style="44" customWidth="1"/>
    <col min="3076" max="3076" width="16.84375" style="44" customWidth="1"/>
    <col min="3077" max="3328" width="11.4609375" style="44"/>
    <col min="3329" max="3329" width="25.3046875" style="44" customWidth="1"/>
    <col min="3330" max="3330" width="12" style="44" bestFit="1" customWidth="1"/>
    <col min="3331" max="3331" width="17.3046875" style="44" customWidth="1"/>
    <col min="3332" max="3332" width="16.84375" style="44" customWidth="1"/>
    <col min="3333" max="3584" width="11.4609375" style="44"/>
    <col min="3585" max="3585" width="25.3046875" style="44" customWidth="1"/>
    <col min="3586" max="3586" width="12" style="44" bestFit="1" customWidth="1"/>
    <col min="3587" max="3587" width="17.3046875" style="44" customWidth="1"/>
    <col min="3588" max="3588" width="16.84375" style="44" customWidth="1"/>
    <col min="3589" max="3840" width="11.4609375" style="44"/>
    <col min="3841" max="3841" width="25.3046875" style="44" customWidth="1"/>
    <col min="3842" max="3842" width="12" style="44" bestFit="1" customWidth="1"/>
    <col min="3843" max="3843" width="17.3046875" style="44" customWidth="1"/>
    <col min="3844" max="3844" width="16.84375" style="44" customWidth="1"/>
    <col min="3845" max="4096" width="11.4609375" style="44"/>
    <col min="4097" max="4097" width="25.3046875" style="44" customWidth="1"/>
    <col min="4098" max="4098" width="12" style="44" bestFit="1" customWidth="1"/>
    <col min="4099" max="4099" width="17.3046875" style="44" customWidth="1"/>
    <col min="4100" max="4100" width="16.84375" style="44" customWidth="1"/>
    <col min="4101" max="4352" width="11.4609375" style="44"/>
    <col min="4353" max="4353" width="25.3046875" style="44" customWidth="1"/>
    <col min="4354" max="4354" width="12" style="44" bestFit="1" customWidth="1"/>
    <col min="4355" max="4355" width="17.3046875" style="44" customWidth="1"/>
    <col min="4356" max="4356" width="16.84375" style="44" customWidth="1"/>
    <col min="4357" max="4608" width="11.4609375" style="44"/>
    <col min="4609" max="4609" width="25.3046875" style="44" customWidth="1"/>
    <col min="4610" max="4610" width="12" style="44" bestFit="1" customWidth="1"/>
    <col min="4611" max="4611" width="17.3046875" style="44" customWidth="1"/>
    <col min="4612" max="4612" width="16.84375" style="44" customWidth="1"/>
    <col min="4613" max="4864" width="11.4609375" style="44"/>
    <col min="4865" max="4865" width="25.3046875" style="44" customWidth="1"/>
    <col min="4866" max="4866" width="12" style="44" bestFit="1" customWidth="1"/>
    <col min="4867" max="4867" width="17.3046875" style="44" customWidth="1"/>
    <col min="4868" max="4868" width="16.84375" style="44" customWidth="1"/>
    <col min="4869" max="5120" width="11.4609375" style="44"/>
    <col min="5121" max="5121" width="25.3046875" style="44" customWidth="1"/>
    <col min="5122" max="5122" width="12" style="44" bestFit="1" customWidth="1"/>
    <col min="5123" max="5123" width="17.3046875" style="44" customWidth="1"/>
    <col min="5124" max="5124" width="16.84375" style="44" customWidth="1"/>
    <col min="5125" max="5376" width="11.4609375" style="44"/>
    <col min="5377" max="5377" width="25.3046875" style="44" customWidth="1"/>
    <col min="5378" max="5378" width="12" style="44" bestFit="1" customWidth="1"/>
    <col min="5379" max="5379" width="17.3046875" style="44" customWidth="1"/>
    <col min="5380" max="5380" width="16.84375" style="44" customWidth="1"/>
    <col min="5381" max="5632" width="11.4609375" style="44"/>
    <col min="5633" max="5633" width="25.3046875" style="44" customWidth="1"/>
    <col min="5634" max="5634" width="12" style="44" bestFit="1" customWidth="1"/>
    <col min="5635" max="5635" width="17.3046875" style="44" customWidth="1"/>
    <col min="5636" max="5636" width="16.84375" style="44" customWidth="1"/>
    <col min="5637" max="5888" width="11.4609375" style="44"/>
    <col min="5889" max="5889" width="25.3046875" style="44" customWidth="1"/>
    <col min="5890" max="5890" width="12" style="44" bestFit="1" customWidth="1"/>
    <col min="5891" max="5891" width="17.3046875" style="44" customWidth="1"/>
    <col min="5892" max="5892" width="16.84375" style="44" customWidth="1"/>
    <col min="5893" max="6144" width="11.4609375" style="44"/>
    <col min="6145" max="6145" width="25.3046875" style="44" customWidth="1"/>
    <col min="6146" max="6146" width="12" style="44" bestFit="1" customWidth="1"/>
    <col min="6147" max="6147" width="17.3046875" style="44" customWidth="1"/>
    <col min="6148" max="6148" width="16.84375" style="44" customWidth="1"/>
    <col min="6149" max="6400" width="11.4609375" style="44"/>
    <col min="6401" max="6401" width="25.3046875" style="44" customWidth="1"/>
    <col min="6402" max="6402" width="12" style="44" bestFit="1" customWidth="1"/>
    <col min="6403" max="6403" width="17.3046875" style="44" customWidth="1"/>
    <col min="6404" max="6404" width="16.84375" style="44" customWidth="1"/>
    <col min="6405" max="6656" width="11.4609375" style="44"/>
    <col min="6657" max="6657" width="25.3046875" style="44" customWidth="1"/>
    <col min="6658" max="6658" width="12" style="44" bestFit="1" customWidth="1"/>
    <col min="6659" max="6659" width="17.3046875" style="44" customWidth="1"/>
    <col min="6660" max="6660" width="16.84375" style="44" customWidth="1"/>
    <col min="6661" max="6912" width="11.4609375" style="44"/>
    <col min="6913" max="6913" width="25.3046875" style="44" customWidth="1"/>
    <col min="6914" max="6914" width="12" style="44" bestFit="1" customWidth="1"/>
    <col min="6915" max="6915" width="17.3046875" style="44" customWidth="1"/>
    <col min="6916" max="6916" width="16.84375" style="44" customWidth="1"/>
    <col min="6917" max="7168" width="11.4609375" style="44"/>
    <col min="7169" max="7169" width="25.3046875" style="44" customWidth="1"/>
    <col min="7170" max="7170" width="12" style="44" bestFit="1" customWidth="1"/>
    <col min="7171" max="7171" width="17.3046875" style="44" customWidth="1"/>
    <col min="7172" max="7172" width="16.84375" style="44" customWidth="1"/>
    <col min="7173" max="7424" width="11.4609375" style="44"/>
    <col min="7425" max="7425" width="25.3046875" style="44" customWidth="1"/>
    <col min="7426" max="7426" width="12" style="44" bestFit="1" customWidth="1"/>
    <col min="7427" max="7427" width="17.3046875" style="44" customWidth="1"/>
    <col min="7428" max="7428" width="16.84375" style="44" customWidth="1"/>
    <col min="7429" max="7680" width="11.4609375" style="44"/>
    <col min="7681" max="7681" width="25.3046875" style="44" customWidth="1"/>
    <col min="7682" max="7682" width="12" style="44" bestFit="1" customWidth="1"/>
    <col min="7683" max="7683" width="17.3046875" style="44" customWidth="1"/>
    <col min="7684" max="7684" width="16.84375" style="44" customWidth="1"/>
    <col min="7685" max="7936" width="11.4609375" style="44"/>
    <col min="7937" max="7937" width="25.3046875" style="44" customWidth="1"/>
    <col min="7938" max="7938" width="12" style="44" bestFit="1" customWidth="1"/>
    <col min="7939" max="7939" width="17.3046875" style="44" customWidth="1"/>
    <col min="7940" max="7940" width="16.84375" style="44" customWidth="1"/>
    <col min="7941" max="8192" width="11.4609375" style="44"/>
    <col min="8193" max="8193" width="25.3046875" style="44" customWidth="1"/>
    <col min="8194" max="8194" width="12" style="44" bestFit="1" customWidth="1"/>
    <col min="8195" max="8195" width="17.3046875" style="44" customWidth="1"/>
    <col min="8196" max="8196" width="16.84375" style="44" customWidth="1"/>
    <col min="8197" max="8448" width="11.4609375" style="44"/>
    <col min="8449" max="8449" width="25.3046875" style="44" customWidth="1"/>
    <col min="8450" max="8450" width="12" style="44" bestFit="1" customWidth="1"/>
    <col min="8451" max="8451" width="17.3046875" style="44" customWidth="1"/>
    <col min="8452" max="8452" width="16.84375" style="44" customWidth="1"/>
    <col min="8453" max="8704" width="11.4609375" style="44"/>
    <col min="8705" max="8705" width="25.3046875" style="44" customWidth="1"/>
    <col min="8706" max="8706" width="12" style="44" bestFit="1" customWidth="1"/>
    <col min="8707" max="8707" width="17.3046875" style="44" customWidth="1"/>
    <col min="8708" max="8708" width="16.84375" style="44" customWidth="1"/>
    <col min="8709" max="8960" width="11.4609375" style="44"/>
    <col min="8961" max="8961" width="25.3046875" style="44" customWidth="1"/>
    <col min="8962" max="8962" width="12" style="44" bestFit="1" customWidth="1"/>
    <col min="8963" max="8963" width="17.3046875" style="44" customWidth="1"/>
    <col min="8964" max="8964" width="16.84375" style="44" customWidth="1"/>
    <col min="8965" max="9216" width="11.4609375" style="44"/>
    <col min="9217" max="9217" width="25.3046875" style="44" customWidth="1"/>
    <col min="9218" max="9218" width="12" style="44" bestFit="1" customWidth="1"/>
    <col min="9219" max="9219" width="17.3046875" style="44" customWidth="1"/>
    <col min="9220" max="9220" width="16.84375" style="44" customWidth="1"/>
    <col min="9221" max="9472" width="11.4609375" style="44"/>
    <col min="9473" max="9473" width="25.3046875" style="44" customWidth="1"/>
    <col min="9474" max="9474" width="12" style="44" bestFit="1" customWidth="1"/>
    <col min="9475" max="9475" width="17.3046875" style="44" customWidth="1"/>
    <col min="9476" max="9476" width="16.84375" style="44" customWidth="1"/>
    <col min="9477" max="9728" width="11.4609375" style="44"/>
    <col min="9729" max="9729" width="25.3046875" style="44" customWidth="1"/>
    <col min="9730" max="9730" width="12" style="44" bestFit="1" customWidth="1"/>
    <col min="9731" max="9731" width="17.3046875" style="44" customWidth="1"/>
    <col min="9732" max="9732" width="16.84375" style="44" customWidth="1"/>
    <col min="9733" max="9984" width="11.4609375" style="44"/>
    <col min="9985" max="9985" width="25.3046875" style="44" customWidth="1"/>
    <col min="9986" max="9986" width="12" style="44" bestFit="1" customWidth="1"/>
    <col min="9987" max="9987" width="17.3046875" style="44" customWidth="1"/>
    <col min="9988" max="9988" width="16.84375" style="44" customWidth="1"/>
    <col min="9989" max="10240" width="11.4609375" style="44"/>
    <col min="10241" max="10241" width="25.3046875" style="44" customWidth="1"/>
    <col min="10242" max="10242" width="12" style="44" bestFit="1" customWidth="1"/>
    <col min="10243" max="10243" width="17.3046875" style="44" customWidth="1"/>
    <col min="10244" max="10244" width="16.84375" style="44" customWidth="1"/>
    <col min="10245" max="10496" width="11.4609375" style="44"/>
    <col min="10497" max="10497" width="25.3046875" style="44" customWidth="1"/>
    <col min="10498" max="10498" width="12" style="44" bestFit="1" customWidth="1"/>
    <col min="10499" max="10499" width="17.3046875" style="44" customWidth="1"/>
    <col min="10500" max="10500" width="16.84375" style="44" customWidth="1"/>
    <col min="10501" max="10752" width="11.4609375" style="44"/>
    <col min="10753" max="10753" width="25.3046875" style="44" customWidth="1"/>
    <col min="10754" max="10754" width="12" style="44" bestFit="1" customWidth="1"/>
    <col min="10755" max="10755" width="17.3046875" style="44" customWidth="1"/>
    <col min="10756" max="10756" width="16.84375" style="44" customWidth="1"/>
    <col min="10757" max="11008" width="11.4609375" style="44"/>
    <col min="11009" max="11009" width="25.3046875" style="44" customWidth="1"/>
    <col min="11010" max="11010" width="12" style="44" bestFit="1" customWidth="1"/>
    <col min="11011" max="11011" width="17.3046875" style="44" customWidth="1"/>
    <col min="11012" max="11012" width="16.84375" style="44" customWidth="1"/>
    <col min="11013" max="11264" width="11.4609375" style="44"/>
    <col min="11265" max="11265" width="25.3046875" style="44" customWidth="1"/>
    <col min="11266" max="11266" width="12" style="44" bestFit="1" customWidth="1"/>
    <col min="11267" max="11267" width="17.3046875" style="44" customWidth="1"/>
    <col min="11268" max="11268" width="16.84375" style="44" customWidth="1"/>
    <col min="11269" max="11520" width="11.4609375" style="44"/>
    <col min="11521" max="11521" width="25.3046875" style="44" customWidth="1"/>
    <col min="11522" max="11522" width="12" style="44" bestFit="1" customWidth="1"/>
    <col min="11523" max="11523" width="17.3046875" style="44" customWidth="1"/>
    <col min="11524" max="11524" width="16.84375" style="44" customWidth="1"/>
    <col min="11525" max="11776" width="11.4609375" style="44"/>
    <col min="11777" max="11777" width="25.3046875" style="44" customWidth="1"/>
    <col min="11778" max="11778" width="12" style="44" bestFit="1" customWidth="1"/>
    <col min="11779" max="11779" width="17.3046875" style="44" customWidth="1"/>
    <col min="11780" max="11780" width="16.84375" style="44" customWidth="1"/>
    <col min="11781" max="12032" width="11.4609375" style="44"/>
    <col min="12033" max="12033" width="25.3046875" style="44" customWidth="1"/>
    <col min="12034" max="12034" width="12" style="44" bestFit="1" customWidth="1"/>
    <col min="12035" max="12035" width="17.3046875" style="44" customWidth="1"/>
    <col min="12036" max="12036" width="16.84375" style="44" customWidth="1"/>
    <col min="12037" max="12288" width="11.4609375" style="44"/>
    <col min="12289" max="12289" width="25.3046875" style="44" customWidth="1"/>
    <col min="12290" max="12290" width="12" style="44" bestFit="1" customWidth="1"/>
    <col min="12291" max="12291" width="17.3046875" style="44" customWidth="1"/>
    <col min="12292" max="12292" width="16.84375" style="44" customWidth="1"/>
    <col min="12293" max="12544" width="11.4609375" style="44"/>
    <col min="12545" max="12545" width="25.3046875" style="44" customWidth="1"/>
    <col min="12546" max="12546" width="12" style="44" bestFit="1" customWidth="1"/>
    <col min="12547" max="12547" width="17.3046875" style="44" customWidth="1"/>
    <col min="12548" max="12548" width="16.84375" style="44" customWidth="1"/>
    <col min="12549" max="12800" width="11.4609375" style="44"/>
    <col min="12801" max="12801" width="25.3046875" style="44" customWidth="1"/>
    <col min="12802" max="12802" width="12" style="44" bestFit="1" customWidth="1"/>
    <col min="12803" max="12803" width="17.3046875" style="44" customWidth="1"/>
    <col min="12804" max="12804" width="16.84375" style="44" customWidth="1"/>
    <col min="12805" max="13056" width="11.4609375" style="44"/>
    <col min="13057" max="13057" width="25.3046875" style="44" customWidth="1"/>
    <col min="13058" max="13058" width="12" style="44" bestFit="1" customWidth="1"/>
    <col min="13059" max="13059" width="17.3046875" style="44" customWidth="1"/>
    <col min="13060" max="13060" width="16.84375" style="44" customWidth="1"/>
    <col min="13061" max="13312" width="11.4609375" style="44"/>
    <col min="13313" max="13313" width="25.3046875" style="44" customWidth="1"/>
    <col min="13314" max="13314" width="12" style="44" bestFit="1" customWidth="1"/>
    <col min="13315" max="13315" width="17.3046875" style="44" customWidth="1"/>
    <col min="13316" max="13316" width="16.84375" style="44" customWidth="1"/>
    <col min="13317" max="13568" width="11.4609375" style="44"/>
    <col min="13569" max="13569" width="25.3046875" style="44" customWidth="1"/>
    <col min="13570" max="13570" width="12" style="44" bestFit="1" customWidth="1"/>
    <col min="13571" max="13571" width="17.3046875" style="44" customWidth="1"/>
    <col min="13572" max="13572" width="16.84375" style="44" customWidth="1"/>
    <col min="13573" max="13824" width="11.4609375" style="44"/>
    <col min="13825" max="13825" width="25.3046875" style="44" customWidth="1"/>
    <col min="13826" max="13826" width="12" style="44" bestFit="1" customWidth="1"/>
    <col min="13827" max="13827" width="17.3046875" style="44" customWidth="1"/>
    <col min="13828" max="13828" width="16.84375" style="44" customWidth="1"/>
    <col min="13829" max="14080" width="11.4609375" style="44"/>
    <col min="14081" max="14081" width="25.3046875" style="44" customWidth="1"/>
    <col min="14082" max="14082" width="12" style="44" bestFit="1" customWidth="1"/>
    <col min="14083" max="14083" width="17.3046875" style="44" customWidth="1"/>
    <col min="14084" max="14084" width="16.84375" style="44" customWidth="1"/>
    <col min="14085" max="14336" width="11.4609375" style="44"/>
    <col min="14337" max="14337" width="25.3046875" style="44" customWidth="1"/>
    <col min="14338" max="14338" width="12" style="44" bestFit="1" customWidth="1"/>
    <col min="14339" max="14339" width="17.3046875" style="44" customWidth="1"/>
    <col min="14340" max="14340" width="16.84375" style="44" customWidth="1"/>
    <col min="14341" max="14592" width="11.4609375" style="44"/>
    <col min="14593" max="14593" width="25.3046875" style="44" customWidth="1"/>
    <col min="14594" max="14594" width="12" style="44" bestFit="1" customWidth="1"/>
    <col min="14595" max="14595" width="17.3046875" style="44" customWidth="1"/>
    <col min="14596" max="14596" width="16.84375" style="44" customWidth="1"/>
    <col min="14597" max="14848" width="11.4609375" style="44"/>
    <col min="14849" max="14849" width="25.3046875" style="44" customWidth="1"/>
    <col min="14850" max="14850" width="12" style="44" bestFit="1" customWidth="1"/>
    <col min="14851" max="14851" width="17.3046875" style="44" customWidth="1"/>
    <col min="14852" max="14852" width="16.84375" style="44" customWidth="1"/>
    <col min="14853" max="15104" width="11.4609375" style="44"/>
    <col min="15105" max="15105" width="25.3046875" style="44" customWidth="1"/>
    <col min="15106" max="15106" width="12" style="44" bestFit="1" customWidth="1"/>
    <col min="15107" max="15107" width="17.3046875" style="44" customWidth="1"/>
    <col min="15108" max="15108" width="16.84375" style="44" customWidth="1"/>
    <col min="15109" max="15360" width="11.4609375" style="44"/>
    <col min="15361" max="15361" width="25.3046875" style="44" customWidth="1"/>
    <col min="15362" max="15362" width="12" style="44" bestFit="1" customWidth="1"/>
    <col min="15363" max="15363" width="17.3046875" style="44" customWidth="1"/>
    <col min="15364" max="15364" width="16.84375" style="44" customWidth="1"/>
    <col min="15365" max="15616" width="11.4609375" style="44"/>
    <col min="15617" max="15617" width="25.3046875" style="44" customWidth="1"/>
    <col min="15618" max="15618" width="12" style="44" bestFit="1" customWidth="1"/>
    <col min="15619" max="15619" width="17.3046875" style="44" customWidth="1"/>
    <col min="15620" max="15620" width="16.84375" style="44" customWidth="1"/>
    <col min="15621" max="15872" width="11.4609375" style="44"/>
    <col min="15873" max="15873" width="25.3046875" style="44" customWidth="1"/>
    <col min="15874" max="15874" width="12" style="44" bestFit="1" customWidth="1"/>
    <col min="15875" max="15875" width="17.3046875" style="44" customWidth="1"/>
    <col min="15876" max="15876" width="16.84375" style="44" customWidth="1"/>
    <col min="15877" max="16128" width="11.4609375" style="44"/>
    <col min="16129" max="16129" width="25.3046875" style="44" customWidth="1"/>
    <col min="16130" max="16130" width="12" style="44" bestFit="1" customWidth="1"/>
    <col min="16131" max="16131" width="17.3046875" style="44" customWidth="1"/>
    <col min="16132" max="16132" width="16.84375" style="44" customWidth="1"/>
    <col min="16133" max="16384" width="11.4609375" style="44"/>
  </cols>
  <sheetData>
    <row r="1" spans="1:10" ht="18.45">
      <c r="A1" s="502" t="s">
        <v>429</v>
      </c>
      <c r="B1" s="12"/>
      <c r="C1" s="12"/>
      <c r="D1" s="12"/>
      <c r="E1" s="8"/>
    </row>
    <row r="4" spans="1:10" ht="17.600000000000001">
      <c r="A4" s="45" t="s">
        <v>409</v>
      </c>
      <c r="F4" s="13"/>
    </row>
    <row r="7" spans="1:10">
      <c r="A7" s="46" t="s">
        <v>405</v>
      </c>
    </row>
    <row r="8" spans="1:10">
      <c r="A8" s="504" t="s">
        <v>430</v>
      </c>
      <c r="B8" s="58">
        <f ca="1">ROUND(('Marine Loading Emissions'!B6+'Marine Loading Emissions'!B7+'Marine Loading Emissions'!B8)/300000,0)</f>
        <v>29</v>
      </c>
      <c r="C8" s="60" t="s">
        <v>126</v>
      </c>
      <c r="D8" s="505" t="s">
        <v>431</v>
      </c>
      <c r="E8" s="80"/>
      <c r="F8" s="80"/>
      <c r="G8" s="62"/>
      <c r="H8" s="81"/>
      <c r="I8" s="111"/>
    </row>
    <row r="9" spans="1:10">
      <c r="A9" s="322" t="s">
        <v>473</v>
      </c>
      <c r="B9" s="48">
        <f>30</f>
        <v>30</v>
      </c>
      <c r="C9" s="82" t="s">
        <v>127</v>
      </c>
      <c r="D9" s="513" t="s">
        <v>457</v>
      </c>
      <c r="E9" s="53"/>
      <c r="F9" s="53"/>
      <c r="G9" s="54"/>
      <c r="H9" s="51"/>
      <c r="I9" s="111"/>
    </row>
    <row r="10" spans="1:10">
      <c r="A10" s="57" t="s">
        <v>128</v>
      </c>
      <c r="B10" s="83">
        <f>(500*30)+(100*(29.5*60))</f>
        <v>192000</v>
      </c>
      <c r="C10" s="514" t="s">
        <v>129</v>
      </c>
      <c r="D10" s="80" t="s">
        <v>130</v>
      </c>
      <c r="E10" s="80"/>
      <c r="F10" s="80"/>
      <c r="G10" s="62"/>
      <c r="I10" s="111"/>
    </row>
    <row r="11" spans="1:10" ht="29.05" customHeight="1">
      <c r="A11" s="84"/>
      <c r="B11" s="85">
        <f>B10/B9</f>
        <v>6400</v>
      </c>
      <c r="C11" s="512" t="s">
        <v>460</v>
      </c>
      <c r="D11" s="44" t="s">
        <v>131</v>
      </c>
      <c r="G11" s="86"/>
      <c r="I11" s="111"/>
      <c r="J11" s="111"/>
    </row>
    <row r="12" spans="1:10">
      <c r="A12" s="87"/>
      <c r="B12" s="88">
        <f ca="1">B10*B8</f>
        <v>5568000</v>
      </c>
      <c r="C12" s="515" t="s">
        <v>132</v>
      </c>
      <c r="D12" s="89"/>
      <c r="E12" s="89"/>
      <c r="F12" s="89"/>
      <c r="G12" s="90"/>
    </row>
    <row r="13" spans="1:10">
      <c r="A13" s="47" t="s">
        <v>133</v>
      </c>
      <c r="B13" s="91">
        <v>1020</v>
      </c>
      <c r="C13" s="516" t="s">
        <v>134</v>
      </c>
      <c r="D13" s="53"/>
      <c r="E13" s="53"/>
      <c r="F13" s="53"/>
      <c r="G13" s="54"/>
    </row>
    <row r="14" spans="1:10" ht="24.9">
      <c r="A14" s="84" t="s">
        <v>135</v>
      </c>
      <c r="B14" s="518">
        <f>B11*B13/1000000</f>
        <v>6.5279999999999996</v>
      </c>
      <c r="C14" s="512" t="s">
        <v>461</v>
      </c>
      <c r="D14" s="533" t="s">
        <v>136</v>
      </c>
      <c r="G14" s="86"/>
    </row>
    <row r="15" spans="1:10">
      <c r="A15" s="63"/>
      <c r="B15" s="64">
        <f ca="1">B12*B13/1000000</f>
        <v>5679.36</v>
      </c>
      <c r="C15" s="517" t="s">
        <v>105</v>
      </c>
      <c r="D15" s="89"/>
      <c r="E15" s="89"/>
      <c r="F15" s="89"/>
      <c r="G15" s="90"/>
    </row>
    <row r="16" spans="1:10">
      <c r="A16" s="503" t="s">
        <v>472</v>
      </c>
      <c r="B16" s="71"/>
      <c r="C16" s="51"/>
      <c r="J16" s="111"/>
    </row>
    <row r="17" spans="1:13">
      <c r="B17" s="51"/>
      <c r="C17" s="51"/>
      <c r="M17" s="111"/>
    </row>
    <row r="18" spans="1:13">
      <c r="F18" s="81"/>
    </row>
    <row r="19" spans="1:13">
      <c r="A19" s="46" t="s">
        <v>406</v>
      </c>
      <c r="J19" s="179"/>
    </row>
    <row r="20" spans="1:13">
      <c r="B20" s="609" t="s">
        <v>59</v>
      </c>
      <c r="C20" s="610"/>
      <c r="D20" s="611"/>
      <c r="E20" s="612" t="s">
        <v>57</v>
      </c>
      <c r="F20" s="613"/>
      <c r="G20" s="614"/>
      <c r="J20" s="179"/>
    </row>
    <row r="21" spans="1:13">
      <c r="B21" s="76" t="s">
        <v>111</v>
      </c>
      <c r="C21" s="76" t="s">
        <v>112</v>
      </c>
      <c r="D21" s="76" t="s">
        <v>113</v>
      </c>
      <c r="E21" s="511" t="s">
        <v>458</v>
      </c>
      <c r="F21" s="76" t="s">
        <v>115</v>
      </c>
      <c r="G21" s="263" t="s">
        <v>459</v>
      </c>
      <c r="I21" s="81"/>
      <c r="J21" s="179"/>
    </row>
    <row r="22" spans="1:13">
      <c r="A22" s="74" t="s">
        <v>116</v>
      </c>
      <c r="B22" s="75">
        <v>0.15</v>
      </c>
      <c r="C22" s="75" t="s">
        <v>117</v>
      </c>
      <c r="D22" s="77" t="s">
        <v>118</v>
      </c>
      <c r="E22" s="78">
        <f t="shared" ref="E22:E27" si="0">B22*$B$14</f>
        <v>0.97919999999999985</v>
      </c>
      <c r="F22" s="78">
        <f t="shared" ref="F22:F27" ca="1" si="1">$B$15*B22/2000</f>
        <v>0.42595199999999994</v>
      </c>
      <c r="G22" s="211">
        <f>18.36*B22</f>
        <v>2.754</v>
      </c>
      <c r="J22" s="92"/>
    </row>
    <row r="23" spans="1:13">
      <c r="A23" s="74" t="s">
        <v>119</v>
      </c>
      <c r="B23" s="75">
        <v>0.2</v>
      </c>
      <c r="C23" s="75" t="s">
        <v>117</v>
      </c>
      <c r="D23" s="77" t="s">
        <v>118</v>
      </c>
      <c r="E23" s="78">
        <f t="shared" si="0"/>
        <v>1.3056000000000001</v>
      </c>
      <c r="F23" s="78">
        <f t="shared" ca="1" si="1"/>
        <v>0.567936</v>
      </c>
      <c r="G23" s="211">
        <f t="shared" ref="G23:G26" si="2">18.36*B23</f>
        <v>3.6720000000000002</v>
      </c>
      <c r="J23" s="92"/>
    </row>
    <row r="24" spans="1:13">
      <c r="A24" s="354" t="s">
        <v>2</v>
      </c>
      <c r="B24" s="353">
        <v>5.4999999999999997E-3</v>
      </c>
      <c r="C24" s="75" t="s">
        <v>117</v>
      </c>
      <c r="D24" s="355" t="s">
        <v>124</v>
      </c>
      <c r="E24" s="78">
        <f t="shared" si="0"/>
        <v>3.5903999999999998E-2</v>
      </c>
      <c r="F24" s="78">
        <f t="shared" ca="1" si="1"/>
        <v>1.5618239999999999E-2</v>
      </c>
      <c r="G24" s="211">
        <f t="shared" ref="G24" si="3">18.36*B24</f>
        <v>0.10097999999999999</v>
      </c>
      <c r="J24" s="92"/>
    </row>
    <row r="25" spans="1:13">
      <c r="A25" s="74" t="s">
        <v>137</v>
      </c>
      <c r="B25" s="93">
        <v>2.5999999999999999E-3</v>
      </c>
      <c r="C25" s="75" t="s">
        <v>117</v>
      </c>
      <c r="D25" s="77" t="s">
        <v>124</v>
      </c>
      <c r="E25" s="78">
        <f t="shared" si="0"/>
        <v>1.69728E-2</v>
      </c>
      <c r="F25" s="78">
        <f t="shared" ca="1" si="1"/>
        <v>7.3831679999999998E-3</v>
      </c>
      <c r="G25" s="211">
        <f t="shared" si="2"/>
        <v>4.7735999999999994E-2</v>
      </c>
      <c r="J25" s="92"/>
    </row>
    <row r="26" spans="1:13">
      <c r="A26" s="74" t="s">
        <v>123</v>
      </c>
      <c r="B26" s="75">
        <v>2.5000000000000001E-3</v>
      </c>
      <c r="C26" s="75" t="s">
        <v>117</v>
      </c>
      <c r="D26" s="77" t="s">
        <v>124</v>
      </c>
      <c r="E26" s="78">
        <f t="shared" si="0"/>
        <v>1.6319999999999998E-2</v>
      </c>
      <c r="F26" s="78">
        <f t="shared" ca="1" si="1"/>
        <v>7.0992E-3</v>
      </c>
      <c r="G26" s="211">
        <f t="shared" si="2"/>
        <v>4.5899999999999996E-2</v>
      </c>
      <c r="J26" s="92"/>
    </row>
    <row r="27" spans="1:13" ht="49.75">
      <c r="A27" s="74" t="s">
        <v>125</v>
      </c>
      <c r="B27" s="75">
        <v>117</v>
      </c>
      <c r="C27" s="75" t="s">
        <v>117</v>
      </c>
      <c r="D27" s="357" t="s">
        <v>360</v>
      </c>
      <c r="E27" s="78">
        <f t="shared" si="0"/>
        <v>763.77599999999995</v>
      </c>
      <c r="F27" s="78">
        <f t="shared" ca="1" si="1"/>
        <v>332.24256000000003</v>
      </c>
      <c r="G27" s="210"/>
    </row>
    <row r="29" spans="1:13">
      <c r="I29" s="168"/>
    </row>
  </sheetData>
  <sheetProtection algorithmName="SHA-512" hashValue="KKgHiol7HgOpEru+9ir2ePIukXW1X2AnOLQ2MZEvc2K89vUrVd02mIgmZlppsfP/aV7tD+9sKxza38rBj8ZWSA==" saltValue="Oh2ghlaHBvDXjM3LNyR+wA==" spinCount="100000" sheet="1" objects="1" scenarios="1"/>
  <mergeCells count="2">
    <mergeCell ref="B20:D20"/>
    <mergeCell ref="E20:G20"/>
  </mergeCells>
  <pageMargins left="0.75" right="0.75" top="1" bottom="1" header="0.5" footer="0.5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  <pageSetUpPr fitToPage="1"/>
  </sheetPr>
  <dimension ref="A1:G28"/>
  <sheetViews>
    <sheetView workbookViewId="0"/>
  </sheetViews>
  <sheetFormatPr defaultColWidth="11.4609375" defaultRowHeight="12.45"/>
  <cols>
    <col min="1" max="1" width="43.3046875" style="44" customWidth="1"/>
    <col min="2" max="2" width="14.69140625" style="44" customWidth="1"/>
    <col min="3" max="3" width="12.3046875" style="44" bestFit="1" customWidth="1"/>
    <col min="4" max="4" width="15.4609375" style="44" customWidth="1"/>
    <col min="5" max="253" width="11.4609375" style="44"/>
    <col min="254" max="254" width="28.4609375" style="44" customWidth="1"/>
    <col min="255" max="255" width="14.69140625" style="44" customWidth="1"/>
    <col min="256" max="256" width="12.3046875" style="44" bestFit="1" customWidth="1"/>
    <col min="257" max="257" width="15.84375" style="44" customWidth="1"/>
    <col min="258" max="258" width="15.4609375" style="44" customWidth="1"/>
    <col min="259" max="509" width="11.4609375" style="44"/>
    <col min="510" max="510" width="28.4609375" style="44" customWidth="1"/>
    <col min="511" max="511" width="14.69140625" style="44" customWidth="1"/>
    <col min="512" max="512" width="12.3046875" style="44" bestFit="1" customWidth="1"/>
    <col min="513" max="513" width="15.84375" style="44" customWidth="1"/>
    <col min="514" max="514" width="15.4609375" style="44" customWidth="1"/>
    <col min="515" max="765" width="11.4609375" style="44"/>
    <col min="766" max="766" width="28.4609375" style="44" customWidth="1"/>
    <col min="767" max="767" width="14.69140625" style="44" customWidth="1"/>
    <col min="768" max="768" width="12.3046875" style="44" bestFit="1" customWidth="1"/>
    <col min="769" max="769" width="15.84375" style="44" customWidth="1"/>
    <col min="770" max="770" width="15.4609375" style="44" customWidth="1"/>
    <col min="771" max="1021" width="11.4609375" style="44"/>
    <col min="1022" max="1022" width="28.4609375" style="44" customWidth="1"/>
    <col min="1023" max="1023" width="14.69140625" style="44" customWidth="1"/>
    <col min="1024" max="1024" width="12.3046875" style="44" bestFit="1" customWidth="1"/>
    <col min="1025" max="1025" width="15.84375" style="44" customWidth="1"/>
    <col min="1026" max="1026" width="15.4609375" style="44" customWidth="1"/>
    <col min="1027" max="1277" width="11.4609375" style="44"/>
    <col min="1278" max="1278" width="28.4609375" style="44" customWidth="1"/>
    <col min="1279" max="1279" width="14.69140625" style="44" customWidth="1"/>
    <col min="1280" max="1280" width="12.3046875" style="44" bestFit="1" customWidth="1"/>
    <col min="1281" max="1281" width="15.84375" style="44" customWidth="1"/>
    <col min="1282" max="1282" width="15.4609375" style="44" customWidth="1"/>
    <col min="1283" max="1533" width="11.4609375" style="44"/>
    <col min="1534" max="1534" width="28.4609375" style="44" customWidth="1"/>
    <col min="1535" max="1535" width="14.69140625" style="44" customWidth="1"/>
    <col min="1536" max="1536" width="12.3046875" style="44" bestFit="1" customWidth="1"/>
    <col min="1537" max="1537" width="15.84375" style="44" customWidth="1"/>
    <col min="1538" max="1538" width="15.4609375" style="44" customWidth="1"/>
    <col min="1539" max="1789" width="11.4609375" style="44"/>
    <col min="1790" max="1790" width="28.4609375" style="44" customWidth="1"/>
    <col min="1791" max="1791" width="14.69140625" style="44" customWidth="1"/>
    <col min="1792" max="1792" width="12.3046875" style="44" bestFit="1" customWidth="1"/>
    <col min="1793" max="1793" width="15.84375" style="44" customWidth="1"/>
    <col min="1794" max="1794" width="15.4609375" style="44" customWidth="1"/>
    <col min="1795" max="2045" width="11.4609375" style="44"/>
    <col min="2046" max="2046" width="28.4609375" style="44" customWidth="1"/>
    <col min="2047" max="2047" width="14.69140625" style="44" customWidth="1"/>
    <col min="2048" max="2048" width="12.3046875" style="44" bestFit="1" customWidth="1"/>
    <col min="2049" max="2049" width="15.84375" style="44" customWidth="1"/>
    <col min="2050" max="2050" width="15.4609375" style="44" customWidth="1"/>
    <col min="2051" max="2301" width="11.4609375" style="44"/>
    <col min="2302" max="2302" width="28.4609375" style="44" customWidth="1"/>
    <col min="2303" max="2303" width="14.69140625" style="44" customWidth="1"/>
    <col min="2304" max="2304" width="12.3046875" style="44" bestFit="1" customWidth="1"/>
    <col min="2305" max="2305" width="15.84375" style="44" customWidth="1"/>
    <col min="2306" max="2306" width="15.4609375" style="44" customWidth="1"/>
    <col min="2307" max="2557" width="11.4609375" style="44"/>
    <col min="2558" max="2558" width="28.4609375" style="44" customWidth="1"/>
    <col min="2559" max="2559" width="14.69140625" style="44" customWidth="1"/>
    <col min="2560" max="2560" width="12.3046875" style="44" bestFit="1" customWidth="1"/>
    <col min="2561" max="2561" width="15.84375" style="44" customWidth="1"/>
    <col min="2562" max="2562" width="15.4609375" style="44" customWidth="1"/>
    <col min="2563" max="2813" width="11.4609375" style="44"/>
    <col min="2814" max="2814" width="28.4609375" style="44" customWidth="1"/>
    <col min="2815" max="2815" width="14.69140625" style="44" customWidth="1"/>
    <col min="2816" max="2816" width="12.3046875" style="44" bestFit="1" customWidth="1"/>
    <col min="2817" max="2817" width="15.84375" style="44" customWidth="1"/>
    <col min="2818" max="2818" width="15.4609375" style="44" customWidth="1"/>
    <col min="2819" max="3069" width="11.4609375" style="44"/>
    <col min="3070" max="3070" width="28.4609375" style="44" customWidth="1"/>
    <col min="3071" max="3071" width="14.69140625" style="44" customWidth="1"/>
    <col min="3072" max="3072" width="12.3046875" style="44" bestFit="1" customWidth="1"/>
    <col min="3073" max="3073" width="15.84375" style="44" customWidth="1"/>
    <col min="3074" max="3074" width="15.4609375" style="44" customWidth="1"/>
    <col min="3075" max="3325" width="11.4609375" style="44"/>
    <col min="3326" max="3326" width="28.4609375" style="44" customWidth="1"/>
    <col min="3327" max="3327" width="14.69140625" style="44" customWidth="1"/>
    <col min="3328" max="3328" width="12.3046875" style="44" bestFit="1" customWidth="1"/>
    <col min="3329" max="3329" width="15.84375" style="44" customWidth="1"/>
    <col min="3330" max="3330" width="15.4609375" style="44" customWidth="1"/>
    <col min="3331" max="3581" width="11.4609375" style="44"/>
    <col min="3582" max="3582" width="28.4609375" style="44" customWidth="1"/>
    <col min="3583" max="3583" width="14.69140625" style="44" customWidth="1"/>
    <col min="3584" max="3584" width="12.3046875" style="44" bestFit="1" customWidth="1"/>
    <col min="3585" max="3585" width="15.84375" style="44" customWidth="1"/>
    <col min="3586" max="3586" width="15.4609375" style="44" customWidth="1"/>
    <col min="3587" max="3837" width="11.4609375" style="44"/>
    <col min="3838" max="3838" width="28.4609375" style="44" customWidth="1"/>
    <col min="3839" max="3839" width="14.69140625" style="44" customWidth="1"/>
    <col min="3840" max="3840" width="12.3046875" style="44" bestFit="1" customWidth="1"/>
    <col min="3841" max="3841" width="15.84375" style="44" customWidth="1"/>
    <col min="3842" max="3842" width="15.4609375" style="44" customWidth="1"/>
    <col min="3843" max="4093" width="11.4609375" style="44"/>
    <col min="4094" max="4094" width="28.4609375" style="44" customWidth="1"/>
    <col min="4095" max="4095" width="14.69140625" style="44" customWidth="1"/>
    <col min="4096" max="4096" width="12.3046875" style="44" bestFit="1" customWidth="1"/>
    <col min="4097" max="4097" width="15.84375" style="44" customWidth="1"/>
    <col min="4098" max="4098" width="15.4609375" style="44" customWidth="1"/>
    <col min="4099" max="4349" width="11.4609375" style="44"/>
    <col min="4350" max="4350" width="28.4609375" style="44" customWidth="1"/>
    <col min="4351" max="4351" width="14.69140625" style="44" customWidth="1"/>
    <col min="4352" max="4352" width="12.3046875" style="44" bestFit="1" customWidth="1"/>
    <col min="4353" max="4353" width="15.84375" style="44" customWidth="1"/>
    <col min="4354" max="4354" width="15.4609375" style="44" customWidth="1"/>
    <col min="4355" max="4605" width="11.4609375" style="44"/>
    <col min="4606" max="4606" width="28.4609375" style="44" customWidth="1"/>
    <col min="4607" max="4607" width="14.69140625" style="44" customWidth="1"/>
    <col min="4608" max="4608" width="12.3046875" style="44" bestFit="1" customWidth="1"/>
    <col min="4609" max="4609" width="15.84375" style="44" customWidth="1"/>
    <col min="4610" max="4610" width="15.4609375" style="44" customWidth="1"/>
    <col min="4611" max="4861" width="11.4609375" style="44"/>
    <col min="4862" max="4862" width="28.4609375" style="44" customWidth="1"/>
    <col min="4863" max="4863" width="14.69140625" style="44" customWidth="1"/>
    <col min="4864" max="4864" width="12.3046875" style="44" bestFit="1" customWidth="1"/>
    <col min="4865" max="4865" width="15.84375" style="44" customWidth="1"/>
    <col min="4866" max="4866" width="15.4609375" style="44" customWidth="1"/>
    <col min="4867" max="5117" width="11.4609375" style="44"/>
    <col min="5118" max="5118" width="28.4609375" style="44" customWidth="1"/>
    <col min="5119" max="5119" width="14.69140625" style="44" customWidth="1"/>
    <col min="5120" max="5120" width="12.3046875" style="44" bestFit="1" customWidth="1"/>
    <col min="5121" max="5121" width="15.84375" style="44" customWidth="1"/>
    <col min="5122" max="5122" width="15.4609375" style="44" customWidth="1"/>
    <col min="5123" max="5373" width="11.4609375" style="44"/>
    <col min="5374" max="5374" width="28.4609375" style="44" customWidth="1"/>
    <col min="5375" max="5375" width="14.69140625" style="44" customWidth="1"/>
    <col min="5376" max="5376" width="12.3046875" style="44" bestFit="1" customWidth="1"/>
    <col min="5377" max="5377" width="15.84375" style="44" customWidth="1"/>
    <col min="5378" max="5378" width="15.4609375" style="44" customWidth="1"/>
    <col min="5379" max="5629" width="11.4609375" style="44"/>
    <col min="5630" max="5630" width="28.4609375" style="44" customWidth="1"/>
    <col min="5631" max="5631" width="14.69140625" style="44" customWidth="1"/>
    <col min="5632" max="5632" width="12.3046875" style="44" bestFit="1" customWidth="1"/>
    <col min="5633" max="5633" width="15.84375" style="44" customWidth="1"/>
    <col min="5634" max="5634" width="15.4609375" style="44" customWidth="1"/>
    <col min="5635" max="5885" width="11.4609375" style="44"/>
    <col min="5886" max="5886" width="28.4609375" style="44" customWidth="1"/>
    <col min="5887" max="5887" width="14.69140625" style="44" customWidth="1"/>
    <col min="5888" max="5888" width="12.3046875" style="44" bestFit="1" customWidth="1"/>
    <col min="5889" max="5889" width="15.84375" style="44" customWidth="1"/>
    <col min="5890" max="5890" width="15.4609375" style="44" customWidth="1"/>
    <col min="5891" max="6141" width="11.4609375" style="44"/>
    <col min="6142" max="6142" width="28.4609375" style="44" customWidth="1"/>
    <col min="6143" max="6143" width="14.69140625" style="44" customWidth="1"/>
    <col min="6144" max="6144" width="12.3046875" style="44" bestFit="1" customWidth="1"/>
    <col min="6145" max="6145" width="15.84375" style="44" customWidth="1"/>
    <col min="6146" max="6146" width="15.4609375" style="44" customWidth="1"/>
    <col min="6147" max="6397" width="11.4609375" style="44"/>
    <col min="6398" max="6398" width="28.4609375" style="44" customWidth="1"/>
    <col min="6399" max="6399" width="14.69140625" style="44" customWidth="1"/>
    <col min="6400" max="6400" width="12.3046875" style="44" bestFit="1" customWidth="1"/>
    <col min="6401" max="6401" width="15.84375" style="44" customWidth="1"/>
    <col min="6402" max="6402" width="15.4609375" style="44" customWidth="1"/>
    <col min="6403" max="6653" width="11.4609375" style="44"/>
    <col min="6654" max="6654" width="28.4609375" style="44" customWidth="1"/>
    <col min="6655" max="6655" width="14.69140625" style="44" customWidth="1"/>
    <col min="6656" max="6656" width="12.3046875" style="44" bestFit="1" customWidth="1"/>
    <col min="6657" max="6657" width="15.84375" style="44" customWidth="1"/>
    <col min="6658" max="6658" width="15.4609375" style="44" customWidth="1"/>
    <col min="6659" max="6909" width="11.4609375" style="44"/>
    <col min="6910" max="6910" width="28.4609375" style="44" customWidth="1"/>
    <col min="6911" max="6911" width="14.69140625" style="44" customWidth="1"/>
    <col min="6912" max="6912" width="12.3046875" style="44" bestFit="1" customWidth="1"/>
    <col min="6913" max="6913" width="15.84375" style="44" customWidth="1"/>
    <col min="6914" max="6914" width="15.4609375" style="44" customWidth="1"/>
    <col min="6915" max="7165" width="11.4609375" style="44"/>
    <col min="7166" max="7166" width="28.4609375" style="44" customWidth="1"/>
    <col min="7167" max="7167" width="14.69140625" style="44" customWidth="1"/>
    <col min="7168" max="7168" width="12.3046875" style="44" bestFit="1" customWidth="1"/>
    <col min="7169" max="7169" width="15.84375" style="44" customWidth="1"/>
    <col min="7170" max="7170" width="15.4609375" style="44" customWidth="1"/>
    <col min="7171" max="7421" width="11.4609375" style="44"/>
    <col min="7422" max="7422" width="28.4609375" style="44" customWidth="1"/>
    <col min="7423" max="7423" width="14.69140625" style="44" customWidth="1"/>
    <col min="7424" max="7424" width="12.3046875" style="44" bestFit="1" customWidth="1"/>
    <col min="7425" max="7425" width="15.84375" style="44" customWidth="1"/>
    <col min="7426" max="7426" width="15.4609375" style="44" customWidth="1"/>
    <col min="7427" max="7677" width="11.4609375" style="44"/>
    <col min="7678" max="7678" width="28.4609375" style="44" customWidth="1"/>
    <col min="7679" max="7679" width="14.69140625" style="44" customWidth="1"/>
    <col min="7680" max="7680" width="12.3046875" style="44" bestFit="1" customWidth="1"/>
    <col min="7681" max="7681" width="15.84375" style="44" customWidth="1"/>
    <col min="7682" max="7682" width="15.4609375" style="44" customWidth="1"/>
    <col min="7683" max="7933" width="11.4609375" style="44"/>
    <col min="7934" max="7934" width="28.4609375" style="44" customWidth="1"/>
    <col min="7935" max="7935" width="14.69140625" style="44" customWidth="1"/>
    <col min="7936" max="7936" width="12.3046875" style="44" bestFit="1" customWidth="1"/>
    <col min="7937" max="7937" width="15.84375" style="44" customWidth="1"/>
    <col min="7938" max="7938" width="15.4609375" style="44" customWidth="1"/>
    <col min="7939" max="8189" width="11.4609375" style="44"/>
    <col min="8190" max="8190" width="28.4609375" style="44" customWidth="1"/>
    <col min="8191" max="8191" width="14.69140625" style="44" customWidth="1"/>
    <col min="8192" max="8192" width="12.3046875" style="44" bestFit="1" customWidth="1"/>
    <col min="8193" max="8193" width="15.84375" style="44" customWidth="1"/>
    <col min="8194" max="8194" width="15.4609375" style="44" customWidth="1"/>
    <col min="8195" max="8445" width="11.4609375" style="44"/>
    <col min="8446" max="8446" width="28.4609375" style="44" customWidth="1"/>
    <col min="8447" max="8447" width="14.69140625" style="44" customWidth="1"/>
    <col min="8448" max="8448" width="12.3046875" style="44" bestFit="1" customWidth="1"/>
    <col min="8449" max="8449" width="15.84375" style="44" customWidth="1"/>
    <col min="8450" max="8450" width="15.4609375" style="44" customWidth="1"/>
    <col min="8451" max="8701" width="11.4609375" style="44"/>
    <col min="8702" max="8702" width="28.4609375" style="44" customWidth="1"/>
    <col min="8703" max="8703" width="14.69140625" style="44" customWidth="1"/>
    <col min="8704" max="8704" width="12.3046875" style="44" bestFit="1" customWidth="1"/>
    <col min="8705" max="8705" width="15.84375" style="44" customWidth="1"/>
    <col min="8706" max="8706" width="15.4609375" style="44" customWidth="1"/>
    <col min="8707" max="8957" width="11.4609375" style="44"/>
    <col min="8958" max="8958" width="28.4609375" style="44" customWidth="1"/>
    <col min="8959" max="8959" width="14.69140625" style="44" customWidth="1"/>
    <col min="8960" max="8960" width="12.3046875" style="44" bestFit="1" customWidth="1"/>
    <col min="8961" max="8961" width="15.84375" style="44" customWidth="1"/>
    <col min="8962" max="8962" width="15.4609375" style="44" customWidth="1"/>
    <col min="8963" max="9213" width="11.4609375" style="44"/>
    <col min="9214" max="9214" width="28.4609375" style="44" customWidth="1"/>
    <col min="9215" max="9215" width="14.69140625" style="44" customWidth="1"/>
    <col min="9216" max="9216" width="12.3046875" style="44" bestFit="1" customWidth="1"/>
    <col min="9217" max="9217" width="15.84375" style="44" customWidth="1"/>
    <col min="9218" max="9218" width="15.4609375" style="44" customWidth="1"/>
    <col min="9219" max="9469" width="11.4609375" style="44"/>
    <col min="9470" max="9470" width="28.4609375" style="44" customWidth="1"/>
    <col min="9471" max="9471" width="14.69140625" style="44" customWidth="1"/>
    <col min="9472" max="9472" width="12.3046875" style="44" bestFit="1" customWidth="1"/>
    <col min="9473" max="9473" width="15.84375" style="44" customWidth="1"/>
    <col min="9474" max="9474" width="15.4609375" style="44" customWidth="1"/>
    <col min="9475" max="9725" width="11.4609375" style="44"/>
    <col min="9726" max="9726" width="28.4609375" style="44" customWidth="1"/>
    <col min="9727" max="9727" width="14.69140625" style="44" customWidth="1"/>
    <col min="9728" max="9728" width="12.3046875" style="44" bestFit="1" customWidth="1"/>
    <col min="9729" max="9729" width="15.84375" style="44" customWidth="1"/>
    <col min="9730" max="9730" width="15.4609375" style="44" customWidth="1"/>
    <col min="9731" max="9981" width="11.4609375" style="44"/>
    <col min="9982" max="9982" width="28.4609375" style="44" customWidth="1"/>
    <col min="9983" max="9983" width="14.69140625" style="44" customWidth="1"/>
    <col min="9984" max="9984" width="12.3046875" style="44" bestFit="1" customWidth="1"/>
    <col min="9985" max="9985" width="15.84375" style="44" customWidth="1"/>
    <col min="9986" max="9986" width="15.4609375" style="44" customWidth="1"/>
    <col min="9987" max="10237" width="11.4609375" style="44"/>
    <col min="10238" max="10238" width="28.4609375" style="44" customWidth="1"/>
    <col min="10239" max="10239" width="14.69140625" style="44" customWidth="1"/>
    <col min="10240" max="10240" width="12.3046875" style="44" bestFit="1" customWidth="1"/>
    <col min="10241" max="10241" width="15.84375" style="44" customWidth="1"/>
    <col min="10242" max="10242" width="15.4609375" style="44" customWidth="1"/>
    <col min="10243" max="10493" width="11.4609375" style="44"/>
    <col min="10494" max="10494" width="28.4609375" style="44" customWidth="1"/>
    <col min="10495" max="10495" width="14.69140625" style="44" customWidth="1"/>
    <col min="10496" max="10496" width="12.3046875" style="44" bestFit="1" customWidth="1"/>
    <col min="10497" max="10497" width="15.84375" style="44" customWidth="1"/>
    <col min="10498" max="10498" width="15.4609375" style="44" customWidth="1"/>
    <col min="10499" max="10749" width="11.4609375" style="44"/>
    <col min="10750" max="10750" width="28.4609375" style="44" customWidth="1"/>
    <col min="10751" max="10751" width="14.69140625" style="44" customWidth="1"/>
    <col min="10752" max="10752" width="12.3046875" style="44" bestFit="1" customWidth="1"/>
    <col min="10753" max="10753" width="15.84375" style="44" customWidth="1"/>
    <col min="10754" max="10754" width="15.4609375" style="44" customWidth="1"/>
    <col min="10755" max="11005" width="11.4609375" style="44"/>
    <col min="11006" max="11006" width="28.4609375" style="44" customWidth="1"/>
    <col min="11007" max="11007" width="14.69140625" style="44" customWidth="1"/>
    <col min="11008" max="11008" width="12.3046875" style="44" bestFit="1" customWidth="1"/>
    <col min="11009" max="11009" width="15.84375" style="44" customWidth="1"/>
    <col min="11010" max="11010" width="15.4609375" style="44" customWidth="1"/>
    <col min="11011" max="11261" width="11.4609375" style="44"/>
    <col min="11262" max="11262" width="28.4609375" style="44" customWidth="1"/>
    <col min="11263" max="11263" width="14.69140625" style="44" customWidth="1"/>
    <col min="11264" max="11264" width="12.3046875" style="44" bestFit="1" customWidth="1"/>
    <col min="11265" max="11265" width="15.84375" style="44" customWidth="1"/>
    <col min="11266" max="11266" width="15.4609375" style="44" customWidth="1"/>
    <col min="11267" max="11517" width="11.4609375" style="44"/>
    <col min="11518" max="11518" width="28.4609375" style="44" customWidth="1"/>
    <col min="11519" max="11519" width="14.69140625" style="44" customWidth="1"/>
    <col min="11520" max="11520" width="12.3046875" style="44" bestFit="1" customWidth="1"/>
    <col min="11521" max="11521" width="15.84375" style="44" customWidth="1"/>
    <col min="11522" max="11522" width="15.4609375" style="44" customWidth="1"/>
    <col min="11523" max="11773" width="11.4609375" style="44"/>
    <col min="11774" max="11774" width="28.4609375" style="44" customWidth="1"/>
    <col min="11775" max="11775" width="14.69140625" style="44" customWidth="1"/>
    <col min="11776" max="11776" width="12.3046875" style="44" bestFit="1" customWidth="1"/>
    <col min="11777" max="11777" width="15.84375" style="44" customWidth="1"/>
    <col min="11778" max="11778" width="15.4609375" style="44" customWidth="1"/>
    <col min="11779" max="12029" width="11.4609375" style="44"/>
    <col min="12030" max="12030" width="28.4609375" style="44" customWidth="1"/>
    <col min="12031" max="12031" width="14.69140625" style="44" customWidth="1"/>
    <col min="12032" max="12032" width="12.3046875" style="44" bestFit="1" customWidth="1"/>
    <col min="12033" max="12033" width="15.84375" style="44" customWidth="1"/>
    <col min="12034" max="12034" width="15.4609375" style="44" customWidth="1"/>
    <col min="12035" max="12285" width="11.4609375" style="44"/>
    <col min="12286" max="12286" width="28.4609375" style="44" customWidth="1"/>
    <col min="12287" max="12287" width="14.69140625" style="44" customWidth="1"/>
    <col min="12288" max="12288" width="12.3046875" style="44" bestFit="1" customWidth="1"/>
    <col min="12289" max="12289" width="15.84375" style="44" customWidth="1"/>
    <col min="12290" max="12290" width="15.4609375" style="44" customWidth="1"/>
    <col min="12291" max="12541" width="11.4609375" style="44"/>
    <col min="12542" max="12542" width="28.4609375" style="44" customWidth="1"/>
    <col min="12543" max="12543" width="14.69140625" style="44" customWidth="1"/>
    <col min="12544" max="12544" width="12.3046875" style="44" bestFit="1" customWidth="1"/>
    <col min="12545" max="12545" width="15.84375" style="44" customWidth="1"/>
    <col min="12546" max="12546" width="15.4609375" style="44" customWidth="1"/>
    <col min="12547" max="12797" width="11.4609375" style="44"/>
    <col min="12798" max="12798" width="28.4609375" style="44" customWidth="1"/>
    <col min="12799" max="12799" width="14.69140625" style="44" customWidth="1"/>
    <col min="12800" max="12800" width="12.3046875" style="44" bestFit="1" customWidth="1"/>
    <col min="12801" max="12801" width="15.84375" style="44" customWidth="1"/>
    <col min="12802" max="12802" width="15.4609375" style="44" customWidth="1"/>
    <col min="12803" max="13053" width="11.4609375" style="44"/>
    <col min="13054" max="13054" width="28.4609375" style="44" customWidth="1"/>
    <col min="13055" max="13055" width="14.69140625" style="44" customWidth="1"/>
    <col min="13056" max="13056" width="12.3046875" style="44" bestFit="1" customWidth="1"/>
    <col min="13057" max="13057" width="15.84375" style="44" customWidth="1"/>
    <col min="13058" max="13058" width="15.4609375" style="44" customWidth="1"/>
    <col min="13059" max="13309" width="11.4609375" style="44"/>
    <col min="13310" max="13310" width="28.4609375" style="44" customWidth="1"/>
    <col min="13311" max="13311" width="14.69140625" style="44" customWidth="1"/>
    <col min="13312" max="13312" width="12.3046875" style="44" bestFit="1" customWidth="1"/>
    <col min="13313" max="13313" width="15.84375" style="44" customWidth="1"/>
    <col min="13314" max="13314" width="15.4609375" style="44" customWidth="1"/>
    <col min="13315" max="13565" width="11.4609375" style="44"/>
    <col min="13566" max="13566" width="28.4609375" style="44" customWidth="1"/>
    <col min="13567" max="13567" width="14.69140625" style="44" customWidth="1"/>
    <col min="13568" max="13568" width="12.3046875" style="44" bestFit="1" customWidth="1"/>
    <col min="13569" max="13569" width="15.84375" style="44" customWidth="1"/>
    <col min="13570" max="13570" width="15.4609375" style="44" customWidth="1"/>
    <col min="13571" max="13821" width="11.4609375" style="44"/>
    <col min="13822" max="13822" width="28.4609375" style="44" customWidth="1"/>
    <col min="13823" max="13823" width="14.69140625" style="44" customWidth="1"/>
    <col min="13824" max="13824" width="12.3046875" style="44" bestFit="1" customWidth="1"/>
    <col min="13825" max="13825" width="15.84375" style="44" customWidth="1"/>
    <col min="13826" max="13826" width="15.4609375" style="44" customWidth="1"/>
    <col min="13827" max="14077" width="11.4609375" style="44"/>
    <col min="14078" max="14078" width="28.4609375" style="44" customWidth="1"/>
    <col min="14079" max="14079" width="14.69140625" style="44" customWidth="1"/>
    <col min="14080" max="14080" width="12.3046875" style="44" bestFit="1" customWidth="1"/>
    <col min="14081" max="14081" width="15.84375" style="44" customWidth="1"/>
    <col min="14082" max="14082" width="15.4609375" style="44" customWidth="1"/>
    <col min="14083" max="14333" width="11.4609375" style="44"/>
    <col min="14334" max="14334" width="28.4609375" style="44" customWidth="1"/>
    <col min="14335" max="14335" width="14.69140625" style="44" customWidth="1"/>
    <col min="14336" max="14336" width="12.3046875" style="44" bestFit="1" customWidth="1"/>
    <col min="14337" max="14337" width="15.84375" style="44" customWidth="1"/>
    <col min="14338" max="14338" width="15.4609375" style="44" customWidth="1"/>
    <col min="14339" max="14589" width="11.4609375" style="44"/>
    <col min="14590" max="14590" width="28.4609375" style="44" customWidth="1"/>
    <col min="14591" max="14591" width="14.69140625" style="44" customWidth="1"/>
    <col min="14592" max="14592" width="12.3046875" style="44" bestFit="1" customWidth="1"/>
    <col min="14593" max="14593" width="15.84375" style="44" customWidth="1"/>
    <col min="14594" max="14594" width="15.4609375" style="44" customWidth="1"/>
    <col min="14595" max="14845" width="11.4609375" style="44"/>
    <col min="14846" max="14846" width="28.4609375" style="44" customWidth="1"/>
    <col min="14847" max="14847" width="14.69140625" style="44" customWidth="1"/>
    <col min="14848" max="14848" width="12.3046875" style="44" bestFit="1" customWidth="1"/>
    <col min="14849" max="14849" width="15.84375" style="44" customWidth="1"/>
    <col min="14850" max="14850" width="15.4609375" style="44" customWidth="1"/>
    <col min="14851" max="15101" width="11.4609375" style="44"/>
    <col min="15102" max="15102" width="28.4609375" style="44" customWidth="1"/>
    <col min="15103" max="15103" width="14.69140625" style="44" customWidth="1"/>
    <col min="15104" max="15104" width="12.3046875" style="44" bestFit="1" customWidth="1"/>
    <col min="15105" max="15105" width="15.84375" style="44" customWidth="1"/>
    <col min="15106" max="15106" width="15.4609375" style="44" customWidth="1"/>
    <col min="15107" max="15357" width="11.4609375" style="44"/>
    <col min="15358" max="15358" width="28.4609375" style="44" customWidth="1"/>
    <col min="15359" max="15359" width="14.69140625" style="44" customWidth="1"/>
    <col min="15360" max="15360" width="12.3046875" style="44" bestFit="1" customWidth="1"/>
    <col min="15361" max="15361" width="15.84375" style="44" customWidth="1"/>
    <col min="15362" max="15362" width="15.4609375" style="44" customWidth="1"/>
    <col min="15363" max="15613" width="11.4609375" style="44"/>
    <col min="15614" max="15614" width="28.4609375" style="44" customWidth="1"/>
    <col min="15615" max="15615" width="14.69140625" style="44" customWidth="1"/>
    <col min="15616" max="15616" width="12.3046875" style="44" bestFit="1" customWidth="1"/>
    <col min="15617" max="15617" width="15.84375" style="44" customWidth="1"/>
    <col min="15618" max="15618" width="15.4609375" style="44" customWidth="1"/>
    <col min="15619" max="15869" width="11.4609375" style="44"/>
    <col min="15870" max="15870" width="28.4609375" style="44" customWidth="1"/>
    <col min="15871" max="15871" width="14.69140625" style="44" customWidth="1"/>
    <col min="15872" max="15872" width="12.3046875" style="44" bestFit="1" customWidth="1"/>
    <col min="15873" max="15873" width="15.84375" style="44" customWidth="1"/>
    <col min="15874" max="15874" width="15.4609375" style="44" customWidth="1"/>
    <col min="15875" max="16125" width="11.4609375" style="44"/>
    <col min="16126" max="16126" width="28.4609375" style="44" customWidth="1"/>
    <col min="16127" max="16127" width="14.69140625" style="44" customWidth="1"/>
    <col min="16128" max="16128" width="12.3046875" style="44" bestFit="1" customWidth="1"/>
    <col min="16129" max="16129" width="15.84375" style="44" customWidth="1"/>
    <col min="16130" max="16130" width="15.4609375" style="44" customWidth="1"/>
    <col min="16131" max="16384" width="11.4609375" style="44"/>
  </cols>
  <sheetData>
    <row r="1" spans="1:7" ht="18.45">
      <c r="A1" s="502" t="s">
        <v>429</v>
      </c>
      <c r="D1" s="8"/>
    </row>
    <row r="2" spans="1:7" ht="14.6">
      <c r="A2" s="111"/>
      <c r="B2" s="28"/>
      <c r="C2" s="28"/>
      <c r="D2" s="28"/>
    </row>
    <row r="3" spans="1:7" ht="14.6">
      <c r="A3" s="111"/>
      <c r="B3" s="28"/>
      <c r="C3" s="28"/>
      <c r="D3" s="28"/>
    </row>
    <row r="4" spans="1:7" ht="15.45">
      <c r="A4" s="45" t="s">
        <v>452</v>
      </c>
      <c r="B4" s="28"/>
      <c r="C4" s="28"/>
      <c r="D4" s="28"/>
    </row>
    <row r="5" spans="1:7" ht="14.6">
      <c r="A5" s="111"/>
      <c r="B5" s="28"/>
      <c r="C5" s="28"/>
      <c r="D5" s="28"/>
    </row>
    <row r="6" spans="1:7" ht="15" customHeight="1"/>
    <row r="7" spans="1:7" ht="28" customHeight="1">
      <c r="A7" s="172" t="s">
        <v>252</v>
      </c>
      <c r="B7" s="48">
        <f ca="1">(('Marine VCU Vapor Combustion'!B8*1200/1020)+'Marine VCU Assist Gas'!B12)/1000000</f>
        <v>62.161890294117612</v>
      </c>
      <c r="C7" s="173" t="s">
        <v>141</v>
      </c>
    </row>
    <row r="8" spans="1:7" ht="37.299999999999997">
      <c r="A8" s="500" t="s">
        <v>426</v>
      </c>
      <c r="B8" s="108" t="s">
        <v>61</v>
      </c>
      <c r="C8" s="107" t="s">
        <v>253</v>
      </c>
      <c r="D8" s="110" t="s">
        <v>140</v>
      </c>
      <c r="E8" s="51"/>
      <c r="F8" s="51"/>
      <c r="G8" s="51"/>
    </row>
    <row r="9" spans="1:7">
      <c r="A9" s="68" t="s">
        <v>50</v>
      </c>
      <c r="B9" s="80" t="s">
        <v>145</v>
      </c>
      <c r="C9" s="61">
        <v>8.0000000000000002E-3</v>
      </c>
      <c r="D9" s="100">
        <f t="shared" ref="D9:D24" ca="1" si="0">$B$7*C9</f>
        <v>0.49729512235294088</v>
      </c>
      <c r="E9" s="432"/>
    </row>
    <row r="10" spans="1:7">
      <c r="A10" s="70" t="s">
        <v>52</v>
      </c>
      <c r="B10" s="44" t="s">
        <v>150</v>
      </c>
      <c r="C10" s="51">
        <v>1.7000000000000001E-2</v>
      </c>
      <c r="D10" s="101">
        <f t="shared" ca="1" si="0"/>
        <v>1.0567521349999995</v>
      </c>
      <c r="E10" s="432"/>
    </row>
    <row r="11" spans="1:7">
      <c r="A11" s="116" t="s">
        <v>251</v>
      </c>
      <c r="B11" s="111" t="s">
        <v>175</v>
      </c>
      <c r="C11" s="51">
        <v>1E-4</v>
      </c>
      <c r="D11" s="94">
        <f t="shared" ca="1" si="0"/>
        <v>6.2161890294117617E-3</v>
      </c>
      <c r="E11" s="432"/>
    </row>
    <row r="12" spans="1:7">
      <c r="A12" s="70" t="s">
        <v>55</v>
      </c>
      <c r="B12" s="44" t="s">
        <v>149</v>
      </c>
      <c r="C12" s="51">
        <v>2.9999999999999997E-4</v>
      </c>
      <c r="D12" s="101">
        <f t="shared" ca="1" si="0"/>
        <v>1.8648567088235282E-2</v>
      </c>
      <c r="E12" s="432"/>
    </row>
    <row r="13" spans="1:7">
      <c r="A13" s="70" t="s">
        <v>48</v>
      </c>
      <c r="B13" s="44" t="s">
        <v>151</v>
      </c>
      <c r="C13" s="51">
        <v>4.3E-3</v>
      </c>
      <c r="D13" s="101">
        <f t="shared" ca="1" si="0"/>
        <v>0.26729612826470572</v>
      </c>
      <c r="E13" s="432"/>
    </row>
    <row r="14" spans="1:7">
      <c r="A14" s="70" t="s">
        <v>49</v>
      </c>
      <c r="B14" s="44" t="s">
        <v>152</v>
      </c>
      <c r="C14" s="51">
        <v>2.7000000000000001E-3</v>
      </c>
      <c r="D14" s="101">
        <f t="shared" ca="1" si="0"/>
        <v>0.16783710379411756</v>
      </c>
      <c r="E14" s="432"/>
    </row>
    <row r="15" spans="1:7">
      <c r="A15" s="70" t="s">
        <v>153</v>
      </c>
      <c r="B15" s="44" t="s">
        <v>154</v>
      </c>
      <c r="C15" s="51">
        <v>2.0000000000000001E-4</v>
      </c>
      <c r="D15" s="101">
        <f t="shared" ca="1" si="0"/>
        <v>1.2432378058823523E-2</v>
      </c>
      <c r="E15" s="92"/>
    </row>
    <row r="16" spans="1:7">
      <c r="A16" s="70" t="s">
        <v>155</v>
      </c>
      <c r="B16" s="44" t="s">
        <v>156</v>
      </c>
      <c r="C16" s="51">
        <v>1.2E-5</v>
      </c>
      <c r="D16" s="101">
        <f t="shared" ca="1" si="0"/>
        <v>7.4594268352941133E-4</v>
      </c>
      <c r="E16" s="432"/>
    </row>
    <row r="17" spans="1:5">
      <c r="A17" s="70" t="s">
        <v>157</v>
      </c>
      <c r="B17" s="44" t="s">
        <v>158</v>
      </c>
      <c r="C17" s="51">
        <v>1.1000000000000001E-3</v>
      </c>
      <c r="D17" s="101">
        <f t="shared" ca="1" si="0"/>
        <v>6.8378079323529378E-2</v>
      </c>
      <c r="E17" s="432"/>
    </row>
    <row r="18" spans="1:5">
      <c r="A18" s="70" t="s">
        <v>159</v>
      </c>
      <c r="B18" s="44" t="s">
        <v>172</v>
      </c>
      <c r="C18" s="51">
        <v>1.4E-3</v>
      </c>
      <c r="D18" s="101">
        <f t="shared" ca="1" si="0"/>
        <v>8.7026646411764649E-2</v>
      </c>
      <c r="E18" s="432"/>
    </row>
    <row r="19" spans="1:5">
      <c r="A19" s="70" t="s">
        <v>160</v>
      </c>
      <c r="B19" s="44" t="s">
        <v>161</v>
      </c>
      <c r="C19" s="51">
        <v>8.3999999999999995E-5</v>
      </c>
      <c r="D19" s="101">
        <f t="shared" ca="1" si="0"/>
        <v>5.2215987847058793E-3</v>
      </c>
      <c r="E19" s="92"/>
    </row>
    <row r="20" spans="1:5">
      <c r="A20" s="70" t="s">
        <v>142</v>
      </c>
      <c r="B20" s="44" t="s">
        <v>148</v>
      </c>
      <c r="C20" s="51">
        <v>9.4999999999999998E-3</v>
      </c>
      <c r="D20" s="101">
        <f t="shared" ca="1" si="0"/>
        <v>0.59053795779411733</v>
      </c>
      <c r="E20" s="432"/>
    </row>
    <row r="21" spans="1:5">
      <c r="A21" s="70" t="s">
        <v>53</v>
      </c>
      <c r="B21" s="44" t="s">
        <v>144</v>
      </c>
      <c r="C21" s="51">
        <v>6.3E-3</v>
      </c>
      <c r="D21" s="101">
        <f t="shared" ca="1" si="0"/>
        <v>0.39161990885294096</v>
      </c>
      <c r="E21" s="432"/>
    </row>
    <row r="22" spans="1:5">
      <c r="A22" s="70" t="s">
        <v>162</v>
      </c>
      <c r="B22" s="44" t="s">
        <v>163</v>
      </c>
      <c r="C22" s="51">
        <v>3.8000000000000002E-4</v>
      </c>
      <c r="D22" s="101">
        <f t="shared" ca="1" si="0"/>
        <v>2.3621518311764695E-2</v>
      </c>
      <c r="E22" s="92"/>
    </row>
    <row r="23" spans="1:5">
      <c r="A23" s="70" t="s">
        <v>164</v>
      </c>
      <c r="B23" s="44" t="s">
        <v>165</v>
      </c>
      <c r="C23" s="51">
        <v>2.5999999999999998E-4</v>
      </c>
      <c r="D23" s="101">
        <f t="shared" ca="1" si="0"/>
        <v>1.6162091476470578E-2</v>
      </c>
      <c r="E23" s="432"/>
    </row>
    <row r="24" spans="1:5">
      <c r="A24" s="70" t="s">
        <v>166</v>
      </c>
      <c r="B24" s="44" t="s">
        <v>167</v>
      </c>
      <c r="C24" s="51">
        <v>2.0999999999999999E-3</v>
      </c>
      <c r="D24" s="101">
        <f t="shared" ca="1" si="0"/>
        <v>0.13053996961764697</v>
      </c>
      <c r="E24" s="432"/>
    </row>
    <row r="25" spans="1:5">
      <c r="A25" s="70" t="s">
        <v>168</v>
      </c>
      <c r="B25" s="44" t="s">
        <v>169</v>
      </c>
      <c r="C25" s="51">
        <v>2.4000000000000001E-5</v>
      </c>
      <c r="D25" s="101">
        <f t="shared" ref="D25:D27" ca="1" si="1">$B$7*C25</f>
        <v>1.4918853670588227E-3</v>
      </c>
      <c r="E25" s="114"/>
    </row>
    <row r="26" spans="1:5">
      <c r="A26" s="70" t="s">
        <v>54</v>
      </c>
      <c r="B26" s="44" t="s">
        <v>146</v>
      </c>
      <c r="C26" s="51">
        <v>3.6600000000000001E-2</v>
      </c>
      <c r="D26" s="101">
        <f t="shared" ca="1" si="1"/>
        <v>2.2751251847647045</v>
      </c>
      <c r="E26" s="432"/>
    </row>
    <row r="27" spans="1:5">
      <c r="A27" s="63" t="s">
        <v>170</v>
      </c>
      <c r="B27" s="89" t="s">
        <v>147</v>
      </c>
      <c r="C27" s="65">
        <v>2.7199999999999998E-2</v>
      </c>
      <c r="D27" s="102">
        <f t="shared" ca="1" si="1"/>
        <v>1.6908034159999989</v>
      </c>
      <c r="E27" s="432"/>
    </row>
    <row r="28" spans="1:5">
      <c r="C28" s="428" t="s">
        <v>47</v>
      </c>
      <c r="D28" s="92">
        <f ca="1">SUM(D9:D27)</f>
        <v>7.3077518229764662</v>
      </c>
    </row>
  </sheetData>
  <sheetProtection algorithmName="SHA-512" hashValue="7mDI6TYeqII4VN47Lhv6k54Q9uVqKzZYUEmYxZbAdNo2bAKCj88hx7eKPtL61PrENDUXL7RMgicVsmNlIl20bQ==" saltValue="tR1NB9pGYUo8AzYMlp4xrQ==" spinCount="100000" sheet="1" objects="1" scenarios="1"/>
  <pageMargins left="0.75" right="0.75" top="1" bottom="1" header="0.5" footer="0.5"/>
  <pageSetup scale="97" orientation="portrait" horizontalDpi="4294967292" verticalDpi="4294967292"/>
  <headerFooter alignWithMargins="0"/>
  <rowBreaks count="1" manualBreakCount="1">
    <brk id="3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0DC8F44BAFB4890E86F71F1826E53" ma:contentTypeVersion="3" ma:contentTypeDescription="Create a new document." ma:contentTypeScope="" ma:versionID="15fea375f9b124ec1024d54697757e1a">
  <xsd:schema xmlns:xsd="http://www.w3.org/2001/XMLSchema" xmlns:xs="http://www.w3.org/2001/XMLSchema" xmlns:p="http://schemas.microsoft.com/office/2006/metadata/properties" xmlns:ns1="http://schemas.microsoft.com/sharepoint/v3" xmlns:ns2="159cf8a7-5153-4201-a998-dfd1b83a0cce" xmlns:ns3="4d0624c3-f678-473a-aaed-aa14d03be472" targetNamespace="http://schemas.microsoft.com/office/2006/metadata/properties" ma:root="true" ma:fieldsID="486649f98842a5b7ac0c786e39533567" ns1:_="" ns2:_="" ns3:_="">
    <xsd:import namespace="http://schemas.microsoft.com/sharepoint/v3"/>
    <xsd:import namespace="159cf8a7-5153-4201-a998-dfd1b83a0cce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s_x002f_Projec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cf8a7-5153-4201-a998-dfd1b83a0cce" elementFormDefault="qualified">
    <xsd:import namespace="http://schemas.microsoft.com/office/2006/documentManagement/types"/>
    <xsd:import namespace="http://schemas.microsoft.com/office/infopath/2007/PartnerControls"/>
    <xsd:element name="Programs_x002f_Projects" ma:index="10" nillable="true" ma:displayName="Programs/Projects" ma:default="Select..." ma:format="Dropdown" ma:internalName="Programs_x002f_Projects">
      <xsd:simpleType>
        <xsd:union memberTypes="dms:Text">
          <xsd:simpleType>
            <xsd:restriction base="dms:Choice">
              <xsd:enumeration value="Select..."/>
              <xsd:enumeration value="APES"/>
              <xsd:enumeration value="Amerities"/>
              <xsd:enumeration value="Ashland Railroad"/>
              <xsd:enumeration value="Astoria marine"/>
              <xsd:enumeration value="Bradford Island"/>
              <xsd:enumeration value="Bull Run"/>
              <xsd:enumeration value="Bullseye"/>
              <xsd:enumeration value="Coffin"/>
              <xsd:enumeration value="Columbia Pacific"/>
              <xsd:enumeration value="Columbia Slough"/>
              <xsd:enumeration value="Coyote Island"/>
              <xsd:enumeration value="Daimler"/>
              <xsd:enumeration value="Gasoline Termonals"/>
              <xsd:enumeration value="Grimms"/>
              <xsd:enumeration value="Hollinsworth and Vose"/>
              <xsd:enumeration value="Intel"/>
              <xsd:enumeration value="JH Baxter"/>
              <xsd:enumeration value="Jordan Cove"/>
              <xsd:enumeration value="Lebanon"/>
              <xsd:enumeration value="LNG"/>
              <xsd:enumeration value="Midcoast biosolids"/>
              <xsd:enumeration value="NE Portland scrap yard"/>
              <xsd:enumeration value="NEXT"/>
              <xsd:enumeration value="Northstar"/>
              <xsd:enumeration value="Oil re-refining co"/>
              <xsd:enumeration value="Owens-Brockway"/>
              <xsd:enumeration value="PGE Boardman"/>
              <xsd:enumeration value="Portland harbor"/>
              <xsd:enumeration value="Precision Castparts"/>
              <xsd:enumeration value="Ridwell"/>
              <xsd:enumeration value="River st warehouse"/>
              <xsd:enumeration value="Riverbend Landfill"/>
              <xsd:enumeration value="Ross island"/>
              <xsd:enumeration value="Umatilla Chemical Depot"/>
              <xsd:enumeration value="Uroboros Glass"/>
              <xsd:enumeration value="USPS"/>
              <xsd:enumeration value="West Side Quarry"/>
              <xsd:enumeration value="Willamette River sediment"/>
              <xsd:enumeration value="Zen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s_x002f_Projects xmlns="159cf8a7-5153-4201-a998-dfd1b83a0cce">Zenith</Programs_x002f_Project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9E91A8-965A-4CF5-96AD-1D36E7530E5D}"/>
</file>

<file path=customXml/itemProps2.xml><?xml version="1.0" encoding="utf-8"?>
<ds:datastoreItem xmlns:ds="http://schemas.openxmlformats.org/officeDocument/2006/customXml" ds:itemID="{5E87C6F0-2508-435E-BE6E-DD7B6F6BE8F0}"/>
</file>

<file path=customXml/itemProps3.xml><?xml version="1.0" encoding="utf-8"?>
<ds:datastoreItem xmlns:ds="http://schemas.openxmlformats.org/officeDocument/2006/customXml" ds:itemID="{8AA794E1-2583-4AB5-ACAA-B6A017FC774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COVER</vt:lpstr>
      <vt:lpstr>products</vt:lpstr>
      <vt:lpstr>Emission Summary</vt:lpstr>
      <vt:lpstr>TANK_Emissions</vt:lpstr>
      <vt:lpstr>TRACK_Emissions</vt:lpstr>
      <vt:lpstr>Marine Loading Emissions</vt:lpstr>
      <vt:lpstr>Marine VCU Vapor Combustion</vt:lpstr>
      <vt:lpstr>Marine VCU Assist Gas</vt:lpstr>
      <vt:lpstr>Marine VCU Stack HAP Emissions</vt:lpstr>
      <vt:lpstr>Fugitive Equipment Leaks</vt:lpstr>
      <vt:lpstr>OWS Emissions</vt:lpstr>
      <vt:lpstr>Boiler_and_Heater_Emission</vt:lpstr>
      <vt:lpstr>Boiler_and_Heater_Emission!Print_Area</vt:lpstr>
      <vt:lpstr>'Fugitive Equipment Leaks'!Print_Area</vt:lpstr>
      <vt:lpstr>'Marine VCU Stack HAP Emissions'!Print_Area</vt:lpstr>
      <vt:lpstr>'OWS Emissions'!Print_Area</vt:lpstr>
      <vt:lpstr>TANK_Emissions!Print_Area</vt:lpstr>
      <vt:lpstr>TRACK_Emissions!Print_Area</vt:lpstr>
      <vt:lpstr>Boiler_and_Heater_Emission!Print_Titles</vt:lpstr>
      <vt:lpstr>'Fugitive Equipment Leaks'!Print_Titles</vt:lpstr>
      <vt:lpstr>'Marine VCU Stack HAP Emissions'!Print_Titles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Danhof</dc:creator>
  <cp:lastModifiedBy>GRAIVER David * DEQ</cp:lastModifiedBy>
  <cp:lastPrinted>2019-10-17T19:19:09Z</cp:lastPrinted>
  <dcterms:created xsi:type="dcterms:W3CDTF">2017-04-17T19:15:33Z</dcterms:created>
  <dcterms:modified xsi:type="dcterms:W3CDTF">2024-06-21T23:22:55Z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2024-04-11T20:48:36Z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cba69b9e-b94d-467f-8f52-22131c5754b0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0x01010037E0DC8F44BAFB4890E86F71F1826E53</vt:lpwstr>
  </property>
</Properties>
</file>