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thomps\Desktop\"/>
    </mc:Choice>
  </mc:AlternateContent>
  <xr:revisionPtr revIDLastSave="0" documentId="8_{C17D9AE8-C94F-4DBF-9526-F8AFD7293996}" xr6:coauthVersionLast="47" xr6:coauthVersionMax="47" xr10:uidLastSave="{00000000-0000-0000-0000-000000000000}"/>
  <bookViews>
    <workbookView xWindow="31125" yWindow="135" windowWidth="25395" windowHeight="15075" tabRatio="743" xr2:uid="{00000000-000D-0000-FFFF-FFFF00000000}"/>
  </bookViews>
  <sheets>
    <sheet name="A-1" sheetId="1" r:id="rId1"/>
    <sheet name="A-2" sheetId="2" r:id="rId2"/>
    <sheet name="A-3" sheetId="3" r:id="rId3"/>
    <sheet name="A-4" sheetId="5" r:id="rId4"/>
    <sheet name="A-5" sheetId="6" r:id="rId5"/>
    <sheet name="A-6" sheetId="7" r:id="rId6"/>
    <sheet name="A-7" sheetId="8" r:id="rId7"/>
    <sheet name="A-8" sheetId="9" r:id="rId8"/>
    <sheet name="A-9" sheetId="10" r:id="rId9"/>
    <sheet name="A-10" sheetId="11" r:id="rId10"/>
    <sheet name="A-11" sheetId="12" r:id="rId11"/>
    <sheet name="A-12" sheetId="13" r:id="rId12"/>
    <sheet name="A-13" sheetId="14" r:id="rId13"/>
    <sheet name="A-14" sheetId="15" r:id="rId14"/>
    <sheet name="A-15" sheetId="4" r:id="rId15"/>
    <sheet name="A-16" sheetId="17" r:id="rId16"/>
    <sheet name="A-17" sheetId="18" r:id="rId17"/>
    <sheet name="RBC" sheetId="16" r:id="rId18"/>
    <sheet name="Revision History" sheetId="19" r:id="rId19"/>
  </sheets>
  <definedNames>
    <definedName name="_xlnm._FilterDatabase" localSheetId="17" hidden="1">RBC!$A$7:$K$268</definedName>
    <definedName name="_xlnm.Print_Area" localSheetId="9">'A-10'!$A$1:$L$36</definedName>
    <definedName name="_xlnm.Print_Area" localSheetId="11">'A-12'!$A$1:$M$36</definedName>
    <definedName name="_xlnm.Print_Area" localSheetId="12">'A-13'!$A$1:$J$44</definedName>
    <definedName name="_xlnm.Print_Area" localSheetId="13">'A-14'!$A$1:$I$55</definedName>
    <definedName name="_xlnm.Print_Area" localSheetId="15">'A-16'!$A$1:$V$51</definedName>
    <definedName name="_xlnm.Print_Area" localSheetId="16">'A-17'!$A$1:$M$53</definedName>
    <definedName name="_xlnm.Print_Area" localSheetId="2">'A-3'!$A$1:$W$51</definedName>
    <definedName name="_xlnm.Print_Area" localSheetId="5">'A-6'!$A$1:$L$36</definedName>
    <definedName name="_xlnm.Print_Area" localSheetId="6">'A-7'!$A$1:$M$52</definedName>
    <definedName name="_xlnm.Print_Area" localSheetId="7">'A-8'!$A$1:$M$52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9" l="1"/>
  <c r="D18" i="9"/>
  <c r="D17" i="9"/>
  <c r="D15" i="9"/>
  <c r="D14" i="9"/>
  <c r="D13" i="9"/>
  <c r="D19" i="8" l="1"/>
  <c r="D18" i="8"/>
  <c r="D17" i="8"/>
  <c r="D14" i="8"/>
  <c r="D15" i="8"/>
  <c r="D13" i="8"/>
  <c r="H19" i="2"/>
  <c r="E14" i="2"/>
  <c r="H14" i="2"/>
  <c r="D17" i="3"/>
  <c r="D15" i="3" l="1"/>
  <c r="D16" i="3"/>
  <c r="D11" i="3"/>
  <c r="D12" i="3"/>
  <c r="D13" i="3"/>
  <c r="F17" i="2"/>
  <c r="E19" i="2" l="1"/>
  <c r="E17" i="2"/>
  <c r="F17" i="9"/>
  <c r="D14" i="18" l="1"/>
  <c r="D18" i="18"/>
  <c r="G19" i="10" l="1"/>
  <c r="G18" i="10"/>
  <c r="G17" i="10"/>
  <c r="G13" i="10"/>
  <c r="G14" i="10"/>
  <c r="G12" i="10"/>
  <c r="E19" i="10"/>
  <c r="E18" i="10"/>
  <c r="E17" i="10"/>
  <c r="E13" i="10"/>
  <c r="E14" i="10"/>
  <c r="E12" i="10"/>
  <c r="T15" i="4" l="1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1" i="4"/>
  <c r="U21" i="4" s="1"/>
  <c r="T22" i="4"/>
  <c r="U22" i="4" s="1"/>
  <c r="T23" i="4"/>
  <c r="U23" i="4" s="1"/>
  <c r="T24" i="4"/>
  <c r="U24" i="4" s="1"/>
  <c r="T25" i="4"/>
  <c r="U25" i="4" s="1"/>
  <c r="T26" i="4"/>
  <c r="U26" i="4" s="1"/>
  <c r="T27" i="4"/>
  <c r="U27" i="4" s="1"/>
  <c r="T28" i="4"/>
  <c r="U28" i="4" s="1"/>
  <c r="T29" i="4"/>
  <c r="U29" i="4" s="1"/>
  <c r="T30" i="4"/>
  <c r="U30" i="4" s="1"/>
  <c r="T31" i="4"/>
  <c r="U31" i="4" s="1"/>
  <c r="T32" i="4"/>
  <c r="U32" i="4" s="1"/>
  <c r="T33" i="4"/>
  <c r="U33" i="4" s="1"/>
  <c r="T34" i="4"/>
  <c r="U34" i="4" s="1"/>
  <c r="T35" i="4"/>
  <c r="U35" i="4" s="1"/>
  <c r="T36" i="4"/>
  <c r="U36" i="4" s="1"/>
  <c r="T37" i="4"/>
  <c r="U37" i="4" s="1"/>
  <c r="O15" i="4"/>
  <c r="P15" i="4" s="1"/>
  <c r="Q15" i="4"/>
  <c r="R15" i="4" s="1"/>
  <c r="O16" i="4"/>
  <c r="P16" i="4" s="1"/>
  <c r="Q16" i="4"/>
  <c r="R16" i="4" s="1"/>
  <c r="Q17" i="4"/>
  <c r="R17" i="4" s="1"/>
  <c r="O18" i="4"/>
  <c r="P18" i="4" s="1"/>
  <c r="Q18" i="4"/>
  <c r="R18" i="4" s="1"/>
  <c r="O19" i="4"/>
  <c r="P19" i="4" s="1"/>
  <c r="Q19" i="4"/>
  <c r="R19" i="4" s="1"/>
  <c r="O20" i="4"/>
  <c r="P20" i="4" s="1"/>
  <c r="Q20" i="4"/>
  <c r="R20" i="4" s="1"/>
  <c r="O21" i="4"/>
  <c r="P21" i="4" s="1"/>
  <c r="Q21" i="4"/>
  <c r="R21" i="4" s="1"/>
  <c r="O22" i="4"/>
  <c r="P22" i="4" s="1"/>
  <c r="Q22" i="4"/>
  <c r="R22" i="4" s="1"/>
  <c r="O23" i="4"/>
  <c r="P23" i="4" s="1"/>
  <c r="Q23" i="4"/>
  <c r="R23" i="4" s="1"/>
  <c r="O24" i="4"/>
  <c r="P24" i="4" s="1"/>
  <c r="Q24" i="4"/>
  <c r="R24" i="4" s="1"/>
  <c r="O25" i="4"/>
  <c r="P25" i="4" s="1"/>
  <c r="Q25" i="4"/>
  <c r="R25" i="4" s="1"/>
  <c r="O26" i="4"/>
  <c r="P26" i="4" s="1"/>
  <c r="Q26" i="4"/>
  <c r="R26" i="4" s="1"/>
  <c r="O27" i="4"/>
  <c r="P27" i="4" s="1"/>
  <c r="Q27" i="4"/>
  <c r="R27" i="4" s="1"/>
  <c r="O28" i="4"/>
  <c r="P28" i="4" s="1"/>
  <c r="Q28" i="4"/>
  <c r="R28" i="4" s="1"/>
  <c r="O29" i="4"/>
  <c r="P29" i="4" s="1"/>
  <c r="Q29" i="4"/>
  <c r="R29" i="4" s="1"/>
  <c r="O30" i="4"/>
  <c r="P30" i="4" s="1"/>
  <c r="Q30" i="4"/>
  <c r="R30" i="4" s="1"/>
  <c r="O31" i="4"/>
  <c r="P31" i="4" s="1"/>
  <c r="Q31" i="4"/>
  <c r="R31" i="4" s="1"/>
  <c r="O32" i="4"/>
  <c r="P32" i="4" s="1"/>
  <c r="Q32" i="4"/>
  <c r="R32" i="4" s="1"/>
  <c r="O33" i="4"/>
  <c r="P33" i="4" s="1"/>
  <c r="Q33" i="4"/>
  <c r="R33" i="4" s="1"/>
  <c r="O34" i="4"/>
  <c r="P34" i="4" s="1"/>
  <c r="Q34" i="4"/>
  <c r="R34" i="4" s="1"/>
  <c r="O35" i="4"/>
  <c r="P35" i="4" s="1"/>
  <c r="Q35" i="4"/>
  <c r="R35" i="4" s="1"/>
  <c r="O36" i="4"/>
  <c r="P36" i="4" s="1"/>
  <c r="Q36" i="4"/>
  <c r="R36" i="4" s="1"/>
  <c r="O37" i="4"/>
  <c r="P37" i="4" s="1"/>
  <c r="Q37" i="4"/>
  <c r="R37" i="4" s="1"/>
  <c r="J15" i="4"/>
  <c r="K15" i="4" s="1"/>
  <c r="L15" i="4"/>
  <c r="M15" i="4" s="1"/>
  <c r="J16" i="4"/>
  <c r="K16" i="4" s="1"/>
  <c r="L16" i="4"/>
  <c r="M16" i="4" s="1"/>
  <c r="L17" i="4"/>
  <c r="M17" i="4" s="1"/>
  <c r="J18" i="4"/>
  <c r="K18" i="4" s="1"/>
  <c r="L18" i="4"/>
  <c r="M18" i="4" s="1"/>
  <c r="J19" i="4"/>
  <c r="K19" i="4" s="1"/>
  <c r="L19" i="4"/>
  <c r="M19" i="4" s="1"/>
  <c r="J20" i="4"/>
  <c r="K20" i="4" s="1"/>
  <c r="L20" i="4"/>
  <c r="M20" i="4" s="1"/>
  <c r="J21" i="4"/>
  <c r="K21" i="4" s="1"/>
  <c r="L21" i="4"/>
  <c r="M21" i="4" s="1"/>
  <c r="J22" i="4"/>
  <c r="K22" i="4" s="1"/>
  <c r="L22" i="4"/>
  <c r="M22" i="4" s="1"/>
  <c r="J23" i="4"/>
  <c r="K23" i="4" s="1"/>
  <c r="L23" i="4"/>
  <c r="M23" i="4" s="1"/>
  <c r="J24" i="4"/>
  <c r="K24" i="4" s="1"/>
  <c r="L24" i="4"/>
  <c r="M24" i="4" s="1"/>
  <c r="J25" i="4"/>
  <c r="K25" i="4" s="1"/>
  <c r="L25" i="4"/>
  <c r="M25" i="4" s="1"/>
  <c r="J26" i="4"/>
  <c r="K26" i="4" s="1"/>
  <c r="L26" i="4"/>
  <c r="M26" i="4" s="1"/>
  <c r="J27" i="4"/>
  <c r="K27" i="4" s="1"/>
  <c r="L27" i="4"/>
  <c r="M27" i="4" s="1"/>
  <c r="J28" i="4"/>
  <c r="K28" i="4" s="1"/>
  <c r="L28" i="4"/>
  <c r="M28" i="4" s="1"/>
  <c r="J29" i="4"/>
  <c r="K29" i="4" s="1"/>
  <c r="L29" i="4"/>
  <c r="M29" i="4" s="1"/>
  <c r="J30" i="4"/>
  <c r="K30" i="4" s="1"/>
  <c r="L30" i="4"/>
  <c r="M30" i="4" s="1"/>
  <c r="J31" i="4"/>
  <c r="K31" i="4" s="1"/>
  <c r="L31" i="4"/>
  <c r="M31" i="4" s="1"/>
  <c r="J32" i="4"/>
  <c r="K32" i="4" s="1"/>
  <c r="L32" i="4"/>
  <c r="M32" i="4" s="1"/>
  <c r="J33" i="4"/>
  <c r="K33" i="4" s="1"/>
  <c r="L33" i="4"/>
  <c r="M33" i="4" s="1"/>
  <c r="J34" i="4"/>
  <c r="K34" i="4" s="1"/>
  <c r="L34" i="4"/>
  <c r="M34" i="4" s="1"/>
  <c r="J35" i="4"/>
  <c r="K35" i="4" s="1"/>
  <c r="L35" i="4"/>
  <c r="M35" i="4" s="1"/>
  <c r="J36" i="4"/>
  <c r="K36" i="4" s="1"/>
  <c r="L36" i="4"/>
  <c r="M36" i="4" s="1"/>
  <c r="J37" i="4"/>
  <c r="K37" i="4" s="1"/>
  <c r="L37" i="4"/>
  <c r="M37" i="4" s="1"/>
  <c r="J14" i="4"/>
  <c r="K14" i="4" s="1"/>
  <c r="L14" i="4"/>
  <c r="M14" i="4" s="1"/>
  <c r="K38" i="4" l="1"/>
  <c r="M38" i="4"/>
  <c r="G37" i="4"/>
  <c r="H37" i="4" s="1"/>
  <c r="G15" i="4"/>
  <c r="G16" i="4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H34" i="4" s="1"/>
  <c r="G35" i="4"/>
  <c r="H35" i="4" s="1"/>
  <c r="G36" i="4"/>
  <c r="H36" i="4" s="1"/>
  <c r="E15" i="4"/>
  <c r="E16" i="4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F36" i="4" s="1"/>
  <c r="E37" i="4"/>
  <c r="F37" i="4" s="1"/>
  <c r="E14" i="4"/>
  <c r="D19" i="18" l="1"/>
  <c r="D17" i="18"/>
  <c r="D15" i="18"/>
  <c r="D13" i="18"/>
  <c r="L19" i="18"/>
  <c r="M19" i="18" s="1"/>
  <c r="K19" i="18"/>
  <c r="I19" i="18"/>
  <c r="G19" i="18"/>
  <c r="M18" i="18"/>
  <c r="K18" i="18"/>
  <c r="H18" i="18"/>
  <c r="I18" i="18" s="1"/>
  <c r="G18" i="18"/>
  <c r="L17" i="18"/>
  <c r="M17" i="18" s="1"/>
  <c r="K17" i="18"/>
  <c r="I17" i="18"/>
  <c r="G17" i="18"/>
  <c r="L15" i="18"/>
  <c r="M15" i="18" s="1"/>
  <c r="J15" i="18"/>
  <c r="K15" i="18" s="1"/>
  <c r="K21" i="18" s="1"/>
  <c r="I15" i="18"/>
  <c r="G15" i="18"/>
  <c r="M14" i="18"/>
  <c r="K14" i="18"/>
  <c r="H14" i="18"/>
  <c r="I14" i="18" s="1"/>
  <c r="G14" i="18"/>
  <c r="M13" i="18"/>
  <c r="K13" i="18"/>
  <c r="I13" i="18"/>
  <c r="F13" i="18"/>
  <c r="G13" i="18" s="1"/>
  <c r="M21" i="18" l="1"/>
  <c r="M22" i="18"/>
  <c r="G22" i="18"/>
  <c r="I22" i="18"/>
  <c r="K22" i="18"/>
  <c r="K23" i="18" s="1"/>
  <c r="I21" i="18"/>
  <c r="G16" i="18"/>
  <c r="G21" i="18"/>
  <c r="M20" i="18"/>
  <c r="I16" i="18"/>
  <c r="I20" i="18"/>
  <c r="K16" i="18"/>
  <c r="M16" i="18"/>
  <c r="M23" i="18" l="1"/>
  <c r="I23" i="18"/>
  <c r="G23" i="18"/>
  <c r="G24" i="18"/>
  <c r="G25" i="18" s="1"/>
  <c r="M24" i="18"/>
  <c r="M25" i="18" s="1"/>
  <c r="K24" i="18"/>
  <c r="K25" i="18" s="1"/>
  <c r="I24" i="18"/>
  <c r="I25" i="18" s="1"/>
  <c r="D19" i="6"/>
  <c r="D18" i="6"/>
  <c r="D17" i="6"/>
  <c r="D14" i="6"/>
  <c r="D13" i="6"/>
  <c r="D12" i="6"/>
  <c r="D17" i="5"/>
  <c r="D16" i="5"/>
  <c r="D15" i="5"/>
  <c r="D13" i="5"/>
  <c r="D12" i="5"/>
  <c r="D11" i="5"/>
  <c r="U23" i="6" l="1"/>
  <c r="W23" i="6" s="1"/>
  <c r="D11" i="17"/>
  <c r="D12" i="17"/>
  <c r="D13" i="17"/>
  <c r="D15" i="17"/>
  <c r="D16" i="17"/>
  <c r="D17" i="17"/>
  <c r="F11" i="12" l="1"/>
  <c r="H11" i="12"/>
  <c r="M18" i="8" l="1"/>
  <c r="M14" i="8"/>
  <c r="M13" i="8"/>
  <c r="U17" i="17" l="1"/>
  <c r="V17" i="17" s="1"/>
  <c r="V20" i="17" s="1"/>
  <c r="R17" i="17"/>
  <c r="S17" i="17" s="1"/>
  <c r="S20" i="17" s="1"/>
  <c r="P17" i="17"/>
  <c r="Q17" i="17" s="1"/>
  <c r="M17" i="17"/>
  <c r="N17" i="17" s="1"/>
  <c r="N20" i="17" s="1"/>
  <c r="K17" i="17"/>
  <c r="L17" i="17" s="1"/>
  <c r="H17" i="17"/>
  <c r="I17" i="17" s="1"/>
  <c r="I20" i="17" s="1"/>
  <c r="F17" i="17"/>
  <c r="G17" i="17" s="1"/>
  <c r="U16" i="17"/>
  <c r="V16" i="17" s="1"/>
  <c r="R16" i="17"/>
  <c r="S16" i="17" s="1"/>
  <c r="P16" i="17"/>
  <c r="Q16" i="17" s="1"/>
  <c r="M16" i="17"/>
  <c r="N16" i="17" s="1"/>
  <c r="K16" i="17"/>
  <c r="L16" i="17" s="1"/>
  <c r="H16" i="17"/>
  <c r="I16" i="17" s="1"/>
  <c r="F16" i="17"/>
  <c r="G16" i="17" s="1"/>
  <c r="U15" i="17"/>
  <c r="V15" i="17" s="1"/>
  <c r="R15" i="17"/>
  <c r="S15" i="17" s="1"/>
  <c r="P15" i="17"/>
  <c r="Q15" i="17" s="1"/>
  <c r="M15" i="17"/>
  <c r="N15" i="17" s="1"/>
  <c r="K15" i="17"/>
  <c r="L15" i="17" s="1"/>
  <c r="H15" i="17"/>
  <c r="I15" i="17" s="1"/>
  <c r="F15" i="17"/>
  <c r="G15" i="17" s="1"/>
  <c r="U13" i="17"/>
  <c r="V13" i="17" s="1"/>
  <c r="R13" i="17"/>
  <c r="S13" i="17" s="1"/>
  <c r="P13" i="17"/>
  <c r="Q13" i="17" s="1"/>
  <c r="M13" i="17"/>
  <c r="N13" i="17" s="1"/>
  <c r="K13" i="17"/>
  <c r="L13" i="17" s="1"/>
  <c r="H13" i="17"/>
  <c r="I13" i="17" s="1"/>
  <c r="F13" i="17"/>
  <c r="G13" i="17" s="1"/>
  <c r="U12" i="17"/>
  <c r="V12" i="17" s="1"/>
  <c r="R12" i="17"/>
  <c r="S12" i="17" s="1"/>
  <c r="P12" i="17"/>
  <c r="Q12" i="17" s="1"/>
  <c r="M12" i="17"/>
  <c r="N12" i="17" s="1"/>
  <c r="K12" i="17"/>
  <c r="L12" i="17" s="1"/>
  <c r="H12" i="17"/>
  <c r="I12" i="17" s="1"/>
  <c r="F12" i="17"/>
  <c r="G12" i="17" s="1"/>
  <c r="U11" i="17"/>
  <c r="V11" i="17" s="1"/>
  <c r="R11" i="17"/>
  <c r="S11" i="17" s="1"/>
  <c r="P11" i="17"/>
  <c r="Q11" i="17" s="1"/>
  <c r="M11" i="17"/>
  <c r="N11" i="17" s="1"/>
  <c r="K11" i="17"/>
  <c r="L11" i="17" s="1"/>
  <c r="H11" i="17"/>
  <c r="I11" i="17" s="1"/>
  <c r="F11" i="17"/>
  <c r="G11" i="17" s="1"/>
  <c r="N18" i="17" l="1"/>
  <c r="N19" i="17"/>
  <c r="N22" i="17" s="1"/>
  <c r="V19" i="17"/>
  <c r="I18" i="17"/>
  <c r="S19" i="17"/>
  <c r="I19" i="17"/>
  <c r="I22" i="17" s="1"/>
  <c r="I24" i="17" s="1"/>
  <c r="S18" i="17"/>
  <c r="V18" i="17"/>
  <c r="S14" i="17"/>
  <c r="V14" i="17"/>
  <c r="I14" i="17"/>
  <c r="L14" i="17"/>
  <c r="Q14" i="17"/>
  <c r="G14" i="17"/>
  <c r="G23" i="17" s="1"/>
  <c r="N14" i="17"/>
  <c r="Q18" i="17"/>
  <c r="G18" i="17"/>
  <c r="L18" i="17"/>
  <c r="S21" i="17" l="1"/>
  <c r="S22" i="17"/>
  <c r="S24" i="17" s="1"/>
  <c r="V22" i="17"/>
  <c r="V24" i="17" s="1"/>
  <c r="L23" i="17"/>
  <c r="Q23" i="17"/>
  <c r="V21" i="17"/>
  <c r="N24" i="17"/>
  <c r="N21" i="17"/>
  <c r="I21" i="17"/>
  <c r="L10" i="7" l="1"/>
  <c r="J10" i="7"/>
  <c r="G10" i="7"/>
  <c r="D10" i="7"/>
  <c r="L18" i="13"/>
  <c r="L16" i="13"/>
  <c r="L11" i="13"/>
  <c r="J13" i="13"/>
  <c r="H17" i="13"/>
  <c r="I17" i="13" s="1"/>
  <c r="H12" i="13"/>
  <c r="F16" i="13"/>
  <c r="N18" i="12"/>
  <c r="N16" i="12"/>
  <c r="N13" i="12"/>
  <c r="L13" i="12"/>
  <c r="J17" i="12"/>
  <c r="J12" i="12"/>
  <c r="F16" i="12"/>
  <c r="F13" i="12"/>
  <c r="E18" i="13"/>
  <c r="E17" i="13"/>
  <c r="E16" i="13"/>
  <c r="E12" i="13"/>
  <c r="E13" i="13"/>
  <c r="E11" i="13"/>
  <c r="K13" i="13" l="1"/>
  <c r="K14" i="13" s="1"/>
  <c r="K21" i="13" s="1"/>
  <c r="I12" i="13"/>
  <c r="I14" i="13" s="1"/>
  <c r="M18" i="13"/>
  <c r="M16" i="13"/>
  <c r="G16" i="13"/>
  <c r="G19" i="13" s="1"/>
  <c r="G21" i="13" s="1"/>
  <c r="I19" i="13"/>
  <c r="I20" i="13"/>
  <c r="M11" i="13"/>
  <c r="J12" i="10"/>
  <c r="K12" i="10" s="1"/>
  <c r="T19" i="10"/>
  <c r="T18" i="10"/>
  <c r="T17" i="10"/>
  <c r="T14" i="10"/>
  <c r="T13" i="10"/>
  <c r="T12" i="10"/>
  <c r="R19" i="10"/>
  <c r="R18" i="10"/>
  <c r="R17" i="10"/>
  <c r="R14" i="10"/>
  <c r="R13" i="10"/>
  <c r="R12" i="10"/>
  <c r="P19" i="10"/>
  <c r="Q19" i="10" s="1"/>
  <c r="P18" i="10"/>
  <c r="Q18" i="10" s="1"/>
  <c r="P17" i="10"/>
  <c r="P14" i="10"/>
  <c r="P13" i="10"/>
  <c r="Q13" i="10" s="1"/>
  <c r="P12" i="10"/>
  <c r="N19" i="10"/>
  <c r="N18" i="10"/>
  <c r="N17" i="10"/>
  <c r="N14" i="10"/>
  <c r="N13" i="10"/>
  <c r="N12" i="10"/>
  <c r="L19" i="10"/>
  <c r="M19" i="10" s="1"/>
  <c r="L18" i="10"/>
  <c r="M18" i="10" s="1"/>
  <c r="L17" i="10"/>
  <c r="L14" i="10"/>
  <c r="L13" i="10"/>
  <c r="M13" i="10" s="1"/>
  <c r="L12" i="10"/>
  <c r="J19" i="10"/>
  <c r="K19" i="10" s="1"/>
  <c r="J18" i="10"/>
  <c r="K18" i="10" s="1"/>
  <c r="J17" i="10"/>
  <c r="K17" i="10" s="1"/>
  <c r="J13" i="10"/>
  <c r="K13" i="10" s="1"/>
  <c r="J14" i="10"/>
  <c r="K14" i="10" s="1"/>
  <c r="H19" i="10"/>
  <c r="I19" i="10" s="1"/>
  <c r="H18" i="10"/>
  <c r="I18" i="10" s="1"/>
  <c r="H17" i="10"/>
  <c r="H14" i="10"/>
  <c r="H13" i="10"/>
  <c r="I13" i="10" s="1"/>
  <c r="H12" i="10"/>
  <c r="J15" i="9"/>
  <c r="L19" i="9"/>
  <c r="L17" i="9"/>
  <c r="L13" i="9"/>
  <c r="H18" i="9"/>
  <c r="H14" i="9"/>
  <c r="H18" i="8"/>
  <c r="L19" i="8"/>
  <c r="M19" i="8" s="1"/>
  <c r="L17" i="8"/>
  <c r="M17" i="8" s="1"/>
  <c r="L15" i="8"/>
  <c r="M15" i="8" s="1"/>
  <c r="M16" i="8" s="1"/>
  <c r="J15" i="8"/>
  <c r="H14" i="8"/>
  <c r="F13" i="8"/>
  <c r="V19" i="6"/>
  <c r="W19" i="6" s="1"/>
  <c r="V18" i="6"/>
  <c r="W18" i="6" s="1"/>
  <c r="V17" i="6"/>
  <c r="W17" i="6" s="1"/>
  <c r="R19" i="6"/>
  <c r="S19" i="6" s="1"/>
  <c r="P19" i="6"/>
  <c r="Q19" i="6" s="1"/>
  <c r="R18" i="6"/>
  <c r="S18" i="6" s="1"/>
  <c r="P18" i="6"/>
  <c r="Q18" i="6" s="1"/>
  <c r="R17" i="6"/>
  <c r="S17" i="6" s="1"/>
  <c r="P17" i="6"/>
  <c r="Q17" i="6" s="1"/>
  <c r="M19" i="6"/>
  <c r="N19" i="6" s="1"/>
  <c r="K19" i="6"/>
  <c r="L19" i="6" s="1"/>
  <c r="M18" i="6"/>
  <c r="N18" i="6" s="1"/>
  <c r="K18" i="6"/>
  <c r="L18" i="6" s="1"/>
  <c r="M17" i="6"/>
  <c r="N17" i="6" s="1"/>
  <c r="K17" i="6"/>
  <c r="L17" i="6" s="1"/>
  <c r="H19" i="6"/>
  <c r="I19" i="6" s="1"/>
  <c r="F19" i="6"/>
  <c r="G19" i="6" s="1"/>
  <c r="H18" i="6"/>
  <c r="I18" i="6" s="1"/>
  <c r="F18" i="6"/>
  <c r="G18" i="6" s="1"/>
  <c r="H17" i="6"/>
  <c r="I17" i="6" s="1"/>
  <c r="F17" i="6"/>
  <c r="G17" i="6" s="1"/>
  <c r="V14" i="6"/>
  <c r="W14" i="6" s="1"/>
  <c r="V13" i="6"/>
  <c r="W13" i="6" s="1"/>
  <c r="V12" i="6"/>
  <c r="W12" i="6" s="1"/>
  <c r="R14" i="6"/>
  <c r="S14" i="6" s="1"/>
  <c r="P14" i="6"/>
  <c r="Q14" i="6" s="1"/>
  <c r="R13" i="6"/>
  <c r="S13" i="6" s="1"/>
  <c r="P13" i="6"/>
  <c r="Q13" i="6" s="1"/>
  <c r="R12" i="6"/>
  <c r="S12" i="6" s="1"/>
  <c r="P12" i="6"/>
  <c r="Q12" i="6" s="1"/>
  <c r="M14" i="6"/>
  <c r="N14" i="6" s="1"/>
  <c r="K14" i="6"/>
  <c r="L14" i="6" s="1"/>
  <c r="M13" i="6"/>
  <c r="N13" i="6" s="1"/>
  <c r="K13" i="6"/>
  <c r="L13" i="6" s="1"/>
  <c r="M12" i="6"/>
  <c r="N12" i="6" s="1"/>
  <c r="K12" i="6"/>
  <c r="L12" i="6" s="1"/>
  <c r="H14" i="6"/>
  <c r="I14" i="6" s="1"/>
  <c r="F14" i="6"/>
  <c r="G14" i="6" s="1"/>
  <c r="H13" i="6"/>
  <c r="I13" i="6" s="1"/>
  <c r="F13" i="6"/>
  <c r="G13" i="6" s="1"/>
  <c r="H12" i="6"/>
  <c r="I12" i="6" s="1"/>
  <c r="F12" i="6"/>
  <c r="G12" i="6" s="1"/>
  <c r="V17" i="5"/>
  <c r="W17" i="5" s="1"/>
  <c r="V16" i="5"/>
  <c r="W16" i="5" s="1"/>
  <c r="V15" i="5"/>
  <c r="W15" i="5" s="1"/>
  <c r="V13" i="5"/>
  <c r="W13" i="5" s="1"/>
  <c r="V12" i="5"/>
  <c r="W12" i="5" s="1"/>
  <c r="V11" i="5"/>
  <c r="W11" i="5" s="1"/>
  <c r="R17" i="5"/>
  <c r="S17" i="5" s="1"/>
  <c r="P17" i="5"/>
  <c r="Q17" i="5" s="1"/>
  <c r="R16" i="5"/>
  <c r="S16" i="5" s="1"/>
  <c r="P16" i="5"/>
  <c r="Q16" i="5" s="1"/>
  <c r="R15" i="5"/>
  <c r="S15" i="5" s="1"/>
  <c r="P15" i="5"/>
  <c r="Q15" i="5" s="1"/>
  <c r="R13" i="5"/>
  <c r="S13" i="5" s="1"/>
  <c r="P13" i="5"/>
  <c r="Q13" i="5" s="1"/>
  <c r="R12" i="5"/>
  <c r="S12" i="5" s="1"/>
  <c r="P12" i="5"/>
  <c r="Q12" i="5" s="1"/>
  <c r="R11" i="5"/>
  <c r="S11" i="5" s="1"/>
  <c r="P11" i="5"/>
  <c r="Q11" i="5" s="1"/>
  <c r="M17" i="5"/>
  <c r="N17" i="5" s="1"/>
  <c r="K17" i="5"/>
  <c r="L17" i="5" s="1"/>
  <c r="M16" i="5"/>
  <c r="N16" i="5" s="1"/>
  <c r="K16" i="5"/>
  <c r="L16" i="5" s="1"/>
  <c r="M15" i="5"/>
  <c r="N15" i="5" s="1"/>
  <c r="K15" i="5"/>
  <c r="L15" i="5" s="1"/>
  <c r="M13" i="5"/>
  <c r="N13" i="5" s="1"/>
  <c r="K13" i="5"/>
  <c r="L13" i="5" s="1"/>
  <c r="M12" i="5"/>
  <c r="N12" i="5" s="1"/>
  <c r="K12" i="5"/>
  <c r="L12" i="5" s="1"/>
  <c r="M11" i="5"/>
  <c r="N11" i="5" s="1"/>
  <c r="K11" i="5"/>
  <c r="L11" i="5" s="1"/>
  <c r="H17" i="5"/>
  <c r="I17" i="5" s="1"/>
  <c r="F17" i="5"/>
  <c r="G17" i="5" s="1"/>
  <c r="H16" i="5"/>
  <c r="I16" i="5" s="1"/>
  <c r="F16" i="5"/>
  <c r="G16" i="5" s="1"/>
  <c r="H15" i="5"/>
  <c r="I15" i="5" s="1"/>
  <c r="F15" i="5"/>
  <c r="G15" i="5" s="1"/>
  <c r="H13" i="5"/>
  <c r="I13" i="5" s="1"/>
  <c r="F13" i="5"/>
  <c r="G13" i="5" s="1"/>
  <c r="H12" i="5"/>
  <c r="I12" i="5" s="1"/>
  <c r="F12" i="5"/>
  <c r="G12" i="5" s="1"/>
  <c r="H11" i="5"/>
  <c r="I11" i="5" s="1"/>
  <c r="F11" i="5"/>
  <c r="G11" i="5" s="1"/>
  <c r="H15" i="4"/>
  <c r="G14" i="4"/>
  <c r="H14" i="4" s="1"/>
  <c r="G12" i="4"/>
  <c r="H12" i="4" s="1"/>
  <c r="G11" i="4"/>
  <c r="H11" i="4" s="1"/>
  <c r="T14" i="4"/>
  <c r="U14" i="4" s="1"/>
  <c r="U38" i="4" s="1"/>
  <c r="T12" i="4"/>
  <c r="U12" i="4" s="1"/>
  <c r="T11" i="4"/>
  <c r="U11" i="4" s="1"/>
  <c r="Q14" i="4"/>
  <c r="R14" i="4" s="1"/>
  <c r="R38" i="4" s="1"/>
  <c r="Q12" i="4"/>
  <c r="R12" i="4" s="1"/>
  <c r="Q11" i="4"/>
  <c r="R11" i="4" s="1"/>
  <c r="O14" i="4"/>
  <c r="P14" i="4" s="1"/>
  <c r="P38" i="4" s="1"/>
  <c r="O12" i="4"/>
  <c r="P12" i="4" s="1"/>
  <c r="O11" i="4"/>
  <c r="P11" i="4" s="1"/>
  <c r="L12" i="4"/>
  <c r="M12" i="4" s="1"/>
  <c r="L11" i="4"/>
  <c r="M11" i="4" s="1"/>
  <c r="J12" i="4"/>
  <c r="K12" i="4" s="1"/>
  <c r="J11" i="4"/>
  <c r="K11" i="4" s="1"/>
  <c r="F15" i="4"/>
  <c r="F14" i="4"/>
  <c r="F16" i="4"/>
  <c r="H16" i="4"/>
  <c r="E12" i="4"/>
  <c r="F12" i="4" s="1"/>
  <c r="E11" i="4"/>
  <c r="F11" i="4" s="1"/>
  <c r="H17" i="3"/>
  <c r="I17" i="3" s="1"/>
  <c r="H16" i="3"/>
  <c r="I16" i="3" s="1"/>
  <c r="H15" i="3"/>
  <c r="I15" i="3" s="1"/>
  <c r="K17" i="3"/>
  <c r="L17" i="3" s="1"/>
  <c r="K16" i="3"/>
  <c r="L16" i="3" s="1"/>
  <c r="K15" i="3"/>
  <c r="L15" i="3" s="1"/>
  <c r="M17" i="3"/>
  <c r="M16" i="3"/>
  <c r="M15" i="3"/>
  <c r="P17" i="3"/>
  <c r="Q17" i="3" s="1"/>
  <c r="P16" i="3"/>
  <c r="Q16" i="3" s="1"/>
  <c r="P15" i="3"/>
  <c r="Q15" i="3" s="1"/>
  <c r="R17" i="3"/>
  <c r="S17" i="3" s="1"/>
  <c r="R16" i="3"/>
  <c r="S16" i="3" s="1"/>
  <c r="R15" i="3"/>
  <c r="S15" i="3" s="1"/>
  <c r="V17" i="3"/>
  <c r="W17" i="3" s="1"/>
  <c r="V16" i="3"/>
  <c r="W16" i="3" s="1"/>
  <c r="V15" i="3"/>
  <c r="W15" i="3" s="1"/>
  <c r="V12" i="3"/>
  <c r="W12" i="3" s="1"/>
  <c r="V13" i="3"/>
  <c r="W13" i="3" s="1"/>
  <c r="V11" i="3"/>
  <c r="W11" i="3" s="1"/>
  <c r="R12" i="3"/>
  <c r="S12" i="3" s="1"/>
  <c r="R13" i="3"/>
  <c r="S13" i="3" s="1"/>
  <c r="R11" i="3"/>
  <c r="S11" i="3" s="1"/>
  <c r="P12" i="3"/>
  <c r="Q12" i="3" s="1"/>
  <c r="P13" i="3"/>
  <c r="Q13" i="3" s="1"/>
  <c r="P11" i="3"/>
  <c r="Q11" i="3" s="1"/>
  <c r="M12" i="3"/>
  <c r="N12" i="3" s="1"/>
  <c r="M13" i="3"/>
  <c r="N13" i="3" s="1"/>
  <c r="M11" i="3"/>
  <c r="N11" i="3" s="1"/>
  <c r="H12" i="3"/>
  <c r="I12" i="3" s="1"/>
  <c r="H13" i="3"/>
  <c r="I13" i="3" s="1"/>
  <c r="H11" i="3"/>
  <c r="I11" i="3" s="1"/>
  <c r="K12" i="3"/>
  <c r="L12" i="3" s="1"/>
  <c r="K13" i="3"/>
  <c r="L13" i="3" s="1"/>
  <c r="K11" i="3"/>
  <c r="L11" i="3" s="1"/>
  <c r="F17" i="3"/>
  <c r="G17" i="3" s="1"/>
  <c r="F16" i="3"/>
  <c r="G16" i="3" s="1"/>
  <c r="F15" i="3"/>
  <c r="G15" i="3" s="1"/>
  <c r="F13" i="3"/>
  <c r="G13" i="3" s="1"/>
  <c r="F12" i="3"/>
  <c r="G12" i="3" s="1"/>
  <c r="F11" i="3"/>
  <c r="G11" i="3" s="1"/>
  <c r="G20" i="13" l="1"/>
  <c r="G22" i="13" s="1"/>
  <c r="K15" i="13"/>
  <c r="K22" i="13" s="1"/>
  <c r="M19" i="13"/>
  <c r="I15" i="13"/>
  <c r="I22" i="13" s="1"/>
  <c r="G14" i="5"/>
  <c r="M20" i="13"/>
  <c r="K15" i="10"/>
  <c r="K16" i="10"/>
  <c r="D12" i="15" s="1"/>
  <c r="K20" i="10"/>
  <c r="D14" i="15" s="1"/>
  <c r="K21" i="10"/>
  <c r="D15" i="15" s="1"/>
  <c r="S19" i="3"/>
  <c r="S20" i="3" s="1"/>
  <c r="Q22" i="3" s="1"/>
  <c r="S22" i="3" s="1"/>
  <c r="W19" i="3"/>
  <c r="W20" i="3" s="1"/>
  <c r="U22" i="3" s="1"/>
  <c r="W22" i="3" s="1"/>
  <c r="L19" i="3"/>
  <c r="L20" i="3" s="1"/>
  <c r="I19" i="3"/>
  <c r="I20" i="3" s="1"/>
  <c r="Q19" i="3"/>
  <c r="Q20" i="3" s="1"/>
  <c r="G19" i="3"/>
  <c r="G20" i="3" s="1"/>
  <c r="F38" i="4"/>
  <c r="H38" i="4"/>
  <c r="I21" i="13"/>
  <c r="M15" i="13"/>
  <c r="M14" i="13"/>
  <c r="G15" i="6"/>
  <c r="W20" i="6"/>
  <c r="N20" i="6"/>
  <c r="L20" i="6"/>
  <c r="I20" i="6"/>
  <c r="G20" i="6"/>
  <c r="Q20" i="6"/>
  <c r="S20" i="6"/>
  <c r="W15" i="6"/>
  <c r="I15" i="6"/>
  <c r="Q15" i="6"/>
  <c r="L15" i="6"/>
  <c r="N15" i="6"/>
  <c r="S15" i="6"/>
  <c r="M21" i="13" l="1"/>
  <c r="M22" i="13"/>
  <c r="K23" i="10"/>
  <c r="K22" i="10"/>
  <c r="D24" i="15"/>
  <c r="G22" i="3"/>
  <c r="I22" i="3" s="1"/>
  <c r="D11" i="15"/>
  <c r="D23" i="15" s="1"/>
  <c r="G21" i="6"/>
  <c r="G22" i="6" s="1"/>
  <c r="N21" i="6"/>
  <c r="N22" i="6" s="1"/>
  <c r="L23" i="6" s="1"/>
  <c r="N23" i="6" s="1"/>
  <c r="W21" i="6"/>
  <c r="W22" i="6" s="1"/>
  <c r="I21" i="6"/>
  <c r="I22" i="6" s="1"/>
  <c r="G23" i="6" s="1"/>
  <c r="I23" i="6" s="1"/>
  <c r="Q21" i="6"/>
  <c r="Q22" i="6" s="1"/>
  <c r="H12" i="7" s="1"/>
  <c r="L21" i="6"/>
  <c r="L22" i="6" s="1"/>
  <c r="S21" i="6"/>
  <c r="S22" i="6" s="1"/>
  <c r="Q23" i="6" s="1"/>
  <c r="S23" i="6" s="1"/>
  <c r="C10" i="7" l="1"/>
  <c r="F12" i="7"/>
  <c r="C12" i="7"/>
  <c r="F10" i="11"/>
  <c r="K12" i="7"/>
  <c r="K10" i="11"/>
  <c r="H10" i="11"/>
  <c r="C10" i="11"/>
  <c r="B12" i="7"/>
  <c r="B10" i="11"/>
  <c r="E12" i="7"/>
  <c r="E10" i="11"/>
  <c r="I12" i="7"/>
  <c r="I10" i="11"/>
  <c r="Q12" i="10" l="1"/>
  <c r="S12" i="10"/>
  <c r="O12" i="10"/>
  <c r="M12" i="10"/>
  <c r="I12" i="10"/>
  <c r="E18" i="12"/>
  <c r="O18" i="12" s="1"/>
  <c r="E12" i="12"/>
  <c r="K12" i="12" s="1"/>
  <c r="E13" i="12"/>
  <c r="M13" i="12" s="1"/>
  <c r="E16" i="12"/>
  <c r="E17" i="12"/>
  <c r="E11" i="12"/>
  <c r="U13" i="10"/>
  <c r="U14" i="10"/>
  <c r="U17" i="10"/>
  <c r="U18" i="10"/>
  <c r="U19" i="10"/>
  <c r="U12" i="10"/>
  <c r="M13" i="9"/>
  <c r="M19" i="9"/>
  <c r="M18" i="9"/>
  <c r="M17" i="9"/>
  <c r="I19" i="9"/>
  <c r="I18" i="9"/>
  <c r="I17" i="9"/>
  <c r="G19" i="9"/>
  <c r="G18" i="9"/>
  <c r="G17" i="9"/>
  <c r="M15" i="9"/>
  <c r="M14" i="9"/>
  <c r="K15" i="9"/>
  <c r="K14" i="9"/>
  <c r="K13" i="9"/>
  <c r="I15" i="9"/>
  <c r="I14" i="9"/>
  <c r="I13" i="9"/>
  <c r="G15" i="9"/>
  <c r="G14" i="9"/>
  <c r="G13" i="9"/>
  <c r="K19" i="8"/>
  <c r="K18" i="8"/>
  <c r="K17" i="8"/>
  <c r="I19" i="8"/>
  <c r="I18" i="8"/>
  <c r="I17" i="8"/>
  <c r="G19" i="8"/>
  <c r="G18" i="8"/>
  <c r="G17" i="8"/>
  <c r="K15" i="8"/>
  <c r="K14" i="8"/>
  <c r="K13" i="8"/>
  <c r="I15" i="8"/>
  <c r="I14" i="8"/>
  <c r="I13" i="8"/>
  <c r="G14" i="8"/>
  <c r="G15" i="8"/>
  <c r="G13" i="8"/>
  <c r="S18" i="5"/>
  <c r="Q18" i="5"/>
  <c r="N18" i="5"/>
  <c r="L18" i="5"/>
  <c r="G18" i="5"/>
  <c r="U13" i="4"/>
  <c r="R13" i="4"/>
  <c r="M13" i="4"/>
  <c r="H13" i="4"/>
  <c r="N17" i="3"/>
  <c r="N16" i="3"/>
  <c r="N15" i="3"/>
  <c r="H15" i="2"/>
  <c r="H18" i="2"/>
  <c r="H17" i="2"/>
  <c r="G19" i="2"/>
  <c r="G17" i="2"/>
  <c r="F18" i="2"/>
  <c r="G18" i="2"/>
  <c r="F19" i="2"/>
  <c r="E18" i="2"/>
  <c r="H16" i="2"/>
  <c r="G15" i="2"/>
  <c r="G16" i="2"/>
  <c r="G14" i="2"/>
  <c r="F15" i="2"/>
  <c r="F16" i="2"/>
  <c r="F14" i="2"/>
  <c r="E15" i="2"/>
  <c r="E16" i="2"/>
  <c r="K11" i="12" l="1"/>
  <c r="G11" i="12"/>
  <c r="O17" i="12"/>
  <c r="K17" i="12"/>
  <c r="M16" i="12"/>
  <c r="G16" i="12"/>
  <c r="G20" i="9"/>
  <c r="G21" i="9" s="1"/>
  <c r="G22" i="9" s="1"/>
  <c r="G23" i="9" s="1"/>
  <c r="G24" i="9" s="1"/>
  <c r="N19" i="3"/>
  <c r="N20" i="3" s="1"/>
  <c r="L22" i="3" s="1"/>
  <c r="N22" i="3" s="1"/>
  <c r="U20" i="10"/>
  <c r="I14" i="15" s="1"/>
  <c r="U21" i="10"/>
  <c r="I15" i="15" s="1"/>
  <c r="U16" i="10"/>
  <c r="U15" i="10"/>
  <c r="S18" i="10"/>
  <c r="O18" i="10"/>
  <c r="Q17" i="10"/>
  <c r="Q20" i="10" s="1"/>
  <c r="G13" i="15" s="1"/>
  <c r="S17" i="10"/>
  <c r="M17" i="10"/>
  <c r="M20" i="10" s="1"/>
  <c r="E13" i="15" s="1"/>
  <c r="I17" i="10"/>
  <c r="O17" i="10"/>
  <c r="M14" i="10"/>
  <c r="M15" i="10" s="1"/>
  <c r="O14" i="10"/>
  <c r="S14" i="10"/>
  <c r="I14" i="10"/>
  <c r="I15" i="10" s="1"/>
  <c r="Q14" i="10"/>
  <c r="Q15" i="10" s="1"/>
  <c r="Q22" i="10" s="1"/>
  <c r="O13" i="10"/>
  <c r="S13" i="10"/>
  <c r="O19" i="10"/>
  <c r="S19" i="10"/>
  <c r="I16" i="9"/>
  <c r="K16" i="9"/>
  <c r="K21" i="9" s="1"/>
  <c r="K22" i="9" s="1"/>
  <c r="K23" i="9" s="1"/>
  <c r="K24" i="9" s="1"/>
  <c r="M20" i="9"/>
  <c r="I20" i="9"/>
  <c r="K16" i="8"/>
  <c r="K21" i="8" s="1"/>
  <c r="I20" i="8"/>
  <c r="M20" i="8"/>
  <c r="W18" i="5"/>
  <c r="I18" i="5"/>
  <c r="G12" i="12"/>
  <c r="I11" i="12"/>
  <c r="I12" i="12"/>
  <c r="O11" i="12"/>
  <c r="I16" i="12"/>
  <c r="K16" i="12"/>
  <c r="M12" i="12"/>
  <c r="K13" i="12"/>
  <c r="G17" i="12"/>
  <c r="G13" i="12"/>
  <c r="M17" i="12"/>
  <c r="I13" i="12"/>
  <c r="O12" i="12"/>
  <c r="I17" i="12"/>
  <c r="M11" i="12"/>
  <c r="O13" i="12"/>
  <c r="I18" i="12"/>
  <c r="O16" i="12"/>
  <c r="O19" i="12" s="1"/>
  <c r="M18" i="12"/>
  <c r="G18" i="12"/>
  <c r="K18" i="12"/>
  <c r="M16" i="9"/>
  <c r="I16" i="8"/>
  <c r="G16" i="8"/>
  <c r="S14" i="5"/>
  <c r="I14" i="5"/>
  <c r="D11" i="7" s="1"/>
  <c r="N14" i="5"/>
  <c r="L14" i="5"/>
  <c r="Q14" i="5"/>
  <c r="W14" i="5"/>
  <c r="L11" i="7" s="1"/>
  <c r="H10" i="7"/>
  <c r="K14" i="12" l="1"/>
  <c r="M15" i="12"/>
  <c r="M22" i="12" s="1"/>
  <c r="K15" i="12"/>
  <c r="K19" i="12"/>
  <c r="K20" i="12"/>
  <c r="G19" i="12"/>
  <c r="M14" i="12"/>
  <c r="M21" i="12" s="1"/>
  <c r="U22" i="10"/>
  <c r="I20" i="10"/>
  <c r="I22" i="10" s="1"/>
  <c r="E10" i="15"/>
  <c r="E22" i="15" s="1"/>
  <c r="M22" i="10"/>
  <c r="I12" i="15"/>
  <c r="I24" i="15" s="1"/>
  <c r="U23" i="10"/>
  <c r="S16" i="10"/>
  <c r="C10" i="15"/>
  <c r="I21" i="9"/>
  <c r="I22" i="9" s="1"/>
  <c r="I23" i="9" s="1"/>
  <c r="I24" i="9" s="1"/>
  <c r="O16" i="10"/>
  <c r="O20" i="12"/>
  <c r="G14" i="12"/>
  <c r="G21" i="12" s="1"/>
  <c r="I11" i="15"/>
  <c r="I23" i="15" s="1"/>
  <c r="G10" i="15"/>
  <c r="G22" i="15" s="1"/>
  <c r="I15" i="12"/>
  <c r="I22" i="12" s="1"/>
  <c r="I14" i="12"/>
  <c r="I21" i="12" s="1"/>
  <c r="O14" i="12"/>
  <c r="O21" i="12" s="1"/>
  <c r="O15" i="12"/>
  <c r="S15" i="10"/>
  <c r="S21" i="10"/>
  <c r="H15" i="15" s="1"/>
  <c r="O20" i="10"/>
  <c r="F14" i="15" s="1"/>
  <c r="O15" i="10"/>
  <c r="S20" i="10"/>
  <c r="H14" i="15" s="1"/>
  <c r="O21" i="10"/>
  <c r="F15" i="15" s="1"/>
  <c r="M22" i="8"/>
  <c r="M23" i="8" s="1"/>
  <c r="M24" i="8" s="1"/>
  <c r="M21" i="8"/>
  <c r="I22" i="8"/>
  <c r="I23" i="8" s="1"/>
  <c r="I24" i="8" s="1"/>
  <c r="S19" i="5"/>
  <c r="S20" i="5" s="1"/>
  <c r="Q21" i="5" s="1"/>
  <c r="S21" i="5" s="1"/>
  <c r="I19" i="5"/>
  <c r="I20" i="5" s="1"/>
  <c r="G19" i="5"/>
  <c r="G20" i="5" s="1"/>
  <c r="B11" i="7" s="1"/>
  <c r="W19" i="5"/>
  <c r="W20" i="5" s="1"/>
  <c r="U21" i="5" s="1"/>
  <c r="W21" i="5" s="1"/>
  <c r="N19" i="5"/>
  <c r="N20" i="5" s="1"/>
  <c r="L21" i="5" s="1"/>
  <c r="N21" i="5" s="1"/>
  <c r="Q19" i="5"/>
  <c r="Q20" i="5" s="1"/>
  <c r="H11" i="7" s="1"/>
  <c r="L19" i="5"/>
  <c r="L20" i="5" s="1"/>
  <c r="E11" i="7" s="1"/>
  <c r="M21" i="9"/>
  <c r="M22" i="9" s="1"/>
  <c r="M23" i="9" s="1"/>
  <c r="M24" i="9" s="1"/>
  <c r="K22" i="8"/>
  <c r="K23" i="8" s="1"/>
  <c r="K24" i="8" s="1"/>
  <c r="G21" i="8"/>
  <c r="G22" i="8"/>
  <c r="G23" i="8" s="1"/>
  <c r="G24" i="8" s="1"/>
  <c r="I21" i="8"/>
  <c r="K10" i="7"/>
  <c r="I10" i="7"/>
  <c r="F10" i="7"/>
  <c r="E10" i="7"/>
  <c r="B10" i="7"/>
  <c r="K22" i="12" l="1"/>
  <c r="K21" i="12"/>
  <c r="G21" i="5"/>
  <c r="I21" i="5" s="1"/>
  <c r="H11" i="15"/>
  <c r="H23" i="15" s="1"/>
  <c r="S22" i="10"/>
  <c r="H12" i="15"/>
  <c r="H24" i="15" s="1"/>
  <c r="S23" i="10"/>
  <c r="C13" i="15"/>
  <c r="C22" i="15" s="1"/>
  <c r="F12" i="15"/>
  <c r="O23" i="10"/>
  <c r="F11" i="15"/>
  <c r="F23" i="15" s="1"/>
  <c r="O22" i="10"/>
  <c r="O22" i="12"/>
  <c r="C11" i="7"/>
  <c r="K11" i="7"/>
  <c r="F11" i="7"/>
  <c r="I11" i="7"/>
  <c r="F24" i="15" l="1"/>
</calcChain>
</file>

<file path=xl/sharedStrings.xml><?xml version="1.0" encoding="utf-8"?>
<sst xmlns="http://schemas.openxmlformats.org/spreadsheetml/2006/main" count="2986" uniqueCount="871">
  <si>
    <t>n/a</t>
  </si>
  <si>
    <t>24-Hour</t>
  </si>
  <si>
    <t>Emission Rate</t>
  </si>
  <si>
    <t>Toxic Air Contaminant</t>
  </si>
  <si>
    <t>(lb/yr)</t>
  </si>
  <si>
    <t>(lb/day)</t>
  </si>
  <si>
    <t>Cadmium</t>
  </si>
  <si>
    <t>Manganese</t>
  </si>
  <si>
    <t>Nickel (insoluble)</t>
  </si>
  <si>
    <t>Acetaldehyde</t>
  </si>
  <si>
    <t>Acetone</t>
  </si>
  <si>
    <t>Acrolein</t>
  </si>
  <si>
    <t>Table A-2. Example 1 – Level 1 Calculation of Air Concentrations</t>
  </si>
  <si>
    <t>Notes:</t>
  </si>
  <si>
    <t>Residential Exposure</t>
  </si>
  <si>
    <t>Non-Resident Child Exposure</t>
  </si>
  <si>
    <t>Non-Resident Worker Exposure</t>
  </si>
  <si>
    <t>Acute Exposure</t>
  </si>
  <si>
    <t>Annual Avg</t>
  </si>
  <si>
    <t>RBC</t>
  </si>
  <si>
    <t>Excess</t>
  </si>
  <si>
    <t>Annual Average</t>
  </si>
  <si>
    <t>24-Hour Average</t>
  </si>
  <si>
    <t>Acute</t>
  </si>
  <si>
    <t>Conc.</t>
  </si>
  <si>
    <t>Cancer</t>
  </si>
  <si>
    <t>Noncancer</t>
  </si>
  <si>
    <t>Hazard</t>
  </si>
  <si>
    <t>Quotient</t>
  </si>
  <si>
    <t>Total Unit 1</t>
  </si>
  <si>
    <t>Total Unit 2</t>
  </si>
  <si>
    <t>Total Source (Unit 1 and Unit 2)</t>
  </si>
  <si>
    <t>Chemical</t>
  </si>
  <si>
    <t>Isopropyl alcohol</t>
  </si>
  <si>
    <t>Methyl isobutyl ketone</t>
  </si>
  <si>
    <t>Cadmium and compounds</t>
  </si>
  <si>
    <t>Chromium VI</t>
  </si>
  <si>
    <t>Total Natural Gas Combustion</t>
  </si>
  <si>
    <t>Total Aggregated TEUs</t>
  </si>
  <si>
    <t>Table A-4. Example 2 – Summary Risk Table for Level 2 Risk Assessment</t>
  </si>
  <si>
    <t>R2105</t>
  </si>
  <si>
    <t>R2041</t>
  </si>
  <si>
    <t>C3535</t>
  </si>
  <si>
    <t>C3501</t>
  </si>
  <si>
    <t>W1121</t>
  </si>
  <si>
    <t>W1007</t>
  </si>
  <si>
    <t>A1090</t>
  </si>
  <si>
    <t>Table A-5. Example 3 – Summary Risk Table for Level 3 Risk Assessment</t>
  </si>
  <si>
    <t>Risk Assessment Level</t>
  </si>
  <si>
    <t>Excess Cancer Risk</t>
  </si>
  <si>
    <t>Level 1</t>
  </si>
  <si>
    <t>Level 2</t>
  </si>
  <si>
    <t>Level 3</t>
  </si>
  <si>
    <t>Chronic Noncancer Residential Exposure</t>
  </si>
  <si>
    <t>Kidney</t>
  </si>
  <si>
    <t>Nervous System</t>
  </si>
  <si>
    <t>Immune System</t>
  </si>
  <si>
    <t>Respiratory System</t>
  </si>
  <si>
    <r>
      <t>Notes</t>
    </r>
    <r>
      <rPr>
        <sz val="11"/>
        <color theme="1"/>
        <rFont val="Arial"/>
        <family val="2"/>
      </rPr>
      <t>:</t>
    </r>
  </si>
  <si>
    <t>RBC = risk-based concentration</t>
  </si>
  <si>
    <t>Acute Noncancer Residential Exposure</t>
  </si>
  <si>
    <t>Eyes</t>
  </si>
  <si>
    <t>Table A-8.  Example Level 2 Target Organ Acute Noncancer Risk Assessment for Residential Exposure</t>
  </si>
  <si>
    <t>Table A-7. Example Level 2 Target Organ Chronic Noncancer Risk Assessment for Residential Exposure</t>
  </si>
  <si>
    <t>Residential</t>
  </si>
  <si>
    <t>Non-Residential Child</t>
  </si>
  <si>
    <t>Non-Residential Worker</t>
  </si>
  <si>
    <t>Annual REER</t>
  </si>
  <si>
    <t>Acute RBC</t>
  </si>
  <si>
    <t>Daily REER</t>
  </si>
  <si>
    <t>(g/s)</t>
  </si>
  <si>
    <r>
      <t>(μg/m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)</t>
    </r>
  </si>
  <si>
    <r>
      <t>(g/s per μg/m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)</t>
    </r>
  </si>
  <si>
    <t>Emission Rates</t>
  </si>
  <si>
    <t>RBC = Risk Based Concentration</t>
  </si>
  <si>
    <t>REER = Risk Equivalent Emission Rate</t>
  </si>
  <si>
    <t>Target Organ Chronic Noncancer Risk for Residential Exposure</t>
  </si>
  <si>
    <t>Community Engagement</t>
  </si>
  <si>
    <t>TBACT</t>
  </si>
  <si>
    <t>Risk Reduction Level</t>
  </si>
  <si>
    <t>Immediate Curtailment</t>
  </si>
  <si>
    <t>Total Rounded Source (Unit 1 and Unit 2)</t>
  </si>
  <si>
    <t>Total Unrounded Source Risk (Unit 1 and Unit 2)</t>
  </si>
  <si>
    <t>--</t>
  </si>
  <si>
    <t>Source Permit Level</t>
  </si>
  <si>
    <t>CAS#</t>
  </si>
  <si>
    <t>Non-Residential</t>
  </si>
  <si>
    <t xml:space="preserve">Acute </t>
  </si>
  <si>
    <t>Child Cancer</t>
  </si>
  <si>
    <t>Child Noncancer</t>
  </si>
  <si>
    <t>Worker Cancer</t>
  </si>
  <si>
    <t>Worker Noncancer</t>
  </si>
  <si>
    <r>
      <t>(µg/m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)</t>
    </r>
  </si>
  <si>
    <t>75-07-0</t>
  </si>
  <si>
    <t>60-35-5</t>
  </si>
  <si>
    <t>Acetamide</t>
  </si>
  <si>
    <t>67-64-1</t>
  </si>
  <si>
    <t>75-05-8</t>
  </si>
  <si>
    <t>Acetonitrile</t>
  </si>
  <si>
    <t>107-02-8</t>
  </si>
  <si>
    <t>79-06-1</t>
  </si>
  <si>
    <t>Acrylamide</t>
  </si>
  <si>
    <t>79-10-7</t>
  </si>
  <si>
    <t>Acrylic acid</t>
  </si>
  <si>
    <t>107-13-1</t>
  </si>
  <si>
    <t>Acrylonitrile</t>
  </si>
  <si>
    <t>309-00-2</t>
  </si>
  <si>
    <t>Aldrin</t>
  </si>
  <si>
    <t>107-05-1</t>
  </si>
  <si>
    <t>Allyl chloride</t>
  </si>
  <si>
    <t>7429-90-5</t>
  </si>
  <si>
    <t>Aluminum and compounds</t>
  </si>
  <si>
    <t>7664-41-7</t>
  </si>
  <si>
    <t>Ammonia</t>
  </si>
  <si>
    <t>62-53-3</t>
  </si>
  <si>
    <t>Aniline</t>
  </si>
  <si>
    <t>7440-36-0</t>
  </si>
  <si>
    <t>Antimony and compounds</t>
  </si>
  <si>
    <t>140-57-8</t>
  </si>
  <si>
    <t>Aramite</t>
  </si>
  <si>
    <t>7440-38-2</t>
  </si>
  <si>
    <t>Arsenic and compounds</t>
  </si>
  <si>
    <t>7784-42-1</t>
  </si>
  <si>
    <t>Arsine</t>
  </si>
  <si>
    <t>1332-21-4</t>
  </si>
  <si>
    <t>Asbestos</t>
  </si>
  <si>
    <t>103-33-3</t>
  </si>
  <si>
    <t>Azobenzene</t>
  </si>
  <si>
    <t>71-43-2</t>
  </si>
  <si>
    <t>Benzene</t>
  </si>
  <si>
    <t>92-87-5</t>
  </si>
  <si>
    <t>Benzidine (and its salts)</t>
  </si>
  <si>
    <t>100-44-7</t>
  </si>
  <si>
    <t>Benzyl chloride</t>
  </si>
  <si>
    <t>7440-41-7</t>
  </si>
  <si>
    <t>Beryllium and compounds</t>
  </si>
  <si>
    <t>111-44-4</t>
  </si>
  <si>
    <t>542-88-1</t>
  </si>
  <si>
    <t>Bis(chloromethyl) ether</t>
  </si>
  <si>
    <t>117-81-7</t>
  </si>
  <si>
    <t>Bis(2-ethylhexyl) phthalate (DEHP)</t>
  </si>
  <si>
    <t>75-25-2</t>
  </si>
  <si>
    <t>Bromoform</t>
  </si>
  <si>
    <t>74-83-9</t>
  </si>
  <si>
    <t>Bromomethane (Methyl bromide)</t>
  </si>
  <si>
    <t>106-94-5</t>
  </si>
  <si>
    <t>1-Bromopropane (n-propyl bromide)</t>
  </si>
  <si>
    <t>106-99-0</t>
  </si>
  <si>
    <t>1,3-Butadiene</t>
  </si>
  <si>
    <t>78-93-3</t>
  </si>
  <si>
    <t>2-Butanone (Methyl ethyl ketone)</t>
  </si>
  <si>
    <t>78-92-2</t>
  </si>
  <si>
    <t>sec-Butyl alcohol</t>
  </si>
  <si>
    <t>7440-43-9</t>
  </si>
  <si>
    <t>105-60-2</t>
  </si>
  <si>
    <t>Caprolactam</t>
  </si>
  <si>
    <t>75-15-0</t>
  </si>
  <si>
    <t>Carbon disulfide</t>
  </si>
  <si>
    <t>56-23-5</t>
  </si>
  <si>
    <t>Carbon tetrachloride</t>
  </si>
  <si>
    <t>463-58-1</t>
  </si>
  <si>
    <t>Carbonyl sulfide</t>
  </si>
  <si>
    <t>57-74-9</t>
  </si>
  <si>
    <t>Chlordane</t>
  </si>
  <si>
    <t>108171-26-2</t>
  </si>
  <si>
    <t>Chlorinated paraffins</t>
  </si>
  <si>
    <t>7782-50-5</t>
  </si>
  <si>
    <t>Chlorine</t>
  </si>
  <si>
    <t>10049-04-4</t>
  </si>
  <si>
    <t>Chlorine dioxide</t>
  </si>
  <si>
    <t>532-27-4</t>
  </si>
  <si>
    <t>2-Chloroacetophenone</t>
  </si>
  <si>
    <t>108-90-7</t>
  </si>
  <si>
    <t>Chlorobenzene</t>
  </si>
  <si>
    <t>75-68-3</t>
  </si>
  <si>
    <t>1-Chloro-1,1-difluoroethane</t>
  </si>
  <si>
    <t>75-45-6</t>
  </si>
  <si>
    <t>Chlorodifluoromethane (Freon 22)</t>
  </si>
  <si>
    <t>75-00-3</t>
  </si>
  <si>
    <t>Chloroethane (Ethyl chloride)</t>
  </si>
  <si>
    <t>67-66-3</t>
  </si>
  <si>
    <t>Chloroform</t>
  </si>
  <si>
    <t>74-87-3</t>
  </si>
  <si>
    <t>Chloromethane (Methyl chloride)</t>
  </si>
  <si>
    <t>95-83-0</t>
  </si>
  <si>
    <t>4-Chloro-o-phenylenediamine</t>
  </si>
  <si>
    <t>76-06-2</t>
  </si>
  <si>
    <t>Chloropicrin</t>
  </si>
  <si>
    <t>126-99-8</t>
  </si>
  <si>
    <t>Chloroprene</t>
  </si>
  <si>
    <t>95-69-2</t>
  </si>
  <si>
    <t>p-Chloro-o-toluidine</t>
  </si>
  <si>
    <t>18540-29-9</t>
  </si>
  <si>
    <t>Chromium VI, chromate and dichromate particulate</t>
  </si>
  <si>
    <t>7738-94-5</t>
  </si>
  <si>
    <t>Chromium VI, chromic acid aerosol mist</t>
  </si>
  <si>
    <t>7440-48-4</t>
  </si>
  <si>
    <t>Cobalt and compounds</t>
  </si>
  <si>
    <t>148</t>
  </si>
  <si>
    <t>Coke Oven Emissions</t>
  </si>
  <si>
    <t>7440-50-8</t>
  </si>
  <si>
    <t>Copper and compounds</t>
  </si>
  <si>
    <t>120-71-8</t>
  </si>
  <si>
    <t>p-Cresidine</t>
  </si>
  <si>
    <t>1319-77-3</t>
  </si>
  <si>
    <t>Cresols (mixture), including m-cresol, o-cresol, p-cresol</t>
  </si>
  <si>
    <t>135-20-6</t>
  </si>
  <si>
    <t>Cupferron</t>
  </si>
  <si>
    <t>74-90-8</t>
  </si>
  <si>
    <t>Cyanide, Hydrogen</t>
  </si>
  <si>
    <t>110-82-7</t>
  </si>
  <si>
    <t>Cyclohexane</t>
  </si>
  <si>
    <t>50-29-3</t>
  </si>
  <si>
    <t>DDT</t>
  </si>
  <si>
    <t>615-05-4</t>
  </si>
  <si>
    <t>2,4-Diaminoanisole</t>
  </si>
  <si>
    <t>95-80-7</t>
  </si>
  <si>
    <t>2,4-Diaminotoluene (2,4-Toluene diamine)</t>
  </si>
  <si>
    <t>333-41-5</t>
  </si>
  <si>
    <t>Diazinon</t>
  </si>
  <si>
    <t>96-12-8</t>
  </si>
  <si>
    <t>1,2-Dibromo-3-chloropropane (DBCP)</t>
  </si>
  <si>
    <t>106-46-7</t>
  </si>
  <si>
    <t>p-Dichlorobenzene (1,4-Dichlorobenzene)</t>
  </si>
  <si>
    <t>91-94-1</t>
  </si>
  <si>
    <t>3,3'-Dichlorobenzidine</t>
  </si>
  <si>
    <t>75-34-3</t>
  </si>
  <si>
    <t>1,1-Dichloroethane (Ethylidene dichloride)</t>
  </si>
  <si>
    <t>156-60-5</t>
  </si>
  <si>
    <t>trans-1,2-dichloroethene</t>
  </si>
  <si>
    <t>75-09-2</t>
  </si>
  <si>
    <t>Dichloromethane (Methylene chloride)</t>
  </si>
  <si>
    <t>78-87-5</t>
  </si>
  <si>
    <t>1,2-Dichloropropane (Propylene dichloride)</t>
  </si>
  <si>
    <t>542-75-6</t>
  </si>
  <si>
    <t>1,3-Dichloropropene</t>
  </si>
  <si>
    <t>62-73-7</t>
  </si>
  <si>
    <t>60-57-1</t>
  </si>
  <si>
    <t>Dieldrin</t>
  </si>
  <si>
    <t>200</t>
  </si>
  <si>
    <t>Diesel Particulate Matter</t>
  </si>
  <si>
    <t>111-42-2</t>
  </si>
  <si>
    <t>Diethanolamine</t>
  </si>
  <si>
    <t>112-34-5</t>
  </si>
  <si>
    <t>Diethylene glycol monobutyl ether</t>
  </si>
  <si>
    <t>111-90-0</t>
  </si>
  <si>
    <t>Diethylene glycol monoethyl ether</t>
  </si>
  <si>
    <t>75-37-6</t>
  </si>
  <si>
    <t>1,1-Difluoroethane</t>
  </si>
  <si>
    <t>60-11-7</t>
  </si>
  <si>
    <t>4-Dimethylaminoazobenzene</t>
  </si>
  <si>
    <t>68-12-2</t>
  </si>
  <si>
    <t>Dimethyl formamide</t>
  </si>
  <si>
    <t>57-14-7</t>
  </si>
  <si>
    <t>1,1-Dimethylhydrazine</t>
  </si>
  <si>
    <t>121-14-2</t>
  </si>
  <si>
    <t>2,4-Dinitrotoluene</t>
  </si>
  <si>
    <t>123-91-1</t>
  </si>
  <si>
    <t>1,4-Dioxane</t>
  </si>
  <si>
    <t>122-66-7</t>
  </si>
  <si>
    <t>1,2-Diphenylhydrazine (Hydrazobenzene)</t>
  </si>
  <si>
    <t>1937-37-7</t>
  </si>
  <si>
    <t>Direct Black 38</t>
  </si>
  <si>
    <t>2602-46-2</t>
  </si>
  <si>
    <t>Direct Blue 6</t>
  </si>
  <si>
    <t>16071-86-6</t>
  </si>
  <si>
    <t>Direct Brown 95 (technical grade)</t>
  </si>
  <si>
    <t>298-04-4</t>
  </si>
  <si>
    <t>Disulfoton</t>
  </si>
  <si>
    <t>106-89-8</t>
  </si>
  <si>
    <t>Epichlorohydrin</t>
  </si>
  <si>
    <t>106-88-7</t>
  </si>
  <si>
    <t>1,2-Epoxybutane</t>
  </si>
  <si>
    <t>140-88-5</t>
  </si>
  <si>
    <t>Ethyl acrylate</t>
  </si>
  <si>
    <t>100-41-4</t>
  </si>
  <si>
    <t>Ethyl benzene</t>
  </si>
  <si>
    <t>106-93-4</t>
  </si>
  <si>
    <t>Ethylene dibromide (EDB, 1,2-Dibromoethane)</t>
  </si>
  <si>
    <t>107-06-2</t>
  </si>
  <si>
    <t>Ethylene dichloride (EDC, 1,2-Dichloroethane)</t>
  </si>
  <si>
    <t>107-21-1</t>
  </si>
  <si>
    <t>Ethylene glycol</t>
  </si>
  <si>
    <t>111-76-2</t>
  </si>
  <si>
    <t>Ethylene glycol monobutyl ether</t>
  </si>
  <si>
    <t>110-80-5</t>
  </si>
  <si>
    <t>Ethylene glycol monoethyl ether</t>
  </si>
  <si>
    <t>111-15-9</t>
  </si>
  <si>
    <t>Ethylene glycol monoethyl ether acetate</t>
  </si>
  <si>
    <t>109-86-4</t>
  </si>
  <si>
    <t>Ethylene glycol monomethyl ether</t>
  </si>
  <si>
    <t>110-49-6</t>
  </si>
  <si>
    <t>Ethylene glycol monomethyl ether acetate</t>
  </si>
  <si>
    <t>75-21-8</t>
  </si>
  <si>
    <t>Ethylene oxide</t>
  </si>
  <si>
    <t>96-45-7</t>
  </si>
  <si>
    <t>Ethylene thiourea</t>
  </si>
  <si>
    <t>239</t>
  </si>
  <si>
    <t>Fluorides</t>
  </si>
  <si>
    <t>7782-41-4</t>
  </si>
  <si>
    <t>Fluorine gas</t>
  </si>
  <si>
    <t>50-00-0</t>
  </si>
  <si>
    <t>Formaldehyde</t>
  </si>
  <si>
    <t>111-30-8</t>
  </si>
  <si>
    <t>Glutaraldehyde</t>
  </si>
  <si>
    <t>76-44-8</t>
  </si>
  <si>
    <t>Heptachlor</t>
  </si>
  <si>
    <t>1024-57-3</t>
  </si>
  <si>
    <t>Heptachlor epoxide</t>
  </si>
  <si>
    <t>118-74-1</t>
  </si>
  <si>
    <t>Hexachlorobenzene</t>
  </si>
  <si>
    <t>87-68-3</t>
  </si>
  <si>
    <t>Hexachlorobutadiene</t>
  </si>
  <si>
    <t>608-73-1</t>
  </si>
  <si>
    <t>Hexachlorocyclohexanes (mixture) including but not limited to:</t>
  </si>
  <si>
    <t>319-84-6</t>
  </si>
  <si>
    <t>Hexachlorocyclohexane, alpha-</t>
  </si>
  <si>
    <t>319-85-7</t>
  </si>
  <si>
    <t>Hexachlorocyclohexane, beta-</t>
  </si>
  <si>
    <t>58-89-9</t>
  </si>
  <si>
    <t>Hexachlorocyclohexane, gamma- (Lindane)</t>
  </si>
  <si>
    <t>77-47-4</t>
  </si>
  <si>
    <t>Hexachlorocyclopentadiene</t>
  </si>
  <si>
    <t>67-72-1</t>
  </si>
  <si>
    <t>Hexachloroethane</t>
  </si>
  <si>
    <t>822-06-0</t>
  </si>
  <si>
    <t>Hexamethylene-1,6-diisocyanate</t>
  </si>
  <si>
    <t>110-54-3</t>
  </si>
  <si>
    <t>Hexane</t>
  </si>
  <si>
    <t>302-01-2</t>
  </si>
  <si>
    <t>Hydrazine</t>
  </si>
  <si>
    <t>7647-01-0</t>
  </si>
  <si>
    <t>Hydrochloric acid</t>
  </si>
  <si>
    <t>7664-39-3</t>
  </si>
  <si>
    <t>Hydrogen fluoride</t>
  </si>
  <si>
    <t>7783-06-4</t>
  </si>
  <si>
    <t>Hydrogen sulfide</t>
  </si>
  <si>
    <t>78-59-1</t>
  </si>
  <si>
    <t>Isophorone</t>
  </si>
  <si>
    <t>67-63-0</t>
  </si>
  <si>
    <t>98-82-8</t>
  </si>
  <si>
    <t>Isopropylbenzene (Cumene)</t>
  </si>
  <si>
    <t>7439-92-1</t>
  </si>
  <si>
    <t>Lead and compounds</t>
  </si>
  <si>
    <t>108-31-6</t>
  </si>
  <si>
    <t>Maleic anhydride</t>
  </si>
  <si>
    <t>7439-96-5</t>
  </si>
  <si>
    <t>Manganese and compounds</t>
  </si>
  <si>
    <t>7439-97-6</t>
  </si>
  <si>
    <t>Mercury and compounds</t>
  </si>
  <si>
    <t>67-56-1</t>
  </si>
  <si>
    <t>Methanol</t>
  </si>
  <si>
    <t>101-14-4</t>
  </si>
  <si>
    <t>4,4'-Methylene bis(2-chloroaniline) (MOCA)</t>
  </si>
  <si>
    <t>101-77-9</t>
  </si>
  <si>
    <t>4,4'-Methylenedianiline (and its dichloride)</t>
  </si>
  <si>
    <t>101-68-8</t>
  </si>
  <si>
    <t>Methylene diphenyl diisocyanate (MDI)</t>
  </si>
  <si>
    <t>108-10-1</t>
  </si>
  <si>
    <t>Methyl isobutyl ketone (MIBK, Hexone)</t>
  </si>
  <si>
    <t>624-83-9</t>
  </si>
  <si>
    <t>Methyl isocyanate</t>
  </si>
  <si>
    <t>80-62-6</t>
  </si>
  <si>
    <t>Methyl methacrylate</t>
  </si>
  <si>
    <t>1634-04-4</t>
  </si>
  <si>
    <t>Methyl tert-butyl ether</t>
  </si>
  <si>
    <t>90-94-8</t>
  </si>
  <si>
    <t>Michler's ketone</t>
  </si>
  <si>
    <t>91-20-3</t>
  </si>
  <si>
    <t>Naphthalene</t>
  </si>
  <si>
    <t>365</t>
  </si>
  <si>
    <t>Nickel compounds, insoluble</t>
  </si>
  <si>
    <t>368</t>
  </si>
  <si>
    <t>Nickel compounds, soluble</t>
  </si>
  <si>
    <t>7697-37-2</t>
  </si>
  <si>
    <t>Nitric acid</t>
  </si>
  <si>
    <t>98-95-3</t>
  </si>
  <si>
    <t>Nitrobenzene</t>
  </si>
  <si>
    <t>79-46-9</t>
  </si>
  <si>
    <t>2-Nitropropane</t>
  </si>
  <si>
    <t>924-16-3</t>
  </si>
  <si>
    <t>N-Nitrosodi-n-butylamine</t>
  </si>
  <si>
    <t>55-18-5</t>
  </si>
  <si>
    <t>N-Nitrosodiethylamine</t>
  </si>
  <si>
    <t>62-75-9</t>
  </si>
  <si>
    <t>N-Nitrosodimethylamine</t>
  </si>
  <si>
    <t>86-30-6</t>
  </si>
  <si>
    <t>N-Nitrosodiphenylamine</t>
  </si>
  <si>
    <t>156-10-5</t>
  </si>
  <si>
    <t>p-Nitrosodiphenylamine</t>
  </si>
  <si>
    <t>621-64-7</t>
  </si>
  <si>
    <t>N-Nitrosodi-n-propylamine</t>
  </si>
  <si>
    <t>10595-95-6</t>
  </si>
  <si>
    <t>N-Nitrosomethylethylamine</t>
  </si>
  <si>
    <t>59-89-2</t>
  </si>
  <si>
    <t>N-Nitrosomorpholine</t>
  </si>
  <si>
    <t>100-75-4</t>
  </si>
  <si>
    <t>N-Nitrosopiperidine</t>
  </si>
  <si>
    <t>930-55-2</t>
  </si>
  <si>
    <t>N-Nitrosopyrrolidine</t>
  </si>
  <si>
    <t>8014-95-7</t>
  </si>
  <si>
    <t>Oleum (fuming sulfuric acid)</t>
  </si>
  <si>
    <t>56-38-2</t>
  </si>
  <si>
    <t>Parathion</t>
  </si>
  <si>
    <t>87-86-5</t>
  </si>
  <si>
    <t>Pentachlorophenol</t>
  </si>
  <si>
    <t>108-95-2</t>
  </si>
  <si>
    <t>Phenol</t>
  </si>
  <si>
    <t>75-44-5</t>
  </si>
  <si>
    <t>Phosgene</t>
  </si>
  <si>
    <t>7803-51-2</t>
  </si>
  <si>
    <t>Phosphine</t>
  </si>
  <si>
    <t>7664-38-2</t>
  </si>
  <si>
    <t>Phosphoric acid</t>
  </si>
  <si>
    <t>12185-10-3</t>
  </si>
  <si>
    <t>Phosphorus, white</t>
  </si>
  <si>
    <t>85-44-9</t>
  </si>
  <si>
    <t>Phthalic anhydride</t>
  </si>
  <si>
    <t>447</t>
  </si>
  <si>
    <t>Polybrominated diphenyl ethers (PBDEs)</t>
  </si>
  <si>
    <t>1336-36-3</t>
  </si>
  <si>
    <t>Polychlorinated biphenyls (PCBs)</t>
  </si>
  <si>
    <t>645</t>
  </si>
  <si>
    <t>Polychlorinated biphenyls (PCBs) TEQ</t>
  </si>
  <si>
    <t>32598-13-3</t>
  </si>
  <si>
    <t>PCB 77 [3,3',4,4'-tetrachlorobiphenyl]</t>
  </si>
  <si>
    <t>70362-50-4</t>
  </si>
  <si>
    <t>PCB 81 [3,4,4',5-tetrachlorobiphenyl]</t>
  </si>
  <si>
    <t>32598-14-4</t>
  </si>
  <si>
    <t>PCB 105 [2,3,3',4,4'-pentachlorobiphenyl]</t>
  </si>
  <si>
    <t>74472-37-0</t>
  </si>
  <si>
    <t>PCB 114 [2,3,4,4',5-pentachlorobiphenyl]</t>
  </si>
  <si>
    <t>31508-00-6</t>
  </si>
  <si>
    <t>PCB 118 [2,3',4,4',5-pentachlorobiphenyl]</t>
  </si>
  <si>
    <t>65510-44-3</t>
  </si>
  <si>
    <t>PCB 123 [2,3',4,4',5'-pentachlorobiphenyl]</t>
  </si>
  <si>
    <t>57465-28-8</t>
  </si>
  <si>
    <t>PCB 126 [3,3',4,4',5-pentachlorobiphenyl]</t>
  </si>
  <si>
    <t>38380-08-4</t>
  </si>
  <si>
    <t>PCB 156 [2,3,3',4,4',5-hexachlorobiphenyl]</t>
  </si>
  <si>
    <t>69782-90-7</t>
  </si>
  <si>
    <t>PCB 157 [2,3,3',4,4',5'-hexachlorobiphenyl]</t>
  </si>
  <si>
    <t>52663-72-6</t>
  </si>
  <si>
    <t>PCB 167 [2,3',4,4',5,5'-hexachlorobiphenyl]</t>
  </si>
  <si>
    <t>32774-16-6</t>
  </si>
  <si>
    <t>PCB 169 [3,3',4,4',5,5'-hexachlorobiphenyl]</t>
  </si>
  <si>
    <t>39635-31-9</t>
  </si>
  <si>
    <t>PCB 189 [2,3,3',4,4',5,5'-heptachlorobiphenyl]</t>
  </si>
  <si>
    <t>646</t>
  </si>
  <si>
    <t>Polychlorinated dibenzo-p-dioxins (PCDDs) &amp; dibenzofurans (PCDFs) TEQ</t>
  </si>
  <si>
    <t>1746-01-6</t>
  </si>
  <si>
    <t>2,3,7,8-Tetrachlorodibenzo-p-dioxin (TCDD)</t>
  </si>
  <si>
    <t>40321-76-4</t>
  </si>
  <si>
    <t>1,2,3,7,8-Pentachlorodibenzo-p-dioxin (PeCDD)</t>
  </si>
  <si>
    <t>39227-28-6</t>
  </si>
  <si>
    <t>1,2,3,4,7,8-Hexachlorodibenzo-p-dioxin (HxCDD)</t>
  </si>
  <si>
    <t>57653-85-7</t>
  </si>
  <si>
    <t>1,2,3,6,7,8-Hexachlorodibenzo-p-dioxin (HxCDD)</t>
  </si>
  <si>
    <t>19408-74-3</t>
  </si>
  <si>
    <t>1,2,3,7,8,9-Hexachlorodibenzo-p-dioxin (HxCDD)</t>
  </si>
  <si>
    <t>35822-46-9</t>
  </si>
  <si>
    <t>1,2,3,4,6,7,8-Heptachlorodibenzo-p-dioxin (HpCDD)</t>
  </si>
  <si>
    <t>3268-87-9</t>
  </si>
  <si>
    <t>Octachlorodibenzo-p-dioxin (OCDD)</t>
  </si>
  <si>
    <t>51207-31-9</t>
  </si>
  <si>
    <t>2,3,7,8-Tetrachlorodibenzofuran (TcDF)</t>
  </si>
  <si>
    <t>57117-41-6</t>
  </si>
  <si>
    <t>1,2,3,7,8-Pentachlorodibenzofuran (PeCDF)</t>
  </si>
  <si>
    <t>57117-31-4</t>
  </si>
  <si>
    <t>2,3,4,7,8-Pentachlorodibenzofuran (PeCDF)</t>
  </si>
  <si>
    <t>70648-26-9</t>
  </si>
  <si>
    <t>1,2,3,4,7,8-Hexachlorodibenzofuran (HxCDF)</t>
  </si>
  <si>
    <t>57117-44-9</t>
  </si>
  <si>
    <t>1,2,3,6,7,8-Hexachlorodibenzofuran (HxCDF)</t>
  </si>
  <si>
    <t>72918-21-9</t>
  </si>
  <si>
    <t>1,2,3,7,8,9-Hexachlorodibenzofuran (HxCDF)</t>
  </si>
  <si>
    <t>60851-34-5</t>
  </si>
  <si>
    <t>2,3,4,6,7,8-Hexachlorodibenzofuran  (HxCDF)</t>
  </si>
  <si>
    <t>67562-39-4</t>
  </si>
  <si>
    <t>1,2,3,4,6,7,8-Heptachlorodibenzofuran (HpCDF)</t>
  </si>
  <si>
    <t>55673-89-7</t>
  </si>
  <si>
    <t>1,2,3,4,7,8,9-Heptachlorodibenzofuran (HpCDF)</t>
  </si>
  <si>
    <t>39001-02-0</t>
  </si>
  <si>
    <t>Octachlorodibenzofuran (OCDF)</t>
  </si>
  <si>
    <t>401</t>
  </si>
  <si>
    <t>Polycyclic aromatic hydrocarbons (PAHs)</t>
  </si>
  <si>
    <t>191-26-4</t>
  </si>
  <si>
    <t>Anthanthrene</t>
  </si>
  <si>
    <t>56-55-3</t>
  </si>
  <si>
    <t>Benz[a]anthracene</t>
  </si>
  <si>
    <t>50-32-8</t>
  </si>
  <si>
    <t>Benzo[a]pyrene</t>
  </si>
  <si>
    <t>205-99-2</t>
  </si>
  <si>
    <t>Benzo[b]fluoranthene</t>
  </si>
  <si>
    <t>205-12-9</t>
  </si>
  <si>
    <t>Benzo[c]fluorene</t>
  </si>
  <si>
    <t>191-24-2</t>
  </si>
  <si>
    <t>Benzo[g,h,i]perylene</t>
  </si>
  <si>
    <t>205-82-3</t>
  </si>
  <si>
    <t>Benzo[j]fluoranthene</t>
  </si>
  <si>
    <t>207-08-9</t>
  </si>
  <si>
    <t>Benzo[k]fluoranthene</t>
  </si>
  <si>
    <t>218-01-9</t>
  </si>
  <si>
    <t>Chrysene</t>
  </si>
  <si>
    <t>27208-37-3</t>
  </si>
  <si>
    <t>Cyclopenta[c,d]pyrene</t>
  </si>
  <si>
    <t>53-70-3</t>
  </si>
  <si>
    <t>Dibenz[a,h]anthracene</t>
  </si>
  <si>
    <t>192-65-4</t>
  </si>
  <si>
    <t>Dibenzo[a,e]pyrene</t>
  </si>
  <si>
    <t>189-64-0</t>
  </si>
  <si>
    <t>Dibenzo[a,h]pyrene</t>
  </si>
  <si>
    <t>189-55-9</t>
  </si>
  <si>
    <t>Dibenzo[a,i]pyrene</t>
  </si>
  <si>
    <t>191-30-0</t>
  </si>
  <si>
    <t>Dibenzo[a,l]pyrene</t>
  </si>
  <si>
    <t>206-44-0</t>
  </si>
  <si>
    <t>Fluoranthene</t>
  </si>
  <si>
    <t>193-39-5</t>
  </si>
  <si>
    <t>Indeno[1,2,3-cd]pyrene</t>
  </si>
  <si>
    <t>3697-24-3</t>
  </si>
  <si>
    <t>5-Methylchrysene</t>
  </si>
  <si>
    <t>7496-02-8</t>
  </si>
  <si>
    <t>6-Nitrochrysene</t>
  </si>
  <si>
    <t>7758-01-2</t>
  </si>
  <si>
    <t>Potassium bromate</t>
  </si>
  <si>
    <t>1120-71-4</t>
  </si>
  <si>
    <t>1,3-Propane sultone</t>
  </si>
  <si>
    <t>123-38-6</t>
  </si>
  <si>
    <t>Propionaldehyde</t>
  </si>
  <si>
    <t>115-07-1</t>
  </si>
  <si>
    <t>Propylene</t>
  </si>
  <si>
    <t>6423-43-4</t>
  </si>
  <si>
    <t>Propylene glycol dinitrate</t>
  </si>
  <si>
    <t>107-98-2</t>
  </si>
  <si>
    <t>Propylene glycol monomethyl ether</t>
  </si>
  <si>
    <t>75-56-9</t>
  </si>
  <si>
    <t>Propylene oxide</t>
  </si>
  <si>
    <t>572</t>
  </si>
  <si>
    <t>Refractory Ceramic Fibers</t>
  </si>
  <si>
    <t>7783-07-5</t>
  </si>
  <si>
    <t>Selenide, hydrogen</t>
  </si>
  <si>
    <t>7782-49-2</t>
  </si>
  <si>
    <t>Selenium and compounds</t>
  </si>
  <si>
    <t>7631-86-9</t>
  </si>
  <si>
    <t>Silica, crystalline (respirable)</t>
  </si>
  <si>
    <t>1310-73-2</t>
  </si>
  <si>
    <t>Sodium hydroxide</t>
  </si>
  <si>
    <t>100-42-5</t>
  </si>
  <si>
    <t>Styrene</t>
  </si>
  <si>
    <t>7664-93-9</t>
  </si>
  <si>
    <t>Sulfuric acid</t>
  </si>
  <si>
    <t>505-60-2</t>
  </si>
  <si>
    <t>Sulfur Mustard</t>
  </si>
  <si>
    <t>Sulfur trioxide</t>
  </si>
  <si>
    <t>630-20-6</t>
  </si>
  <si>
    <t>1,1,1,2-Tetrachloroethane</t>
  </si>
  <si>
    <t>79-34-5</t>
  </si>
  <si>
    <t>1,1,2,2-Tetrachloroethane</t>
  </si>
  <si>
    <t>127-18-4</t>
  </si>
  <si>
    <t>Tetrachloroethene (Perchloroethylene)</t>
  </si>
  <si>
    <t>811-97-2</t>
  </si>
  <si>
    <t>1,1,1,2-Tetrafluoroethane</t>
  </si>
  <si>
    <t>62-55-5</t>
  </si>
  <si>
    <t>Thioacetamide</t>
  </si>
  <si>
    <t>7550-45-0</t>
  </si>
  <si>
    <t>Titanium tetrachloride</t>
  </si>
  <si>
    <t>108-88-3</t>
  </si>
  <si>
    <t>Toluene</t>
  </si>
  <si>
    <t>26471-62-5</t>
  </si>
  <si>
    <t>Toluene diisocyanates (2,4- and 2,6-)</t>
  </si>
  <si>
    <t>8001-35-2</t>
  </si>
  <si>
    <t>Toxaphene (Polychlorinated camphenes)</t>
  </si>
  <si>
    <t>71-55-6</t>
  </si>
  <si>
    <t>1,1,1-Trichloroethane (Methyl chloroform)</t>
  </si>
  <si>
    <t>79-00-5</t>
  </si>
  <si>
    <t>1,1,2-Trichloroethane (Vinyl trichloride)</t>
  </si>
  <si>
    <t>79-01-6</t>
  </si>
  <si>
    <t>Trichloroethene (TCE, Trichloroethylene)</t>
  </si>
  <si>
    <t>88-06-2</t>
  </si>
  <si>
    <t>2,4,6-Trichlorophenol</t>
  </si>
  <si>
    <t>96-18-4</t>
  </si>
  <si>
    <t>1,2,3-Trichloropropane</t>
  </si>
  <si>
    <t>121-44-8</t>
  </si>
  <si>
    <t>Triethylamine</t>
  </si>
  <si>
    <t>526-73-8</t>
  </si>
  <si>
    <t>1,2,3-Trimethylbenzene</t>
  </si>
  <si>
    <t>95-63-6</t>
  </si>
  <si>
    <t>1,2,4-Trimethylbenzene</t>
  </si>
  <si>
    <t>108-67-8</t>
  </si>
  <si>
    <t>1,3,5-Trimethylbenzene</t>
  </si>
  <si>
    <t>51-79-6</t>
  </si>
  <si>
    <t>Urethane (Ethyl carbamate)</t>
  </si>
  <si>
    <t>7440-62-2</t>
  </si>
  <si>
    <t>Vanadium (fume or dust)</t>
  </si>
  <si>
    <t>1314-62-1</t>
  </si>
  <si>
    <t>Vanadium pentoxide</t>
  </si>
  <si>
    <t>108-05-4</t>
  </si>
  <si>
    <t>Vinyl acetate</t>
  </si>
  <si>
    <t>593-60-2</t>
  </si>
  <si>
    <t>Vinyl bromide</t>
  </si>
  <si>
    <t>75-01-4</t>
  </si>
  <si>
    <t>Vinyl chloride</t>
  </si>
  <si>
    <t>75-35-4</t>
  </si>
  <si>
    <t>Vinylidene chloride</t>
  </si>
  <si>
    <t>1330-20-7</t>
  </si>
  <si>
    <t>Xylene (mixture), including m-xylene, o-xylene, p-xylene</t>
  </si>
  <si>
    <t>Chronic Residential Exposure</t>
  </si>
  <si>
    <t>Acute Residential Exposure</t>
  </si>
  <si>
    <t>Kidney Hazard Index</t>
  </si>
  <si>
    <t>Nervous System Hazard Index</t>
  </si>
  <si>
    <t>Immune System Hazard Index</t>
  </si>
  <si>
    <t>Respiratory System Hazard Index</t>
  </si>
  <si>
    <t>R2020</t>
  </si>
  <si>
    <t>R2062</t>
  </si>
  <si>
    <t>R2016</t>
  </si>
  <si>
    <t>R2112</t>
  </si>
  <si>
    <t>A1001</t>
  </si>
  <si>
    <t>A1092</t>
  </si>
  <si>
    <t>A1044</t>
  </si>
  <si>
    <t>A998</t>
  </si>
  <si>
    <t>Target Organ Acute Noncancer Risk for Residential Exposure</t>
  </si>
  <si>
    <t>Total HI 3 Toxic Air Contaminants</t>
  </si>
  <si>
    <t xml:space="preserve">Total HI 5 Toxic Air Contaminants </t>
  </si>
  <si>
    <t>Non-cancer Classification for Hazard Index</t>
  </si>
  <si>
    <t>Noncancer Risk</t>
  </si>
  <si>
    <t>Total HI</t>
  </si>
  <si>
    <t>Table A-15.  Example Summary Risk Table for Level 1 Risk Assessment Showing Exempt EUs</t>
  </si>
  <si>
    <t>Hazard Quotient*</t>
  </si>
  <si>
    <t>Risk Values</t>
  </si>
  <si>
    <t>Risk Determination Ratio</t>
  </si>
  <si>
    <t xml:space="preserve">Hazard Index </t>
  </si>
  <si>
    <t>RDR = Risk Determination Ratio</t>
  </si>
  <si>
    <t>Cancer and HI REER</t>
  </si>
  <si>
    <t>RDR REER</t>
  </si>
  <si>
    <t>Class</t>
  </si>
  <si>
    <t>HI3</t>
  </si>
  <si>
    <t>HI5</t>
  </si>
  <si>
    <t>HI REER</t>
  </si>
  <si>
    <t>RDR Risk</t>
  </si>
  <si>
    <t>HI = Hazard Index</t>
  </si>
  <si>
    <t>RAL = Risk Action Level</t>
  </si>
  <si>
    <t>Noncancer Class</t>
  </si>
  <si>
    <t>TEU 2 Cancer and HI REER</t>
  </si>
  <si>
    <t>TEU 1 RDR REER</t>
  </si>
  <si>
    <t>TEU 1 Cancer and HI REER</t>
  </si>
  <si>
    <t>TEU 2 RDR REER</t>
  </si>
  <si>
    <t>Eyes  Hazard Index</t>
  </si>
  <si>
    <t>Cancer Risk</t>
  </si>
  <si>
    <t>HI Risk</t>
  </si>
  <si>
    <t>Total Risk Determination Ratio (Unit 1 and Unit 2)</t>
  </si>
  <si>
    <t>Ethylbenzene</t>
  </si>
  <si>
    <t>Nickel and compounds</t>
  </si>
  <si>
    <t>Xylene (mixture)</t>
  </si>
  <si>
    <t>Bis(2-chloroethyl) ether (BCEE)</t>
  </si>
  <si>
    <t>Table A-9.  Example of Level 3 Emissions Calculation for REER Approach</t>
  </si>
  <si>
    <t>n/a = non applicable</t>
  </si>
  <si>
    <t>Table A-10.  Example Summary Risk Table for Level 3 Risk Assessment using REER Approach</t>
  </si>
  <si>
    <t>Table A-11. Example of Level 3 Calculation of Emission Rates for REER Approach,</t>
  </si>
  <si>
    <t xml:space="preserve">Table A-12. Example of Level 3 Calculation of Emission Rates for REER Approach, </t>
  </si>
  <si>
    <t>Table A-13.  Example Summary Residential Risk Table for Level 3 Risk Assessment using REER Approach</t>
  </si>
  <si>
    <t>Table A-14.  Example of Level 3 Emissions Calculation for Modeling Unit Emissions and REER Approach</t>
  </si>
  <si>
    <t>Excess Cancer Risk and HI values shown are the maximum outputs from AERMOD for the residiential exposure location using REER approach.</t>
  </si>
  <si>
    <t xml:space="preserve">Table A-16. Example of Level 3 Risk Assessment Risk Determination Ratio Evaluation Table </t>
  </si>
  <si>
    <t xml:space="preserve">Cancer </t>
  </si>
  <si>
    <t>Risk Action Levels for Existing Sources</t>
  </si>
  <si>
    <t>Acute (24-hour)</t>
  </si>
  <si>
    <t>TEU-1</t>
  </si>
  <si>
    <t>TEU-2</t>
  </si>
  <si>
    <r>
      <t>Dispersion Factor</t>
    </r>
    <r>
      <rPr>
        <b/>
        <vertAlign val="superscript"/>
        <sz val="16"/>
        <color theme="1"/>
        <rFont val="Arial"/>
        <family val="2"/>
      </rPr>
      <t>[1]</t>
    </r>
  </si>
  <si>
    <r>
      <t>Calculated Concentration</t>
    </r>
    <r>
      <rPr>
        <b/>
        <vertAlign val="superscript"/>
        <sz val="16"/>
        <color rgb="FF000000"/>
        <rFont val="Arial"/>
        <family val="2"/>
      </rPr>
      <t>[2]</t>
    </r>
  </si>
  <si>
    <t>[2] - Concentration = Emission Rate * Dispersion Factor</t>
  </si>
  <si>
    <t>Stack height</t>
  </si>
  <si>
    <r>
      <rPr>
        <b/>
        <sz val="12"/>
        <color rgb="FF000000"/>
        <rFont val="Arial"/>
        <family val="2"/>
      </rPr>
      <t>Annual</t>
    </r>
    <r>
      <rPr>
        <b/>
        <sz val="11"/>
        <color rgb="FF00000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[lb/yr]</t>
    </r>
  </si>
  <si>
    <r>
      <rPr>
        <b/>
        <sz val="12"/>
        <color rgb="FF000000"/>
        <rFont val="Arial"/>
        <family val="2"/>
      </rPr>
      <t>Acute</t>
    </r>
    <r>
      <rPr>
        <b/>
        <vertAlign val="superscript"/>
        <sz val="12"/>
        <color rgb="FF000000"/>
        <rFont val="Arial"/>
        <family val="2"/>
      </rPr>
      <t>[3]</t>
    </r>
    <r>
      <rPr>
        <b/>
        <sz val="11"/>
        <color rgb="FF00000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[lb/day]</t>
    </r>
  </si>
  <si>
    <t>RDR =</t>
  </si>
  <si>
    <t>RDR required:</t>
  </si>
  <si>
    <t xml:space="preserve">RDR required: </t>
  </si>
  <si>
    <t>Toxics Emissions Unit</t>
  </si>
  <si>
    <t>HI=3</t>
  </si>
  <si>
    <t>HI=5</t>
  </si>
  <si>
    <t>3</t>
  </si>
  <si>
    <t>6</t>
  </si>
  <si>
    <t>12</t>
  </si>
  <si>
    <t>Table A-3. Example 1 – Summary Risk Table for Level 1 Risk Assessment</t>
  </si>
  <si>
    <t>Totals</t>
  </si>
  <si>
    <t>Total Unrounded Source Risk (TEU-1 and TEU-2)</t>
  </si>
  <si>
    <r>
      <rPr>
        <b/>
        <sz val="12"/>
        <color rgb="FF000000"/>
        <rFont val="Arial"/>
        <family val="2"/>
      </rPr>
      <t>Average Annual</t>
    </r>
    <r>
      <rPr>
        <b/>
        <sz val="11"/>
        <color rgb="FF000000"/>
        <rFont val="Arial"/>
        <family val="2"/>
      </rPr>
      <t xml:space="preserve">
[</t>
    </r>
    <r>
      <rPr>
        <b/>
        <sz val="10"/>
        <color rgb="FF000000"/>
        <rFont val="Arial"/>
        <family val="2"/>
      </rPr>
      <t>μg/m</t>
    </r>
    <r>
      <rPr>
        <b/>
        <vertAlign val="superscript"/>
        <sz val="10"/>
        <color rgb="FF000000"/>
        <rFont val="Arial"/>
        <family val="2"/>
      </rPr>
      <t>3</t>
    </r>
    <r>
      <rPr>
        <b/>
        <sz val="10"/>
        <color rgb="FF000000"/>
        <rFont val="Arial"/>
        <family val="2"/>
      </rPr>
      <t>]</t>
    </r>
  </si>
  <si>
    <r>
      <rPr>
        <b/>
        <sz val="12"/>
        <color rgb="FF000000"/>
        <rFont val="Arial"/>
        <family val="2"/>
      </rPr>
      <t>Max Acute</t>
    </r>
    <r>
      <rPr>
        <b/>
        <sz val="11"/>
        <color rgb="FF000000"/>
        <rFont val="Arial"/>
        <family val="2"/>
      </rPr>
      <t xml:space="preserve">
[</t>
    </r>
    <r>
      <rPr>
        <b/>
        <sz val="10"/>
        <color rgb="FF000000"/>
        <rFont val="Arial"/>
        <family val="2"/>
      </rPr>
      <t>μg/m</t>
    </r>
    <r>
      <rPr>
        <b/>
        <vertAlign val="superscript"/>
        <sz val="10"/>
        <color rgb="FF000000"/>
        <rFont val="Arial"/>
        <family val="2"/>
      </rPr>
      <t>3</t>
    </r>
    <r>
      <rPr>
        <b/>
        <sz val="10"/>
        <color rgb="FF000000"/>
        <rFont val="Arial"/>
        <family val="2"/>
      </rPr>
      <t>]</t>
    </r>
  </si>
  <si>
    <r>
      <t>or Index</t>
    </r>
    <r>
      <rPr>
        <b/>
        <vertAlign val="superscript"/>
        <sz val="10"/>
        <color rgb="FF000000"/>
        <rFont val="Arial"/>
        <family val="2"/>
      </rPr>
      <t>[3]</t>
    </r>
  </si>
  <si>
    <r>
      <t>CASRN or DEQ ID</t>
    </r>
    <r>
      <rPr>
        <b/>
        <vertAlign val="superscript"/>
        <sz val="10"/>
        <color rgb="FF000000"/>
        <rFont val="Arial"/>
        <family val="2"/>
      </rPr>
      <t>[1]</t>
    </r>
  </si>
  <si>
    <r>
      <t>Risk</t>
    </r>
    <r>
      <rPr>
        <b/>
        <vertAlign val="superscript"/>
        <sz val="10"/>
        <color rgb="FF000000"/>
        <rFont val="Arial"/>
        <family val="2"/>
      </rPr>
      <t>[2]</t>
    </r>
  </si>
  <si>
    <r>
      <t>or Index</t>
    </r>
    <r>
      <rPr>
        <b/>
        <vertAlign val="superscript"/>
        <sz val="10"/>
        <color rgb="FF000000"/>
        <rFont val="Arial"/>
        <family val="2"/>
      </rPr>
      <t>[4]</t>
    </r>
  </si>
  <si>
    <t>Total Rounded Source Risk</t>
  </si>
  <si>
    <r>
      <t>Lookup Parameters</t>
    </r>
    <r>
      <rPr>
        <b/>
        <vertAlign val="superscript"/>
        <sz val="12"/>
        <color rgb="FF000000"/>
        <rFont val="Arial"/>
        <family val="2"/>
      </rPr>
      <t xml:space="preserve">[1]
</t>
    </r>
    <r>
      <rPr>
        <b/>
        <sz val="10"/>
        <color rgb="FF000000"/>
        <rFont val="Arial"/>
        <family val="2"/>
      </rPr>
      <t>[meters]</t>
    </r>
  </si>
  <si>
    <t>[1] - Lookup parameters include stack height and distance to nearest exposure location type.</t>
  </si>
  <si>
    <t>blue = calculated cell</t>
  </si>
  <si>
    <t>Legend:</t>
  </si>
  <si>
    <t xml:space="preserve">       If all emissions from the facility are of HI5 chemicals, the RALs are: TBACT, HI = 5; Risk Reduction Level, HI = 10; Immediate Curtailment Level, HI = 20. </t>
  </si>
  <si>
    <t xml:space="preserve">       If all emissions from the facility are of HI3 chemicals, the RALs are: TBACT, HI = 3; Risk Reduction Level, HI = 6; Immediate Curtailment Level, HI = 12. </t>
  </si>
  <si>
    <t xml:space="preserve">       If emissions from the facility include a mix of HI5 and HI3 chemicals, the RALs are: TBACT, RDR = 1.0; Risk Reduction Level, RDR = 2.0; Immediate Curtailment Level, RDR = 4.0. </t>
  </si>
  <si>
    <r>
      <t>[μg/m</t>
    </r>
    <r>
      <rPr>
        <b/>
        <vertAlign val="superscript"/>
        <sz val="11"/>
        <color rgb="FF000000"/>
        <rFont val="Arial"/>
        <family val="2"/>
      </rPr>
      <t>3</t>
    </r>
    <r>
      <rPr>
        <b/>
        <sz val="11"/>
        <color rgb="FF000000"/>
        <rFont val="Arial"/>
        <family val="2"/>
      </rPr>
      <t>]</t>
    </r>
  </si>
  <si>
    <t>[μg/m3]</t>
  </si>
  <si>
    <t xml:space="preserve">Toxics Emissions Unit (TEU)             </t>
  </si>
  <si>
    <t>Table A-1. Example 1 – Toxics Emissions Unit Information and Dispersion Factors</t>
  </si>
  <si>
    <t>Distance to:</t>
  </si>
  <si>
    <r>
      <t>2.7</t>
    </r>
    <r>
      <rPr>
        <vertAlign val="superscript"/>
        <sz val="11"/>
        <color rgb="FF000000"/>
        <rFont val="Arial"/>
        <family val="2"/>
      </rPr>
      <t>[3]</t>
    </r>
  </si>
  <si>
    <r>
      <t>0.635</t>
    </r>
    <r>
      <rPr>
        <vertAlign val="superscript"/>
        <sz val="11"/>
        <color rgb="FF000000"/>
        <rFont val="Arial"/>
        <family val="2"/>
      </rPr>
      <t>[4]</t>
    </r>
  </si>
  <si>
    <t>Nonresidential Child</t>
  </si>
  <si>
    <t>Nonresidential Worker</t>
  </si>
  <si>
    <t>Nonresidential child</t>
  </si>
  <si>
    <t>Nonresidential worker</t>
  </si>
  <si>
    <r>
      <t>[3] - Dispersion Factor interpolated between 2.6 and 2.8 µg/m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 xml:space="preserve"> per lb/day</t>
    </r>
  </si>
  <si>
    <r>
      <t>[4] - Dispersion Factor interpolated between 0.62 and 0.65 µg/m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 xml:space="preserve"> per lb/day</t>
    </r>
  </si>
  <si>
    <t>Annual</t>
  </si>
  <si>
    <t xml:space="preserve">Annual </t>
  </si>
  <si>
    <r>
      <t>Dispersion Factor</t>
    </r>
    <r>
      <rPr>
        <b/>
        <vertAlign val="superscript"/>
        <sz val="12"/>
        <color rgb="FF000000"/>
        <rFont val="Arial"/>
        <family val="2"/>
      </rPr>
      <t>[2]
[conc. / emission rate]</t>
    </r>
  </si>
  <si>
    <t>TEU -2</t>
  </si>
  <si>
    <t>RDR Required?</t>
  </si>
  <si>
    <t>Total TEU-1</t>
  </si>
  <si>
    <t>Total TEU-2</t>
  </si>
  <si>
    <t>RDR=</t>
  </si>
  <si>
    <t>[1] - CAS No. is shown unless the contaminant listed includes multiple TACs (such as PAHs), in which case a DEQ ID is shown.</t>
  </si>
  <si>
    <r>
      <t>[2] - Excess Cancer Risk = Annual conc. (μg/m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>) / Cancer RBC (μg/m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>) expressed as risk per million</t>
    </r>
  </si>
  <si>
    <r>
      <t>[3] - Chronic Hazard Quotient = Annual conc. (μg/m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>) / Noncancer RBC (μg/m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>) x 1</t>
    </r>
  </si>
  <si>
    <r>
      <t>[4] - Acute Hazard Quotient = 24-hr conc. (μg/m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>) / Acute RBC (μg/m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>) x 1</t>
    </r>
  </si>
  <si>
    <t>[5] - If HI exceeds 3, a Risk Determination Ratio (RDR) Evaluation table (Example Table A-16) must be included for comparison to RALs if both HI3 and HI5 chemicals are emitted from the facility.</t>
  </si>
  <si>
    <t>[6] - For noncancer risk, TBACT, Risk Reduction, and Immediate Curtailent levels are dependent on the noncancer class of chemicals emitted by the facility:</t>
  </si>
  <si>
    <r>
      <t>Risk Determination Ratio Analysis</t>
    </r>
    <r>
      <rPr>
        <b/>
        <vertAlign val="superscript"/>
        <sz val="14"/>
        <color theme="1"/>
        <rFont val="Arial"/>
        <family val="2"/>
      </rPr>
      <t>[5]</t>
    </r>
  </si>
  <si>
    <r>
      <t>Noncancer</t>
    </r>
    <r>
      <rPr>
        <b/>
        <vertAlign val="superscript"/>
        <sz val="11"/>
        <color rgb="FF000000"/>
        <rFont val="Arial"/>
        <family val="2"/>
      </rPr>
      <t>[6]</t>
    </r>
  </si>
  <si>
    <r>
      <t>RDR</t>
    </r>
    <r>
      <rPr>
        <b/>
        <vertAlign val="superscript"/>
        <sz val="11"/>
        <color theme="1"/>
        <rFont val="Arial"/>
        <family val="2"/>
      </rPr>
      <t>[7]</t>
    </r>
  </si>
  <si>
    <r>
      <t>Risk</t>
    </r>
    <r>
      <rPr>
        <b/>
        <vertAlign val="superscript"/>
        <sz val="11"/>
        <color rgb="FF000000"/>
        <rFont val="Arial"/>
        <family val="2"/>
      </rPr>
      <t>[2]</t>
    </r>
  </si>
  <si>
    <r>
      <t>or Index</t>
    </r>
    <r>
      <rPr>
        <b/>
        <vertAlign val="superscript"/>
        <sz val="11"/>
        <color rgb="FF000000"/>
        <rFont val="Arial"/>
        <family val="2"/>
      </rPr>
      <t>[3]</t>
    </r>
  </si>
  <si>
    <r>
      <t>or Index</t>
    </r>
    <r>
      <rPr>
        <b/>
        <vertAlign val="superscript"/>
        <sz val="11"/>
        <color rgb="FF000000"/>
        <rFont val="Arial"/>
        <family val="2"/>
      </rPr>
      <t>[4]</t>
    </r>
  </si>
  <si>
    <r>
      <t>Location of Maximum Risk</t>
    </r>
    <r>
      <rPr>
        <b/>
        <vertAlign val="superscript"/>
        <sz val="11"/>
        <color rgb="FF000000"/>
        <rFont val="Arial"/>
        <family val="2"/>
      </rPr>
      <t>[5]</t>
    </r>
  </si>
  <si>
    <t>[5] - UTM locations of maximum risk:</t>
  </si>
  <si>
    <t xml:space="preserve">        R2105 = 10T 421046 5021013</t>
  </si>
  <si>
    <t xml:space="preserve">        R2041 = 10T 421040 5021010</t>
  </si>
  <si>
    <t xml:space="preserve">        C3535 = 10T 421046 5020913</t>
  </si>
  <si>
    <t xml:space="preserve">        C3501 = 10T 421048 5020920</t>
  </si>
  <si>
    <t xml:space="preserve">        W1121 = 10T 421040 5020902</t>
  </si>
  <si>
    <t xml:space="preserve">        W1007 = 10T 421038 5020907</t>
  </si>
  <si>
    <t xml:space="preserve">        A1090 = 10T 421046 5021028</t>
  </si>
  <si>
    <t>[7] - For noncancer risk, TBACT, Risk Reduction, and Immediate Curtailent levels are dependent on the noncancer class of chemicals emitted by the facility:</t>
  </si>
  <si>
    <r>
      <t>Risk Determination Ratio Analysis</t>
    </r>
    <r>
      <rPr>
        <b/>
        <vertAlign val="superscript"/>
        <sz val="14"/>
        <color rgb="FF000000"/>
        <rFont val="Arial"/>
        <family val="2"/>
      </rPr>
      <t>[6]</t>
    </r>
  </si>
  <si>
    <r>
      <t>Noncancer</t>
    </r>
    <r>
      <rPr>
        <b/>
        <vertAlign val="superscript"/>
        <sz val="11"/>
        <color rgb="FF000000"/>
        <rFont val="Arial"/>
        <family val="2"/>
      </rPr>
      <t>[7]</t>
    </r>
  </si>
  <si>
    <r>
      <t>RDR</t>
    </r>
    <r>
      <rPr>
        <b/>
        <vertAlign val="superscript"/>
        <sz val="11"/>
        <color theme="1"/>
        <rFont val="Arial"/>
        <family val="2"/>
      </rPr>
      <t>[8]</t>
    </r>
  </si>
  <si>
    <t xml:space="preserve">[1] - Calculated risks are total calculated risks for the example facility, taken from Examples 1, 2, and 3.
</t>
  </si>
  <si>
    <t>[2] - Summation of all Toxic Air Contaminant HIs (HI=3 and HI = 5)</t>
  </si>
  <si>
    <t>[3] - For noncancer risk, TBACT, Risk Reduction, and Immediate Curtailent levels are dependent on the noncancer class of chemicals emitted by the facility:</t>
  </si>
  <si>
    <r>
      <t>Noncancer</t>
    </r>
    <r>
      <rPr>
        <b/>
        <vertAlign val="superscript"/>
        <sz val="11"/>
        <color rgb="FF000000"/>
        <rFont val="Arial"/>
        <family val="2"/>
      </rPr>
      <t>[3]</t>
    </r>
  </si>
  <si>
    <r>
      <t>RDR</t>
    </r>
    <r>
      <rPr>
        <b/>
        <vertAlign val="superscript"/>
        <sz val="11"/>
        <color theme="1"/>
        <rFont val="Arial"/>
        <family val="2"/>
      </rPr>
      <t>[4]</t>
    </r>
  </si>
  <si>
    <r>
      <t>Hazard Index</t>
    </r>
    <r>
      <rPr>
        <b/>
        <vertAlign val="superscript"/>
        <sz val="11"/>
        <color rgb="FF000000"/>
        <rFont val="Arial"/>
        <family val="2"/>
      </rPr>
      <t>[2]</t>
    </r>
  </si>
  <si>
    <r>
      <t>RBC [µg/m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]</t>
    </r>
  </si>
  <si>
    <r>
      <t>CASRN or DEQ ID</t>
    </r>
    <r>
      <rPr>
        <b/>
        <vertAlign val="superscript"/>
        <sz val="11"/>
        <color rgb="FF000000"/>
        <rFont val="Arial"/>
        <family val="2"/>
      </rPr>
      <t>[1]</t>
    </r>
  </si>
  <si>
    <r>
      <t>Hazard Quotient or Index</t>
    </r>
    <r>
      <rPr>
        <b/>
        <vertAlign val="superscript"/>
        <sz val="11"/>
        <color theme="1"/>
        <rFont val="Arial"/>
        <family val="2"/>
      </rPr>
      <t>[3]</t>
    </r>
  </si>
  <si>
    <r>
      <t>Target Organ</t>
    </r>
    <r>
      <rPr>
        <b/>
        <vertAlign val="superscript"/>
        <sz val="11"/>
        <color theme="1"/>
        <rFont val="Arial"/>
        <family val="2"/>
      </rPr>
      <t>[2]</t>
    </r>
    <r>
      <rPr>
        <b/>
        <sz val="11"/>
        <color theme="1"/>
        <rFont val="Arial"/>
        <family val="2"/>
      </rPr>
      <t>:</t>
    </r>
  </si>
  <si>
    <t>[2] - Hazard indices for specific target organs will not necessarily sum to the total hazard index for all organs.</t>
  </si>
  <si>
    <r>
      <t>Annual Concentration [µg/m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]</t>
    </r>
  </si>
  <si>
    <r>
      <t>Daily Concentration [µg/m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]</t>
    </r>
  </si>
  <si>
    <t>[4] - If HI exceeds 3, a Risk Determination Ratio (RDR) Evaluation table (Example Table A-16) must be included for comparison to RALs if both HI3 and HI5 chemicals are emitted from the facility.</t>
  </si>
  <si>
    <t>[5] - For noncancer risk, TBACT, Risk Reduction, and Immediate Curtailent levels are dependent on the noncancer class of chemicals emitted by the facility:</t>
  </si>
  <si>
    <r>
      <t>Risk Determination Ratio Analysis</t>
    </r>
    <r>
      <rPr>
        <b/>
        <vertAlign val="superscript"/>
        <sz val="11"/>
        <color rgb="FF000000"/>
        <rFont val="Arial"/>
        <family val="2"/>
      </rPr>
      <t>[4]</t>
    </r>
  </si>
  <si>
    <r>
      <t>Noncancer</t>
    </r>
    <r>
      <rPr>
        <b/>
        <vertAlign val="superscript"/>
        <sz val="11"/>
        <color rgb="FF000000"/>
        <rFont val="Arial"/>
        <family val="2"/>
      </rPr>
      <t>[5]</t>
    </r>
  </si>
  <si>
    <r>
      <t>RDR</t>
    </r>
    <r>
      <rPr>
        <b/>
        <vertAlign val="superscript"/>
        <sz val="11"/>
        <color theme="1"/>
        <rFont val="Arial"/>
        <family val="2"/>
      </rPr>
      <t>[6]</t>
    </r>
  </si>
  <si>
    <t>[3] - Acute Hazard Quotient = 24-hr conc. (μg/m3) / Acute RBC (μg/m3) x 1</t>
  </si>
  <si>
    <t>[2] - Annual Emission Rate (g/s) = Annual Emission Rate (lb/yr) x 453.6 g/lb / (60 sec/min x 60 min/hr x 24 hr/day x 365 day/yr)</t>
  </si>
  <si>
    <t>[3] - Daily Emission Rate (g/s) = Daily Emission Rate (lb/day) x 453.6 g/lb / (60 sec/min x 60 min/hr x 24 hr/day)</t>
  </si>
  <si>
    <r>
      <t>Annual Emission Rate</t>
    </r>
    <r>
      <rPr>
        <b/>
        <vertAlign val="superscript"/>
        <sz val="11"/>
        <color theme="1"/>
        <rFont val="Arial"/>
        <family val="2"/>
      </rPr>
      <t>[2]</t>
    </r>
  </si>
  <si>
    <r>
      <t>Daily Emission Rate</t>
    </r>
    <r>
      <rPr>
        <b/>
        <vertAlign val="superscript"/>
        <sz val="11"/>
        <color theme="1"/>
        <rFont val="Arial"/>
        <family val="2"/>
      </rPr>
      <t>[3]</t>
    </r>
  </si>
  <si>
    <t>[1] - Values shown are the maximum outputs from AERMOD for each exposure location using modeled risk equivalent emission rates (Table A-9).</t>
  </si>
  <si>
    <r>
      <t>Location of Maximum Risk</t>
    </r>
    <r>
      <rPr>
        <b/>
        <vertAlign val="superscript"/>
        <sz val="11"/>
        <color theme="1"/>
        <rFont val="Arial"/>
        <family val="2"/>
      </rPr>
      <t>[2]</t>
    </r>
  </si>
  <si>
    <t>[2] - UTM locations of maximum risk:</t>
  </si>
  <si>
    <t xml:space="preserve">       R2105 = 10T 421046 5021013</t>
  </si>
  <si>
    <t xml:space="preserve">       R2041 = 10T 421040 5021010</t>
  </si>
  <si>
    <t xml:space="preserve">       C3535 = 10T 421046 5020913</t>
  </si>
  <si>
    <t xml:space="preserve">       C3501 = 10T 421048 5020920</t>
  </si>
  <si>
    <t xml:space="preserve">       W1121 = 10T 421040 5020902</t>
  </si>
  <si>
    <t xml:space="preserve">       W1007 = 10T 421038 5020907</t>
  </si>
  <si>
    <t xml:space="preserve">       A1090 = 10T 421046 5021028</t>
  </si>
  <si>
    <r>
      <t>Total Source 
(TEU-1 and TEU-2)</t>
    </r>
    <r>
      <rPr>
        <b/>
        <vertAlign val="superscript"/>
        <sz val="11"/>
        <color theme="1"/>
        <rFont val="Arial"/>
        <family val="2"/>
      </rPr>
      <t>[3]</t>
    </r>
  </si>
  <si>
    <r>
      <t>CASRN or DEQ ID</t>
    </r>
    <r>
      <rPr>
        <b/>
        <vertAlign val="superscript"/>
        <sz val="10"/>
        <color theme="1"/>
        <rFont val="Arial"/>
        <family val="2"/>
      </rPr>
      <t>[1]</t>
    </r>
  </si>
  <si>
    <r>
      <t>Annual Emission Rate</t>
    </r>
    <r>
      <rPr>
        <b/>
        <vertAlign val="superscript"/>
        <sz val="10"/>
        <color theme="1"/>
        <rFont val="Arial"/>
        <family val="2"/>
      </rPr>
      <t>[2]</t>
    </r>
  </si>
  <si>
    <r>
      <t>Annual REER</t>
    </r>
    <r>
      <rPr>
        <b/>
        <vertAlign val="superscript"/>
        <sz val="10"/>
        <color theme="1"/>
        <rFont val="Arial"/>
        <family val="2"/>
      </rPr>
      <t>[3]</t>
    </r>
  </si>
  <si>
    <r>
      <t>[3] - REER (g/s per μg/m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 = Annual Emission Rate (g/s) / Chronic RBC (μg/m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</si>
  <si>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[lb/day]</t>
  </si>
  <si>
    <t>[g/s]</t>
  </si>
  <si>
    <r>
      <t>[g/s per μg/m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]</t>
    </r>
  </si>
  <si>
    <r>
      <t>[μg/m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]</t>
    </r>
  </si>
  <si>
    <t>[lb/yr]</t>
  </si>
  <si>
    <t>[2] - Daily Emission Rate (g/s) = Daily Emission Rate (lb/dy) x 453.6 g/lb / (60 sec/min x 60 min/hr x 24 hr/day)</t>
  </si>
  <si>
    <r>
      <t>CASRN or DEQ ID</t>
    </r>
    <r>
      <rPr>
        <b/>
        <vertAlign val="superscript"/>
        <sz val="11"/>
        <color theme="1"/>
        <rFont val="Arial"/>
        <family val="2"/>
      </rPr>
      <t>[1]</t>
    </r>
  </si>
  <si>
    <r>
      <t>Daily Emission Rate</t>
    </r>
    <r>
      <rPr>
        <b/>
        <vertAlign val="superscript"/>
        <sz val="11"/>
        <color theme="1"/>
        <rFont val="Arial"/>
        <family val="2"/>
      </rPr>
      <t>[2]</t>
    </r>
  </si>
  <si>
    <r>
      <t>Acute REER</t>
    </r>
    <r>
      <rPr>
        <b/>
        <vertAlign val="superscript"/>
        <sz val="11"/>
        <color theme="1"/>
        <rFont val="Arial"/>
        <family val="2"/>
      </rPr>
      <t>[3]</t>
    </r>
  </si>
  <si>
    <r>
      <t>[3] - REER (g/s per μg/m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 = Daily Emission Rate (g/s) / Acute RBC (μg/m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</si>
  <si>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[1] - Location of Maximum Risk:</t>
  </si>
  <si>
    <t xml:space="preserve">      R2105 = 10T 421046 5021013</t>
  </si>
  <si>
    <t xml:space="preserve">      R2020 = 10T 421040 5021010</t>
  </si>
  <si>
    <t xml:space="preserve">      R2062 = 10T 421046 5020913</t>
  </si>
  <si>
    <t xml:space="preserve">      R2016 = 10T 421048 5020920</t>
  </si>
  <si>
    <t xml:space="preserve">      R2112 = 10T 421040 5020902</t>
  </si>
  <si>
    <t xml:space="preserve">      A1001 = 10T 421038 5020907</t>
  </si>
  <si>
    <t xml:space="preserve">      A1092 = 10T 421046 5021028</t>
  </si>
  <si>
    <t xml:space="preserve">      A1044 = 10T 421053 5021024</t>
  </si>
  <si>
    <t xml:space="preserve">      A998 = 10T 421035 5021011</t>
  </si>
  <si>
    <t>[2] - Risk Determination Ratio needed only if Hazard Index exceeds 3.</t>
  </si>
  <si>
    <t xml:space="preserve">HI </t>
  </si>
  <si>
    <t xml:space="preserve">RDR  </t>
  </si>
  <si>
    <r>
      <t>Concentraion [</t>
    </r>
    <r>
      <rPr>
        <sz val="11"/>
        <color theme="1"/>
        <rFont val="Calibri"/>
        <family val="2"/>
      </rPr>
      <t>µ</t>
    </r>
    <r>
      <rPr>
        <sz val="11"/>
        <color theme="1"/>
        <rFont val="Arial"/>
        <family val="2"/>
      </rPr>
      <t>g/m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]</t>
    </r>
  </si>
  <si>
    <r>
      <t>REER Calculations [g/s per μg/m</t>
    </r>
    <r>
      <rPr>
        <b/>
        <vertAlign val="superscript"/>
        <sz val="11"/>
        <color rgb="FF000000"/>
        <rFont val="Arial"/>
        <family val="2"/>
      </rPr>
      <t>3</t>
    </r>
    <r>
      <rPr>
        <b/>
        <sz val="11"/>
        <color rgb="FF000000"/>
        <rFont val="Arial"/>
        <family val="2"/>
      </rPr>
      <t>]</t>
    </r>
    <r>
      <rPr>
        <b/>
        <vertAlign val="superscript"/>
        <sz val="11"/>
        <color rgb="FF000000"/>
        <rFont val="Arial"/>
        <family val="2"/>
      </rPr>
      <t>[1]</t>
    </r>
  </si>
  <si>
    <r>
      <t>Location of Max Conc.</t>
    </r>
    <r>
      <rPr>
        <vertAlign val="superscript"/>
        <sz val="11"/>
        <color theme="1"/>
        <rFont val="Arial"/>
        <family val="2"/>
      </rPr>
      <t>[2]</t>
    </r>
  </si>
  <si>
    <t>[1] - See Table A-9 for example of how to calculate REER values</t>
  </si>
  <si>
    <t xml:space="preserve">[2] - Location of Maximum Risk: </t>
  </si>
  <si>
    <t>Total Source (TEU-1 and TEU-2) Cancer and Hazard Index</t>
  </si>
  <si>
    <r>
      <t>Total Source (TEU-1 and TEU-2) RDR</t>
    </r>
    <r>
      <rPr>
        <b/>
        <vertAlign val="superscript"/>
        <sz val="11"/>
        <color theme="1"/>
        <rFont val="Arial"/>
        <family val="2"/>
      </rPr>
      <t>[2]</t>
    </r>
  </si>
  <si>
    <r>
      <t>Modeling Results [μg/m</t>
    </r>
    <r>
      <rPr>
        <b/>
        <vertAlign val="superscript"/>
        <sz val="11"/>
        <color rgb="FF000000"/>
        <rFont val="Arial"/>
        <family val="2"/>
      </rPr>
      <t>3</t>
    </r>
    <r>
      <rPr>
        <b/>
        <sz val="11"/>
        <color rgb="FF000000"/>
        <rFont val="Arial"/>
        <family val="2"/>
      </rPr>
      <t>]</t>
    </r>
  </si>
  <si>
    <r>
      <t>Cas No. or DEQ ID</t>
    </r>
    <r>
      <rPr>
        <b/>
        <vertAlign val="superscript"/>
        <sz val="10"/>
        <color rgb="FF000000"/>
        <rFont val="Arial"/>
        <family val="2"/>
      </rPr>
      <t>[1]</t>
    </r>
  </si>
  <si>
    <t>Aggregated TEUs (TEU-4, TEU-5, TEU-6)</t>
  </si>
  <si>
    <r>
      <t>Quotient</t>
    </r>
    <r>
      <rPr>
        <b/>
        <vertAlign val="superscript"/>
        <sz val="10"/>
        <color rgb="FF000000"/>
        <rFont val="Arial"/>
        <family val="2"/>
      </rPr>
      <t>[4]</t>
    </r>
  </si>
  <si>
    <r>
      <t>Quotient</t>
    </r>
    <r>
      <rPr>
        <b/>
        <vertAlign val="superscript"/>
        <sz val="10"/>
        <color rgb="FF000000"/>
        <rFont val="Arial"/>
        <family val="2"/>
      </rPr>
      <t>[3]</t>
    </r>
  </si>
  <si>
    <r>
      <t>Benzo[a]pyrene</t>
    </r>
    <r>
      <rPr>
        <vertAlign val="superscript"/>
        <sz val="11"/>
        <color theme="1"/>
        <rFont val="Arial"/>
        <family val="2"/>
      </rPr>
      <t>[5]</t>
    </r>
  </si>
  <si>
    <t>[5] - Because benzo[a]pyrene is included in PAHs for cancer effects, only noncancer effects need to evaluated individually for benzo[a]pyrene.</t>
  </si>
  <si>
    <t>Total Rounded Cancer Risk (TEU-1 and TEU-2)</t>
  </si>
  <si>
    <t>Total Rounded RDR (TEU-1 and TEU-2)</t>
  </si>
  <si>
    <r>
      <t>or RDR</t>
    </r>
    <r>
      <rPr>
        <b/>
        <vertAlign val="superscript"/>
        <sz val="10"/>
        <color rgb="FF000000"/>
        <rFont val="Arial"/>
        <family val="2"/>
      </rPr>
      <t>[3]</t>
    </r>
  </si>
  <si>
    <r>
      <t>or RDR</t>
    </r>
    <r>
      <rPr>
        <b/>
        <vertAlign val="superscript"/>
        <sz val="10"/>
        <color rgb="FF000000"/>
        <rFont val="Arial"/>
        <family val="2"/>
      </rPr>
      <t>[4]</t>
    </r>
  </si>
  <si>
    <r>
      <t>Total RDR (Unit 1 and Unit 2)</t>
    </r>
    <r>
      <rPr>
        <vertAlign val="superscript"/>
        <sz val="10"/>
        <color rgb="FF000000"/>
        <rFont val="Arial"/>
        <family val="2"/>
      </rPr>
      <t>[5]</t>
    </r>
  </si>
  <si>
    <r>
      <t>Annual  Concentration [µg/m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]</t>
    </r>
  </si>
  <si>
    <r>
      <t>Cas No. or DEQ ID</t>
    </r>
    <r>
      <rPr>
        <b/>
        <vertAlign val="superscript"/>
        <sz val="11"/>
        <color rgb="FF000000"/>
        <rFont val="Arial"/>
        <family val="2"/>
      </rPr>
      <t>[1]</t>
    </r>
  </si>
  <si>
    <r>
      <t>Total Rounded Risk Determination Ratio (Unit 1 and Unit 2)</t>
    </r>
    <r>
      <rPr>
        <b/>
        <vertAlign val="superscript"/>
        <sz val="11"/>
        <color rgb="FF000000"/>
        <rFont val="Arial"/>
        <family val="2"/>
      </rPr>
      <t>[4]</t>
    </r>
  </si>
  <si>
    <t>RBCs</t>
  </si>
  <si>
    <r>
      <t xml:space="preserve">        Units for residential, nonresidential child, and nonresidential worker are [µg/m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 xml:space="preserve"> per lb/yr].</t>
    </r>
  </si>
  <si>
    <r>
      <t xml:space="preserve">        Units for acute are [µg/m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 xml:space="preserve"> per lb/day].</t>
    </r>
  </si>
  <si>
    <r>
      <rPr>
        <b/>
        <sz val="12"/>
        <color theme="1"/>
        <rFont val="Arial"/>
        <family val="2"/>
      </rPr>
      <t>Annual</t>
    </r>
    <r>
      <rPr>
        <b/>
        <sz val="11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[μg/m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 xml:space="preserve"> per lb/yr]</t>
    </r>
  </si>
  <si>
    <r>
      <rPr>
        <b/>
        <sz val="12"/>
        <color theme="1"/>
        <rFont val="Arial"/>
        <family val="2"/>
      </rPr>
      <t>Acute</t>
    </r>
    <r>
      <rPr>
        <b/>
        <sz val="11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[μg/m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 xml:space="preserve"> per lb/day]</t>
    </r>
  </si>
  <si>
    <t>[3] - Acute (24-hour) emission rate may be annual rate/365 days, or vary if operation is either less than 365 days/year, or a batch operation.</t>
  </si>
  <si>
    <r>
      <t>Table A-6.  Summary of Calculated Risk</t>
    </r>
    <r>
      <rPr>
        <b/>
        <vertAlign val="superscript"/>
        <sz val="16"/>
        <color theme="1"/>
        <rFont val="Arial"/>
        <family val="2"/>
      </rPr>
      <t>[1]</t>
    </r>
    <r>
      <rPr>
        <b/>
        <sz val="16"/>
        <color theme="1"/>
        <rFont val="Arial"/>
        <family val="2"/>
      </rPr>
      <t xml:space="preserve"> at Different Risk Assessment Levels</t>
    </r>
  </si>
  <si>
    <r>
      <t>Location of Maximum Risk</t>
    </r>
    <r>
      <rPr>
        <b/>
        <vertAlign val="superscript"/>
        <sz val="11"/>
        <color theme="1"/>
        <rFont val="Arial"/>
        <family val="2"/>
      </rPr>
      <t>[1]</t>
    </r>
    <r>
      <rPr>
        <b/>
        <sz val="11"/>
        <color theme="1"/>
        <rFont val="Arial"/>
        <family val="2"/>
      </rPr>
      <t>:</t>
    </r>
  </si>
  <si>
    <t>Natural Gas Boiler (TEU-7), &gt;10 and &lt;100 MMBTU</t>
  </si>
  <si>
    <t>PAHs (excluding naphthalene)</t>
  </si>
  <si>
    <t>Table A-17. Example Level 2 Risk Determination Ratio Evaluation,</t>
  </si>
  <si>
    <t>Noncancer Target Organ System</t>
  </si>
  <si>
    <t xml:space="preserve">[2] - Dispersion factors from OAR 340-245-8010 Table 3. </t>
  </si>
  <si>
    <t xml:space="preserve">[1] - Dispersion factors from OAR 340-245-8010 Table 3. See Table A-1. </t>
  </si>
  <si>
    <t>RBCs by Exposure Scenario [OAR 340-245-8010 Table 2]</t>
  </si>
  <si>
    <t>7446-11-9</t>
  </si>
  <si>
    <t>Dichlorvos (DDVP)</t>
  </si>
  <si>
    <t>Cleaner Air Oregon</t>
  </si>
  <si>
    <t>Description of Revisions to Past Spreadsheets</t>
  </si>
  <si>
    <t>Tab Name</t>
  </si>
  <si>
    <t>Description</t>
  </si>
  <si>
    <t>Changes to Spreadsheet, August 2022</t>
  </si>
  <si>
    <t>Updated rule references.</t>
  </si>
  <si>
    <t>All Tables</t>
  </si>
  <si>
    <t>Corrected spelling of dichlorvos (from dichlorovos).</t>
  </si>
  <si>
    <t>Recommended Procedures for Toxic Air Contaminant Health Risk Assessments</t>
  </si>
  <si>
    <t>Appendix A Tables</t>
  </si>
  <si>
    <t>Corrected CASRN for sulfur trioxide.</t>
  </si>
  <si>
    <t>Original Spreadsheet, October 2020</t>
  </si>
  <si>
    <t>[4] - Risk Determination Ratio calculation is not applicable below TBACT level.</t>
  </si>
  <si>
    <t>[6] - Risk Determination Ratio calculation is not applicable below TBACT level.</t>
  </si>
  <si>
    <t xml:space="preserve">[4] - Risk Determination Ratio calculation is not applicable below TBACT level. </t>
  </si>
  <si>
    <t xml:space="preserve">       however, the total risk is below the TBACT level.</t>
  </si>
  <si>
    <t>[3] - Because the facility emits a combination of HI5 and HI3 chemicals, the TBACT, Risk Reduction, and Immediate Curtailent levels are based on the Risk Determination Ratio,</t>
  </si>
  <si>
    <t xml:space="preserve">       If emissions from the facility include a mix of HI5 and HI3 chemicals, the RALs are: TBACT, RDR = 1.0; Risk Reduction Level, RDR = 2.0;</t>
  </si>
  <si>
    <t xml:space="preserve">       Immediate Curtailment Level, RDR = 4.0. </t>
  </si>
  <si>
    <t>[7] - Risk Determination Ratio calculation is not applicable below TBACT level. For comparision against Source Permit Level and Community Engagement RALs, sum the combined HI3 and HI5 risk and round appropriately [OAR 340-245-0200].</t>
  </si>
  <si>
    <t>[8] - Risk Determination Ratio calculation is not applicable below TBACT level. For comparision against Source Permit Level and Community Engagement RALs, sum the combined HI3 and HI5 risk and round appropriately [OAR 340-245-0200].</t>
  </si>
  <si>
    <t xml:space="preserve">       For comparision against Source Permit Level and Community Engagement RALs, sum the combined HI3 and HI5 risk and round appropriately [OAR 340-245-0200].</t>
  </si>
  <si>
    <t>[5] - If HI exceeds 3, a Risk Determination Ratio (RDR) evaluation table (Example Table A-16) must be included for comparison to RALs if both HI3 and HI5 chemicals are emitted from the facility. (See OAR 340-245-0200(7))</t>
  </si>
  <si>
    <t>[6] - If HI exceeds 3, a Risk Determination Ratio (RDR) evaluation table (Example Table A-16) must be included for comparison to RALs if both HI3 and HI5 chemicals are emitted from the facility. (See OAR 340-245-0200(7))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</si>
</sst>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000"/>
    <numFmt numFmtId="165" formatCode="0.000"/>
    <numFmt numFmtId="166" formatCode="0.0"/>
    <numFmt numFmtId="167" formatCode="0.00000"/>
    <numFmt numFmtId="168" formatCode="0.000000"/>
    <numFmt numFmtId="169" formatCode="#,##0.0000"/>
    <numFmt numFmtId="170" formatCode="0.0000000"/>
    <numFmt numFmtId="171" formatCode="0.0E+00"/>
  </numFmts>
  <fonts count="4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10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rgb="FF000000"/>
      <name val="Arial"/>
      <family val="2"/>
    </font>
    <font>
      <b/>
      <vertAlign val="superscript"/>
      <sz val="11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el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b/>
      <vertAlign val="superscript"/>
      <sz val="16"/>
      <color theme="1"/>
      <name val="Arial"/>
      <family val="2"/>
    </font>
    <font>
      <b/>
      <vertAlign val="superscript"/>
      <sz val="16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b/>
      <vertAlign val="superscript"/>
      <sz val="14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000000"/>
      <name val="Arial"/>
      <family val="2"/>
    </font>
    <font>
      <b/>
      <sz val="15"/>
      <color theme="1"/>
      <name val="Calibri"/>
      <family val="2"/>
      <scheme val="minor"/>
    </font>
    <font>
      <b/>
      <vertAlign val="superscript"/>
      <sz val="14"/>
      <color rgb="FF000000"/>
      <name val="Arial"/>
      <family val="2"/>
    </font>
    <font>
      <sz val="11"/>
      <color theme="1"/>
      <name val="Calibri"/>
      <family val="2"/>
    </font>
    <font>
      <vertAlign val="superscript"/>
      <sz val="10"/>
      <color rgb="FF000000"/>
      <name val="Arial"/>
      <family val="2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9" fillId="0" borderId="0"/>
    <xf numFmtId="43" fontId="25" fillId="0" borderId="0" applyFont="0" applyFill="0" applyBorder="0" applyAlignment="0" applyProtection="0"/>
  </cellStyleXfs>
  <cellXfs count="944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0" fillId="3" borderId="0" xfId="0" applyFill="1"/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7" xfId="0" applyFont="1" applyBorder="1"/>
    <xf numFmtId="0" fontId="6" fillId="0" borderId="7" xfId="0" applyFont="1" applyBorder="1" applyAlignment="1">
      <alignment vertical="center"/>
    </xf>
    <xf numFmtId="0" fontId="2" fillId="3" borderId="0" xfId="0" applyFont="1" applyFill="1" applyAlignment="1">
      <alignment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1" fillId="3" borderId="0" xfId="0" applyFont="1" applyFill="1"/>
    <xf numFmtId="0" fontId="4" fillId="0" borderId="0" xfId="0" applyFont="1"/>
    <xf numFmtId="0" fontId="4" fillId="0" borderId="4" xfId="0" applyFont="1" applyBorder="1"/>
    <xf numFmtId="0" fontId="11" fillId="0" borderId="1" xfId="0" applyFont="1" applyBorder="1" applyAlignment="1">
      <alignment horizontal="center" vertical="center"/>
    </xf>
    <xf numFmtId="0" fontId="4" fillId="3" borderId="0" xfId="0" applyFont="1" applyFill="1"/>
    <xf numFmtId="0" fontId="4" fillId="0" borderId="2" xfId="0" applyFont="1" applyBorder="1"/>
    <xf numFmtId="0" fontId="7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0" fontId="4" fillId="0" borderId="7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/>
    <xf numFmtId="0" fontId="3" fillId="0" borderId="6" xfId="0" applyFont="1" applyBorder="1"/>
    <xf numFmtId="0" fontId="4" fillId="0" borderId="1" xfId="0" applyFont="1" applyBorder="1"/>
    <xf numFmtId="0" fontId="4" fillId="0" borderId="6" xfId="0" applyFont="1" applyBorder="1"/>
    <xf numFmtId="0" fontId="4" fillId="0" borderId="4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6" xfId="0" applyFont="1" applyBorder="1"/>
    <xf numFmtId="0" fontId="3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169" fontId="3" fillId="4" borderId="14" xfId="0" applyNumberFormat="1" applyFont="1" applyFill="1" applyBorder="1" applyAlignment="1">
      <alignment horizontal="center"/>
    </xf>
    <xf numFmtId="3" fontId="3" fillId="4" borderId="14" xfId="0" applyNumberFormat="1" applyFont="1" applyFill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5" borderId="14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49" fontId="20" fillId="0" borderId="14" xfId="1" applyNumberFormat="1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7" xfId="0" applyBorder="1"/>
    <xf numFmtId="0" fontId="0" fillId="0" borderId="2" xfId="0" applyBorder="1"/>
    <xf numFmtId="1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21" fillId="3" borderId="6" xfId="0" applyFont="1" applyFill="1" applyBorder="1"/>
    <xf numFmtId="2" fontId="4" fillId="0" borderId="5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/>
    </xf>
    <xf numFmtId="0" fontId="0" fillId="3" borderId="0" xfId="0" applyFill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21" fillId="3" borderId="0" xfId="0" applyFont="1" applyFill="1"/>
    <xf numFmtId="165" fontId="24" fillId="0" borderId="4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/>
    </xf>
    <xf numFmtId="165" fontId="4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0" fillId="3" borderId="1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0" fontId="0" fillId="0" borderId="4" xfId="0" applyBorder="1"/>
    <xf numFmtId="166" fontId="4" fillId="0" borderId="6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11" fillId="0" borderId="7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171" fontId="4" fillId="0" borderId="0" xfId="0" applyNumberFormat="1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1" fontId="4" fillId="0" borderId="4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2" fontId="0" fillId="0" borderId="4" xfId="0" applyNumberFormat="1" applyBorder="1"/>
    <xf numFmtId="165" fontId="3" fillId="0" borderId="6" xfId="0" applyNumberFormat="1" applyFont="1" applyBorder="1"/>
    <xf numFmtId="165" fontId="3" fillId="0" borderId="7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 wrapText="1"/>
    </xf>
    <xf numFmtId="0" fontId="12" fillId="3" borderId="0" xfId="0" applyFont="1" applyFill="1"/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28" fillId="3" borderId="0" xfId="0" applyFont="1" applyFill="1" applyAlignment="1">
      <alignment vertical="center" wrapText="1"/>
    </xf>
    <xf numFmtId="0" fontId="28" fillId="3" borderId="5" xfId="0" applyFont="1" applyFill="1" applyBorder="1" applyAlignment="1">
      <alignment vertical="center" wrapText="1"/>
    </xf>
    <xf numFmtId="0" fontId="7" fillId="0" borderId="57" xfId="0" applyFont="1" applyBorder="1" applyAlignment="1">
      <alignment horizontal="left" vertical="center" wrapText="1"/>
    </xf>
    <xf numFmtId="0" fontId="7" fillId="0" borderId="57" xfId="0" applyFont="1" applyBorder="1" applyAlignment="1">
      <alignment vertical="center"/>
    </xf>
    <xf numFmtId="2" fontId="7" fillId="0" borderId="58" xfId="0" applyNumberFormat="1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45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3" fontId="7" fillId="0" borderId="5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61" xfId="0" applyFont="1" applyBorder="1"/>
    <xf numFmtId="0" fontId="7" fillId="0" borderId="62" xfId="0" applyFont="1" applyBorder="1" applyAlignment="1">
      <alignment vertical="center" wrapText="1"/>
    </xf>
    <xf numFmtId="2" fontId="7" fillId="0" borderId="62" xfId="0" applyNumberFormat="1" applyFont="1" applyBorder="1" applyAlignment="1">
      <alignment horizontal="center" vertical="center" wrapText="1"/>
    </xf>
    <xf numFmtId="165" fontId="7" fillId="0" borderId="62" xfId="0" applyNumberFormat="1" applyFont="1" applyBorder="1" applyAlignment="1">
      <alignment horizontal="center" vertical="center" wrapText="1"/>
    </xf>
    <xf numFmtId="165" fontId="7" fillId="0" borderId="61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166" fontId="16" fillId="3" borderId="19" xfId="0" applyNumberFormat="1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166" fontId="16" fillId="3" borderId="22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3" fontId="7" fillId="0" borderId="1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3" fontId="7" fillId="0" borderId="14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49" fontId="14" fillId="0" borderId="32" xfId="0" applyNumberFormat="1" applyFont="1" applyBorder="1" applyAlignment="1">
      <alignment horizontal="center" vertical="center" wrapText="1"/>
    </xf>
    <xf numFmtId="49" fontId="14" fillId="0" borderId="42" xfId="0" applyNumberFormat="1" applyFont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2" fontId="7" fillId="8" borderId="23" xfId="0" applyNumberFormat="1" applyFont="1" applyFill="1" applyBorder="1" applyAlignment="1">
      <alignment horizontal="center" vertical="center"/>
    </xf>
    <xf numFmtId="2" fontId="7" fillId="8" borderId="24" xfId="0" applyNumberFormat="1" applyFont="1" applyFill="1" applyBorder="1" applyAlignment="1">
      <alignment horizontal="center" vertical="center"/>
    </xf>
    <xf numFmtId="2" fontId="7" fillId="8" borderId="25" xfId="0" applyNumberFormat="1" applyFont="1" applyFill="1" applyBorder="1" applyAlignment="1">
      <alignment horizontal="center" vertical="center"/>
    </xf>
    <xf numFmtId="2" fontId="7" fillId="8" borderId="18" xfId="0" applyNumberFormat="1" applyFont="1" applyFill="1" applyBorder="1" applyAlignment="1">
      <alignment horizontal="center" vertical="center"/>
    </xf>
    <xf numFmtId="2" fontId="7" fillId="8" borderId="14" xfId="0" applyNumberFormat="1" applyFont="1" applyFill="1" applyBorder="1" applyAlignment="1">
      <alignment horizontal="center" vertical="center"/>
    </xf>
    <xf numFmtId="2" fontId="7" fillId="8" borderId="19" xfId="0" applyNumberFormat="1" applyFont="1" applyFill="1" applyBorder="1" applyAlignment="1">
      <alignment horizontal="center" vertical="center"/>
    </xf>
    <xf numFmtId="2" fontId="7" fillId="8" borderId="20" xfId="0" applyNumberFormat="1" applyFont="1" applyFill="1" applyBorder="1" applyAlignment="1">
      <alignment horizontal="center" vertical="center"/>
    </xf>
    <xf numFmtId="2" fontId="7" fillId="8" borderId="21" xfId="0" applyNumberFormat="1" applyFont="1" applyFill="1" applyBorder="1" applyAlignment="1">
      <alignment horizontal="center" vertical="center"/>
    </xf>
    <xf numFmtId="2" fontId="7" fillId="8" borderId="22" xfId="0" applyNumberFormat="1" applyFont="1" applyFill="1" applyBorder="1" applyAlignment="1">
      <alignment horizontal="center" vertical="center"/>
    </xf>
    <xf numFmtId="1" fontId="7" fillId="8" borderId="23" xfId="0" applyNumberFormat="1" applyFont="1" applyFill="1" applyBorder="1" applyAlignment="1">
      <alignment horizontal="center" vertical="center"/>
    </xf>
    <xf numFmtId="1" fontId="7" fillId="8" borderId="24" xfId="0" applyNumberFormat="1" applyFont="1" applyFill="1" applyBorder="1" applyAlignment="1">
      <alignment horizontal="center" vertical="center"/>
    </xf>
    <xf numFmtId="1" fontId="7" fillId="8" borderId="25" xfId="0" applyNumberFormat="1" applyFont="1" applyFill="1" applyBorder="1" applyAlignment="1">
      <alignment horizontal="center" vertical="center"/>
    </xf>
    <xf numFmtId="1" fontId="7" fillId="8" borderId="18" xfId="0" applyNumberFormat="1" applyFont="1" applyFill="1" applyBorder="1" applyAlignment="1">
      <alignment horizontal="center" vertical="center"/>
    </xf>
    <xf numFmtId="1" fontId="7" fillId="8" borderId="14" xfId="0" applyNumberFormat="1" applyFont="1" applyFill="1" applyBorder="1" applyAlignment="1">
      <alignment horizontal="center" vertical="center"/>
    </xf>
    <xf numFmtId="1" fontId="7" fillId="8" borderId="19" xfId="0" applyNumberFormat="1" applyFont="1" applyFill="1" applyBorder="1" applyAlignment="1">
      <alignment horizontal="center" vertical="center"/>
    </xf>
    <xf numFmtId="1" fontId="7" fillId="8" borderId="20" xfId="0" applyNumberFormat="1" applyFont="1" applyFill="1" applyBorder="1" applyAlignment="1">
      <alignment horizontal="center" vertical="center"/>
    </xf>
    <xf numFmtId="1" fontId="7" fillId="8" borderId="21" xfId="0" applyNumberFormat="1" applyFont="1" applyFill="1" applyBorder="1" applyAlignment="1">
      <alignment horizontal="center" vertical="center"/>
    </xf>
    <xf numFmtId="1" fontId="7" fillId="8" borderId="22" xfId="0" applyNumberFormat="1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 wrapText="1"/>
    </xf>
    <xf numFmtId="0" fontId="7" fillId="8" borderId="60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/>
    </xf>
    <xf numFmtId="1" fontId="7" fillId="8" borderId="0" xfId="0" applyNumberFormat="1" applyFont="1" applyFill="1" applyAlignment="1">
      <alignment horizontal="center" vertical="center"/>
    </xf>
    <xf numFmtId="1" fontId="7" fillId="8" borderId="5" xfId="0" applyNumberFormat="1" applyFont="1" applyFill="1" applyBorder="1" applyAlignment="1">
      <alignment horizontal="center" vertical="center"/>
    </xf>
    <xf numFmtId="2" fontId="7" fillId="8" borderId="5" xfId="0" applyNumberFormat="1" applyFont="1" applyFill="1" applyBorder="1" applyAlignment="1">
      <alignment horizontal="center" vertical="center"/>
    </xf>
    <xf numFmtId="0" fontId="7" fillId="8" borderId="62" xfId="0" applyFont="1" applyFill="1" applyBorder="1" applyAlignment="1">
      <alignment horizontal="center" vertical="center"/>
    </xf>
    <xf numFmtId="1" fontId="7" fillId="8" borderId="62" xfId="0" applyNumberFormat="1" applyFont="1" applyFill="1" applyBorder="1" applyAlignment="1">
      <alignment horizontal="center" vertical="center"/>
    </xf>
    <xf numFmtId="1" fontId="7" fillId="8" borderId="43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1" fontId="7" fillId="8" borderId="2" xfId="0" applyNumberFormat="1" applyFont="1" applyFill="1" applyBorder="1" applyAlignment="1">
      <alignment horizontal="center" vertical="center"/>
    </xf>
    <xf numFmtId="2" fontId="7" fillId="8" borderId="3" xfId="0" applyNumberFormat="1" applyFont="1" applyFill="1" applyBorder="1" applyAlignment="1">
      <alignment horizontal="center" vertical="center"/>
    </xf>
    <xf numFmtId="37" fontId="7" fillId="8" borderId="0" xfId="2" applyNumberFormat="1" applyFont="1" applyFill="1" applyBorder="1" applyAlignment="1">
      <alignment horizontal="center" vertical="center"/>
    </xf>
    <xf numFmtId="167" fontId="7" fillId="8" borderId="5" xfId="0" applyNumberFormat="1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" fontId="7" fillId="8" borderId="7" xfId="0" applyNumberFormat="1" applyFont="1" applyFill="1" applyBorder="1" applyAlignment="1">
      <alignment horizontal="center" vertical="center"/>
    </xf>
    <xf numFmtId="2" fontId="7" fillId="8" borderId="8" xfId="0" applyNumberFormat="1" applyFont="1" applyFill="1" applyBorder="1" applyAlignment="1">
      <alignment horizontal="center" vertical="center"/>
    </xf>
    <xf numFmtId="166" fontId="4" fillId="8" borderId="0" xfId="0" applyNumberFormat="1" applyFont="1" applyFill="1" applyAlignment="1">
      <alignment horizontal="center"/>
    </xf>
    <xf numFmtId="1" fontId="3" fillId="8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9" borderId="9" xfId="0" applyFill="1" applyBorder="1"/>
    <xf numFmtId="0" fontId="3" fillId="9" borderId="22" xfId="0" applyFont="1" applyFill="1" applyBorder="1" applyAlignment="1">
      <alignment horizont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166" fontId="7" fillId="8" borderId="0" xfId="0" applyNumberFormat="1" applyFont="1" applyFill="1" applyAlignment="1">
      <alignment horizontal="center" vertical="center"/>
    </xf>
    <xf numFmtId="166" fontId="7" fillId="8" borderId="5" xfId="0" applyNumberFormat="1" applyFont="1" applyFill="1" applyBorder="1" applyAlignment="1">
      <alignment horizontal="center" vertical="center"/>
    </xf>
    <xf numFmtId="165" fontId="7" fillId="8" borderId="5" xfId="0" applyNumberFormat="1" applyFont="1" applyFill="1" applyBorder="1" applyAlignment="1">
      <alignment horizontal="center" vertical="center"/>
    </xf>
    <xf numFmtId="166" fontId="7" fillId="8" borderId="62" xfId="0" applyNumberFormat="1" applyFont="1" applyFill="1" applyBorder="1" applyAlignment="1">
      <alignment horizontal="center" vertical="center"/>
    </xf>
    <xf numFmtId="166" fontId="7" fillId="8" borderId="43" xfId="0" applyNumberFormat="1" applyFont="1" applyFill="1" applyBorder="1" applyAlignment="1">
      <alignment horizontal="center" vertical="center"/>
    </xf>
    <xf numFmtId="2" fontId="7" fillId="8" borderId="2" xfId="0" applyNumberFormat="1" applyFont="1" applyFill="1" applyBorder="1" applyAlignment="1">
      <alignment horizontal="center" vertical="center"/>
    </xf>
    <xf numFmtId="2" fontId="7" fillId="8" borderId="0" xfId="0" applyNumberFormat="1" applyFont="1" applyFill="1" applyAlignment="1">
      <alignment horizontal="center" vertical="center"/>
    </xf>
    <xf numFmtId="164" fontId="7" fillId="8" borderId="5" xfId="0" applyNumberFormat="1" applyFont="1" applyFill="1" applyBorder="1" applyAlignment="1">
      <alignment horizontal="center" vertical="center"/>
    </xf>
    <xf numFmtId="2" fontId="7" fillId="8" borderId="7" xfId="0" applyNumberFormat="1" applyFont="1" applyFill="1" applyBorder="1" applyAlignment="1">
      <alignment horizontal="center" vertical="center"/>
    </xf>
    <xf numFmtId="166" fontId="11" fillId="8" borderId="12" xfId="0" applyNumberFormat="1" applyFont="1" applyFill="1" applyBorder="1" applyAlignment="1">
      <alignment horizontal="center" vertical="center"/>
    </xf>
    <xf numFmtId="166" fontId="7" fillId="8" borderId="2" xfId="0" applyNumberFormat="1" applyFont="1" applyFill="1" applyBorder="1" applyAlignment="1">
      <alignment horizontal="center" vertical="center"/>
    </xf>
    <xf numFmtId="168" fontId="7" fillId="8" borderId="5" xfId="0" applyNumberFormat="1" applyFont="1" applyFill="1" applyBorder="1" applyAlignment="1">
      <alignment horizontal="center" vertical="center"/>
    </xf>
    <xf numFmtId="166" fontId="7" fillId="8" borderId="7" xfId="0" applyNumberFormat="1" applyFont="1" applyFill="1" applyBorder="1" applyAlignment="1">
      <alignment horizontal="center" vertical="center"/>
    </xf>
    <xf numFmtId="166" fontId="7" fillId="8" borderId="8" xfId="0" applyNumberFormat="1" applyFont="1" applyFill="1" applyBorder="1" applyAlignment="1">
      <alignment horizontal="center" vertical="center"/>
    </xf>
    <xf numFmtId="0" fontId="27" fillId="9" borderId="9" xfId="0" applyFont="1" applyFill="1" applyBorder="1" applyAlignment="1">
      <alignment horizontal="center" vertical="center"/>
    </xf>
    <xf numFmtId="0" fontId="4" fillId="9" borderId="10" xfId="0" applyFont="1" applyFill="1" applyBorder="1"/>
    <xf numFmtId="0" fontId="7" fillId="9" borderId="10" xfId="0" applyFont="1" applyFill="1" applyBorder="1" applyAlignment="1">
      <alignment vertical="center"/>
    </xf>
    <xf numFmtId="0" fontId="7" fillId="9" borderId="10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/>
    </xf>
    <xf numFmtId="2" fontId="7" fillId="9" borderId="10" xfId="0" applyNumberFormat="1" applyFont="1" applyFill="1" applyBorder="1" applyAlignment="1">
      <alignment horizontal="center" vertical="center"/>
    </xf>
    <xf numFmtId="166" fontId="7" fillId="9" borderId="10" xfId="0" applyNumberFormat="1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 wrapText="1"/>
    </xf>
    <xf numFmtId="166" fontId="7" fillId="9" borderId="12" xfId="0" applyNumberFormat="1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vertical="center"/>
    </xf>
    <xf numFmtId="0" fontId="6" fillId="9" borderId="10" xfId="0" applyFont="1" applyFill="1" applyBorder="1" applyAlignment="1">
      <alignment horizontal="center" vertical="center"/>
    </xf>
    <xf numFmtId="1" fontId="6" fillId="9" borderId="10" xfId="0" applyNumberFormat="1" applyFont="1" applyFill="1" applyBorder="1" applyAlignment="1">
      <alignment horizontal="center" vertical="center"/>
    </xf>
    <xf numFmtId="166" fontId="6" fillId="9" borderId="10" xfId="0" applyNumberFormat="1" applyFont="1" applyFill="1" applyBorder="1" applyAlignment="1">
      <alignment horizontal="center" vertical="center"/>
    </xf>
    <xf numFmtId="1" fontId="6" fillId="9" borderId="12" xfId="0" applyNumberFormat="1" applyFont="1" applyFill="1" applyBorder="1" applyAlignment="1">
      <alignment horizontal="center" vertical="center"/>
    </xf>
    <xf numFmtId="0" fontId="4" fillId="9" borderId="0" xfId="0" applyFont="1" applyFill="1"/>
    <xf numFmtId="0" fontId="6" fillId="9" borderId="0" xfId="0" applyFont="1" applyFill="1" applyAlignment="1">
      <alignment vertical="center"/>
    </xf>
    <xf numFmtId="1" fontId="3" fillId="9" borderId="0" xfId="0" applyNumberFormat="1" applyFont="1" applyFill="1" applyAlignment="1">
      <alignment horizontal="center" vertical="center"/>
    </xf>
    <xf numFmtId="1" fontId="3" fillId="9" borderId="0" xfId="0" applyNumberFormat="1" applyFont="1" applyFill="1" applyAlignment="1">
      <alignment horizontal="center"/>
    </xf>
    <xf numFmtId="0" fontId="3" fillId="9" borderId="0" xfId="0" applyFont="1" applyFill="1" applyAlignment="1">
      <alignment vertical="center"/>
    </xf>
    <xf numFmtId="0" fontId="6" fillId="9" borderId="0" xfId="0" applyFont="1" applyFill="1" applyAlignment="1">
      <alignment horizontal="center" vertical="center"/>
    </xf>
    <xf numFmtId="166" fontId="4" fillId="8" borderId="5" xfId="0" applyNumberFormat="1" applyFont="1" applyFill="1" applyBorder="1" applyAlignment="1">
      <alignment horizontal="center"/>
    </xf>
    <xf numFmtId="1" fontId="3" fillId="8" borderId="8" xfId="0" applyNumberFormat="1" applyFont="1" applyFill="1" applyBorder="1" applyAlignment="1">
      <alignment horizontal="center" vertical="center"/>
    </xf>
    <xf numFmtId="0" fontId="4" fillId="9" borderId="4" xfId="0" applyFont="1" applyFill="1" applyBorder="1"/>
    <xf numFmtId="1" fontId="3" fillId="9" borderId="5" xfId="0" applyNumberFormat="1" applyFont="1" applyFill="1" applyBorder="1" applyAlignment="1">
      <alignment horizontal="center"/>
    </xf>
    <xf numFmtId="0" fontId="9" fillId="0" borderId="1" xfId="0" applyFont="1" applyBorder="1" applyAlignment="1">
      <alignment vertical="center"/>
    </xf>
    <xf numFmtId="166" fontId="4" fillId="8" borderId="2" xfId="0" applyNumberFormat="1" applyFont="1" applyFill="1" applyBorder="1" applyAlignment="1">
      <alignment horizontal="center"/>
    </xf>
    <xf numFmtId="166" fontId="4" fillId="8" borderId="3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9" borderId="7" xfId="0" applyFont="1" applyFill="1" applyBorder="1"/>
    <xf numFmtId="0" fontId="5" fillId="9" borderId="8" xfId="0" applyFont="1" applyFill="1" applyBorder="1" applyAlignment="1">
      <alignment horizontal="center"/>
    </xf>
    <xf numFmtId="0" fontId="7" fillId="0" borderId="69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/>
    </xf>
    <xf numFmtId="0" fontId="7" fillId="0" borderId="69" xfId="0" quotePrefix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0" fontId="5" fillId="3" borderId="0" xfId="0" applyFont="1" applyFill="1"/>
    <xf numFmtId="0" fontId="7" fillId="0" borderId="3" xfId="0" applyFont="1" applyBorder="1" applyAlignment="1">
      <alignment vertical="center" wrapText="1"/>
    </xf>
    <xf numFmtId="166" fontId="7" fillId="8" borderId="3" xfId="0" applyNumberFormat="1" applyFont="1" applyFill="1" applyBorder="1" applyAlignment="1">
      <alignment horizontal="center" vertical="center"/>
    </xf>
    <xf numFmtId="1" fontId="6" fillId="8" borderId="12" xfId="0" applyNumberFormat="1" applyFont="1" applyFill="1" applyBorder="1" applyAlignment="1">
      <alignment horizontal="center" vertical="center"/>
    </xf>
    <xf numFmtId="166" fontId="6" fillId="8" borderId="12" xfId="0" applyNumberFormat="1" applyFont="1" applyFill="1" applyBorder="1" applyAlignment="1">
      <alignment horizontal="center" vertical="center"/>
    </xf>
    <xf numFmtId="166" fontId="4" fillId="8" borderId="5" xfId="0" applyNumberFormat="1" applyFont="1" applyFill="1" applyBorder="1" applyAlignment="1">
      <alignment horizontal="center" vertical="center"/>
    </xf>
    <xf numFmtId="1" fontId="3" fillId="8" borderId="8" xfId="0" applyNumberFormat="1" applyFont="1" applyFill="1" applyBorder="1" applyAlignment="1">
      <alignment horizontal="center"/>
    </xf>
    <xf numFmtId="1" fontId="6" fillId="8" borderId="10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3" fontId="7" fillId="8" borderId="0" xfId="0" applyNumberFormat="1" applyFont="1" applyFill="1" applyAlignment="1">
      <alignment horizontal="center" vertical="center"/>
    </xf>
    <xf numFmtId="166" fontId="4" fillId="8" borderId="0" xfId="0" applyNumberFormat="1" applyFont="1" applyFill="1" applyAlignment="1">
      <alignment horizontal="center" vertical="center"/>
    </xf>
    <xf numFmtId="1" fontId="3" fillId="8" borderId="7" xfId="0" applyNumberFormat="1" applyFont="1" applyFill="1" applyBorder="1" applyAlignment="1">
      <alignment horizontal="center"/>
    </xf>
    <xf numFmtId="166" fontId="6" fillId="8" borderId="10" xfId="0" applyNumberFormat="1" applyFont="1" applyFill="1" applyBorder="1" applyAlignment="1">
      <alignment horizontal="center" vertical="center"/>
    </xf>
    <xf numFmtId="2" fontId="6" fillId="8" borderId="12" xfId="0" applyNumberFormat="1" applyFont="1" applyFill="1" applyBorder="1" applyAlignment="1">
      <alignment horizontal="center" vertical="center"/>
    </xf>
    <xf numFmtId="2" fontId="6" fillId="8" borderId="10" xfId="0" applyNumberFormat="1" applyFont="1" applyFill="1" applyBorder="1" applyAlignment="1">
      <alignment horizontal="center" vertical="center"/>
    </xf>
    <xf numFmtId="2" fontId="4" fillId="8" borderId="0" xfId="0" applyNumberFormat="1" applyFont="1" applyFill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165" fontId="7" fillId="8" borderId="0" xfId="0" applyNumberFormat="1" applyFont="1" applyFill="1" applyAlignment="1">
      <alignment horizontal="center" vertical="center"/>
    </xf>
    <xf numFmtId="164" fontId="7" fillId="8" borderId="0" xfId="0" applyNumberFormat="1" applyFont="1" applyFill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" fontId="6" fillId="8" borderId="3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1" fontId="3" fillId="8" borderId="5" xfId="0" applyNumberFormat="1" applyFont="1" applyFill="1" applyBorder="1" applyAlignment="1">
      <alignment horizontal="center"/>
    </xf>
    <xf numFmtId="166" fontId="11" fillId="8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/>
    </xf>
    <xf numFmtId="166" fontId="16" fillId="3" borderId="0" xfId="0" applyNumberFormat="1" applyFont="1" applyFill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170" fontId="7" fillId="8" borderId="5" xfId="0" applyNumberFormat="1" applyFont="1" applyFill="1" applyBorder="1" applyAlignment="1">
      <alignment horizontal="center" vertical="center"/>
    </xf>
    <xf numFmtId="165" fontId="4" fillId="8" borderId="0" xfId="0" applyNumberFormat="1" applyFont="1" applyFill="1" applyAlignment="1">
      <alignment horizontal="center" vertical="center"/>
    </xf>
    <xf numFmtId="166" fontId="3" fillId="8" borderId="8" xfId="0" applyNumberFormat="1" applyFont="1" applyFill="1" applyBorder="1" applyAlignment="1">
      <alignment horizontal="center"/>
    </xf>
    <xf numFmtId="166" fontId="3" fillId="8" borderId="7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5" fontId="6" fillId="8" borderId="10" xfId="0" applyNumberFormat="1" applyFont="1" applyFill="1" applyBorder="1" applyAlignment="1">
      <alignment horizontal="center" vertical="center"/>
    </xf>
    <xf numFmtId="165" fontId="6" fillId="8" borderId="12" xfId="0" applyNumberFormat="1" applyFont="1" applyFill="1" applyBorder="1" applyAlignment="1">
      <alignment horizontal="center" vertical="center"/>
    </xf>
    <xf numFmtId="0" fontId="4" fillId="0" borderId="10" xfId="0" applyFont="1" applyBorder="1"/>
    <xf numFmtId="0" fontId="7" fillId="0" borderId="9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center" wrapText="1"/>
    </xf>
    <xf numFmtId="165" fontId="4" fillId="8" borderId="5" xfId="0" applyNumberFormat="1" applyFont="1" applyFill="1" applyBorder="1" applyAlignment="1">
      <alignment horizontal="center" vertical="center"/>
    </xf>
    <xf numFmtId="170" fontId="7" fillId="8" borderId="0" xfId="0" applyNumberFormat="1" applyFont="1" applyFill="1" applyAlignment="1">
      <alignment horizontal="center" vertical="center"/>
    </xf>
    <xf numFmtId="0" fontId="2" fillId="0" borderId="10" xfId="0" applyFont="1" applyBorder="1"/>
    <xf numFmtId="0" fontId="7" fillId="0" borderId="10" xfId="0" applyFont="1" applyBorder="1" applyAlignment="1">
      <alignment vertical="center"/>
    </xf>
    <xf numFmtId="0" fontId="2" fillId="0" borderId="9" xfId="0" applyFont="1" applyBorder="1"/>
    <xf numFmtId="0" fontId="14" fillId="9" borderId="67" xfId="0" applyFont="1" applyFill="1" applyBorder="1" applyAlignment="1">
      <alignment horizontal="center" vertical="center"/>
    </xf>
    <xf numFmtId="0" fontId="14" fillId="9" borderId="25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6" fillId="3" borderId="45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166" fontId="11" fillId="8" borderId="5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" wrapText="1"/>
    </xf>
    <xf numFmtId="1" fontId="3" fillId="2" borderId="3" xfId="0" applyNumberFormat="1" applyFont="1" applyFill="1" applyBorder="1" applyAlignment="1">
      <alignment horizontal="center" vertical="center"/>
    </xf>
    <xf numFmtId="166" fontId="6" fillId="8" borderId="8" xfId="0" applyNumberFormat="1" applyFont="1" applyFill="1" applyBorder="1" applyAlignment="1">
      <alignment horizontal="center" vertical="center" wrapText="1"/>
    </xf>
    <xf numFmtId="166" fontId="4" fillId="8" borderId="5" xfId="0" applyNumberFormat="1" applyFont="1" applyFill="1" applyBorder="1" applyAlignment="1">
      <alignment horizontal="center" vertical="center" wrapText="1"/>
    </xf>
    <xf numFmtId="1" fontId="3" fillId="8" borderId="8" xfId="0" applyNumberFormat="1" applyFont="1" applyFill="1" applyBorder="1" applyAlignment="1">
      <alignment horizontal="center" vertical="center" wrapText="1"/>
    </xf>
    <xf numFmtId="165" fontId="7" fillId="8" borderId="3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/>
    </xf>
    <xf numFmtId="167" fontId="6" fillId="8" borderId="8" xfId="0" applyNumberFormat="1" applyFont="1" applyFill="1" applyBorder="1" applyAlignment="1">
      <alignment horizontal="center" vertical="center" wrapText="1"/>
    </xf>
    <xf numFmtId="2" fontId="4" fillId="8" borderId="5" xfId="0" applyNumberFormat="1" applyFont="1" applyFill="1" applyBorder="1" applyAlignment="1">
      <alignment horizontal="center" vertical="center" wrapText="1"/>
    </xf>
    <xf numFmtId="166" fontId="3" fillId="8" borderId="8" xfId="0" applyNumberFormat="1" applyFont="1" applyFill="1" applyBorder="1" applyAlignment="1">
      <alignment horizontal="center" vertical="center" wrapText="1"/>
    </xf>
    <xf numFmtId="167" fontId="7" fillId="8" borderId="5" xfId="0" applyNumberFormat="1" applyFont="1" applyFill="1" applyBorder="1" applyAlignment="1">
      <alignment horizontal="center" vertical="center" wrapText="1"/>
    </xf>
    <xf numFmtId="3" fontId="7" fillId="8" borderId="4" xfId="0" applyNumberFormat="1" applyFont="1" applyFill="1" applyBorder="1" applyAlignment="1">
      <alignment horizontal="center" vertical="center"/>
    </xf>
    <xf numFmtId="2" fontId="6" fillId="8" borderId="8" xfId="0" applyNumberFormat="1" applyFont="1" applyFill="1" applyBorder="1" applyAlignment="1">
      <alignment horizontal="center" vertical="center" wrapText="1"/>
    </xf>
    <xf numFmtId="2" fontId="7" fillId="8" borderId="5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/>
    </xf>
    <xf numFmtId="166" fontId="7" fillId="8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7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2" fontId="7" fillId="8" borderId="8" xfId="0" applyNumberFormat="1" applyFont="1" applyFill="1" applyBorder="1" applyAlignment="1">
      <alignment horizontal="center" vertical="center" wrapText="1"/>
    </xf>
    <xf numFmtId="166" fontId="7" fillId="8" borderId="3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2" fontId="7" fillId="8" borderId="3" xfId="0" applyNumberFormat="1" applyFont="1" applyFill="1" applyBorder="1" applyAlignment="1">
      <alignment horizontal="center" vertical="center" wrapText="1"/>
    </xf>
    <xf numFmtId="2" fontId="6" fillId="8" borderId="5" xfId="0" applyNumberFormat="1" applyFont="1" applyFill="1" applyBorder="1" applyAlignment="1">
      <alignment horizontal="center" vertical="center" wrapText="1"/>
    </xf>
    <xf numFmtId="2" fontId="4" fillId="8" borderId="3" xfId="0" applyNumberFormat="1" applyFont="1" applyFill="1" applyBorder="1" applyAlignment="1">
      <alignment horizontal="center" vertical="center" wrapText="1"/>
    </xf>
    <xf numFmtId="166" fontId="22" fillId="8" borderId="8" xfId="0" applyNumberFormat="1" applyFont="1" applyFill="1" applyBorder="1" applyAlignment="1">
      <alignment horizontal="center"/>
    </xf>
    <xf numFmtId="167" fontId="6" fillId="8" borderId="5" xfId="0" applyNumberFormat="1" applyFont="1" applyFill="1" applyBorder="1" applyAlignment="1">
      <alignment horizontal="center" vertical="center" wrapText="1"/>
    </xf>
    <xf numFmtId="1" fontId="22" fillId="8" borderId="8" xfId="0" applyNumberFormat="1" applyFont="1" applyFill="1" applyBorder="1" applyAlignment="1">
      <alignment horizontal="center"/>
    </xf>
    <xf numFmtId="166" fontId="6" fillId="8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7" fillId="0" borderId="6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164" fontId="4" fillId="8" borderId="0" xfId="0" applyNumberFormat="1" applyFont="1" applyFill="1" applyAlignment="1">
      <alignment horizontal="center" vertical="center" wrapText="1"/>
    </xf>
    <xf numFmtId="2" fontId="4" fillId="8" borderId="0" xfId="0" applyNumberFormat="1" applyFont="1" applyFill="1" applyAlignment="1">
      <alignment horizontal="center" vertical="center" wrapText="1"/>
    </xf>
    <xf numFmtId="164" fontId="4" fillId="8" borderId="3" xfId="0" applyNumberFormat="1" applyFont="1" applyFill="1" applyBorder="1" applyAlignment="1">
      <alignment horizontal="center" vertical="center" wrapText="1"/>
    </xf>
    <xf numFmtId="166" fontId="4" fillId="8" borderId="0" xfId="0" applyNumberFormat="1" applyFont="1" applyFill="1" applyAlignment="1">
      <alignment horizontal="center" vertical="center" wrapText="1"/>
    </xf>
    <xf numFmtId="164" fontId="4" fillId="8" borderId="5" xfId="0" applyNumberFormat="1" applyFont="1" applyFill="1" applyBorder="1" applyAlignment="1">
      <alignment horizontal="center" vertical="center" wrapText="1"/>
    </xf>
    <xf numFmtId="165" fontId="4" fillId="8" borderId="5" xfId="0" applyNumberFormat="1" applyFont="1" applyFill="1" applyBorder="1" applyAlignment="1">
      <alignment horizontal="center" vertical="center" wrapText="1"/>
    </xf>
    <xf numFmtId="168" fontId="4" fillId="8" borderId="5" xfId="0" applyNumberFormat="1" applyFont="1" applyFill="1" applyBorder="1" applyAlignment="1">
      <alignment horizontal="center" vertical="center" wrapText="1"/>
    </xf>
    <xf numFmtId="2" fontId="7" fillId="8" borderId="4" xfId="0" applyNumberFormat="1" applyFont="1" applyFill="1" applyBorder="1" applyAlignment="1">
      <alignment horizontal="center" vertical="center"/>
    </xf>
    <xf numFmtId="165" fontId="4" fillId="8" borderId="0" xfId="0" applyNumberFormat="1" applyFont="1" applyFill="1" applyAlignment="1">
      <alignment horizontal="center" vertical="center" wrapText="1"/>
    </xf>
    <xf numFmtId="170" fontId="4" fillId="8" borderId="5" xfId="0" applyNumberFormat="1" applyFont="1" applyFill="1" applyBorder="1" applyAlignment="1">
      <alignment horizontal="center" vertical="center" wrapText="1"/>
    </xf>
    <xf numFmtId="166" fontId="4" fillId="8" borderId="2" xfId="0" applyNumberFormat="1" applyFont="1" applyFill="1" applyBorder="1" applyAlignment="1">
      <alignment horizontal="center" vertical="center" wrapText="1"/>
    </xf>
    <xf numFmtId="166" fontId="4" fillId="8" borderId="10" xfId="0" applyNumberFormat="1" applyFont="1" applyFill="1" applyBorder="1" applyAlignment="1">
      <alignment horizontal="center" vertical="center" wrapText="1"/>
    </xf>
    <xf numFmtId="165" fontId="4" fillId="8" borderId="8" xfId="0" applyNumberFormat="1" applyFont="1" applyFill="1" applyBorder="1" applyAlignment="1">
      <alignment horizontal="center" vertical="center" wrapText="1"/>
    </xf>
    <xf numFmtId="2" fontId="3" fillId="8" borderId="12" xfId="0" applyNumberFormat="1" applyFont="1" applyFill="1" applyBorder="1" applyAlignment="1">
      <alignment horizontal="center" vertical="center" wrapText="1"/>
    </xf>
    <xf numFmtId="2" fontId="3" fillId="8" borderId="8" xfId="0" applyNumberFormat="1" applyFont="1" applyFill="1" applyBorder="1" applyAlignment="1">
      <alignment horizontal="center" vertical="center" wrapText="1"/>
    </xf>
    <xf numFmtId="2" fontId="4" fillId="8" borderId="8" xfId="0" applyNumberFormat="1" applyFont="1" applyFill="1" applyBorder="1" applyAlignment="1">
      <alignment horizontal="center" vertical="center" wrapText="1"/>
    </xf>
    <xf numFmtId="2" fontId="4" fillId="8" borderId="2" xfId="0" applyNumberFormat="1" applyFont="1" applyFill="1" applyBorder="1" applyAlignment="1">
      <alignment horizontal="center" vertical="center" wrapText="1"/>
    </xf>
    <xf numFmtId="165" fontId="4" fillId="8" borderId="3" xfId="0" applyNumberFormat="1" applyFont="1" applyFill="1" applyBorder="1" applyAlignment="1">
      <alignment horizontal="center" vertical="center" wrapText="1"/>
    </xf>
    <xf numFmtId="0" fontId="0" fillId="9" borderId="19" xfId="0" applyFill="1" applyBorder="1"/>
    <xf numFmtId="0" fontId="3" fillId="9" borderId="19" xfId="0" applyFont="1" applyFill="1" applyBorder="1" applyAlignment="1">
      <alignment horizontal="center" vertical="center" wrapText="1"/>
    </xf>
    <xf numFmtId="165" fontId="4" fillId="8" borderId="7" xfId="0" applyNumberFormat="1" applyFont="1" applyFill="1" applyBorder="1" applyAlignment="1">
      <alignment horizontal="center" vertical="center" wrapText="1"/>
    </xf>
    <xf numFmtId="165" fontId="4" fillId="8" borderId="2" xfId="0" applyNumberFormat="1" applyFont="1" applyFill="1" applyBorder="1" applyAlignment="1">
      <alignment horizontal="center" vertical="center" wrapText="1"/>
    </xf>
    <xf numFmtId="164" fontId="4" fillId="8" borderId="7" xfId="0" applyNumberFormat="1" applyFont="1" applyFill="1" applyBorder="1" applyAlignment="1">
      <alignment horizontal="center" vertical="center" wrapText="1"/>
    </xf>
    <xf numFmtId="166" fontId="4" fillId="8" borderId="3" xfId="0" applyNumberFormat="1" applyFont="1" applyFill="1" applyBorder="1" applyAlignment="1">
      <alignment horizontal="center" vertical="center" wrapText="1"/>
    </xf>
    <xf numFmtId="166" fontId="3" fillId="8" borderId="5" xfId="0" applyNumberFormat="1" applyFont="1" applyFill="1" applyBorder="1" applyAlignment="1">
      <alignment horizontal="center" vertical="center" wrapText="1"/>
    </xf>
    <xf numFmtId="166" fontId="4" fillId="8" borderId="8" xfId="0" applyNumberFormat="1" applyFont="1" applyFill="1" applyBorder="1" applyAlignment="1">
      <alignment horizontal="center" vertical="center" wrapText="1"/>
    </xf>
    <xf numFmtId="2" fontId="3" fillId="8" borderId="5" xfId="0" applyNumberFormat="1" applyFont="1" applyFill="1" applyBorder="1" applyAlignment="1">
      <alignment horizontal="center" vertical="center" wrapText="1"/>
    </xf>
    <xf numFmtId="168" fontId="4" fillId="8" borderId="3" xfId="0" applyNumberFormat="1" applyFont="1" applyFill="1" applyBorder="1" applyAlignment="1">
      <alignment horizontal="center" vertical="center" wrapText="1"/>
    </xf>
    <xf numFmtId="168" fontId="4" fillId="8" borderId="8" xfId="0" applyNumberFormat="1" applyFont="1" applyFill="1" applyBorder="1" applyAlignment="1">
      <alignment horizontal="center" vertical="center" wrapText="1"/>
    </xf>
    <xf numFmtId="1" fontId="3" fillId="8" borderId="18" xfId="0" applyNumberFormat="1" applyFont="1" applyFill="1" applyBorder="1" applyAlignment="1">
      <alignment horizontal="center" vertical="center" wrapText="1"/>
    </xf>
    <xf numFmtId="166" fontId="3" fillId="8" borderId="14" xfId="0" applyNumberFormat="1" applyFont="1" applyFill="1" applyBorder="1" applyAlignment="1">
      <alignment horizontal="center" vertical="center" wrapText="1"/>
    </xf>
    <xf numFmtId="166" fontId="3" fillId="8" borderId="19" xfId="0" applyNumberFormat="1" applyFont="1" applyFill="1" applyBorder="1" applyAlignment="1">
      <alignment horizontal="center" vertical="center" wrapText="1"/>
    </xf>
    <xf numFmtId="166" fontId="3" fillId="8" borderId="18" xfId="0" applyNumberFormat="1" applyFont="1" applyFill="1" applyBorder="1" applyAlignment="1">
      <alignment horizontal="center" vertical="center" wrapText="1"/>
    </xf>
    <xf numFmtId="1" fontId="7" fillId="8" borderId="15" xfId="0" applyNumberFormat="1" applyFont="1" applyFill="1" applyBorder="1" applyAlignment="1">
      <alignment horizontal="center" vertical="center" wrapText="1"/>
    </xf>
    <xf numFmtId="1" fontId="7" fillId="8" borderId="16" xfId="0" applyNumberFormat="1" applyFont="1" applyFill="1" applyBorder="1" applyAlignment="1">
      <alignment horizontal="center" vertical="center" wrapText="1"/>
    </xf>
    <xf numFmtId="166" fontId="7" fillId="8" borderId="16" xfId="0" applyNumberFormat="1" applyFont="1" applyFill="1" applyBorder="1" applyAlignment="1">
      <alignment horizontal="center" vertical="center" wrapText="1"/>
    </xf>
    <xf numFmtId="1" fontId="7" fillId="8" borderId="17" xfId="0" applyNumberFormat="1" applyFont="1" applyFill="1" applyBorder="1" applyAlignment="1">
      <alignment horizontal="center" vertical="center" wrapText="1"/>
    </xf>
    <xf numFmtId="1" fontId="7" fillId="8" borderId="18" xfId="0" applyNumberFormat="1" applyFont="1" applyFill="1" applyBorder="1" applyAlignment="1">
      <alignment horizontal="center" vertical="center" wrapText="1"/>
    </xf>
    <xf numFmtId="1" fontId="7" fillId="8" borderId="14" xfId="0" applyNumberFormat="1" applyFont="1" applyFill="1" applyBorder="1" applyAlignment="1">
      <alignment horizontal="center" vertical="center" wrapText="1"/>
    </xf>
    <xf numFmtId="166" fontId="7" fillId="8" borderId="14" xfId="0" applyNumberFormat="1" applyFont="1" applyFill="1" applyBorder="1" applyAlignment="1">
      <alignment horizontal="center" vertical="center" wrapText="1"/>
    </xf>
    <xf numFmtId="1" fontId="7" fillId="8" borderId="19" xfId="0" applyNumberFormat="1" applyFont="1" applyFill="1" applyBorder="1" applyAlignment="1">
      <alignment horizontal="center" vertical="center" wrapText="1"/>
    </xf>
    <xf numFmtId="1" fontId="7" fillId="8" borderId="20" xfId="0" applyNumberFormat="1" applyFont="1" applyFill="1" applyBorder="1" applyAlignment="1">
      <alignment horizontal="center" vertical="center" wrapText="1"/>
    </xf>
    <xf numFmtId="166" fontId="7" fillId="8" borderId="21" xfId="0" applyNumberFormat="1" applyFont="1" applyFill="1" applyBorder="1" applyAlignment="1">
      <alignment horizontal="center" vertical="center" wrapText="1"/>
    </xf>
    <xf numFmtId="1" fontId="7" fillId="8" borderId="21" xfId="0" applyNumberFormat="1" applyFont="1" applyFill="1" applyBorder="1" applyAlignment="1">
      <alignment horizontal="center" vertical="center" wrapText="1"/>
    </xf>
    <xf numFmtId="166" fontId="7" fillId="8" borderId="22" xfId="0" applyNumberFormat="1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164" fontId="4" fillId="8" borderId="8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66" fontId="4" fillId="8" borderId="4" xfId="0" applyNumberFormat="1" applyFont="1" applyFill="1" applyBorder="1" applyAlignment="1">
      <alignment horizontal="center" vertical="center" wrapText="1"/>
    </xf>
    <xf numFmtId="2" fontId="4" fillId="8" borderId="4" xfId="0" applyNumberFormat="1" applyFont="1" applyFill="1" applyBorder="1" applyAlignment="1">
      <alignment horizontal="center" vertical="center" wrapText="1"/>
    </xf>
    <xf numFmtId="2" fontId="4" fillId="8" borderId="27" xfId="0" applyNumberFormat="1" applyFont="1" applyFill="1" applyBorder="1" applyAlignment="1">
      <alignment horizontal="center" vertical="center" wrapText="1"/>
    </xf>
    <xf numFmtId="2" fontId="4" fillId="8" borderId="26" xfId="0" applyNumberFormat="1" applyFont="1" applyFill="1" applyBorder="1" applyAlignment="1">
      <alignment horizontal="center" vertical="center" wrapText="1"/>
    </xf>
    <xf numFmtId="1" fontId="4" fillId="8" borderId="4" xfId="0" applyNumberFormat="1" applyFont="1" applyFill="1" applyBorder="1" applyAlignment="1">
      <alignment horizontal="center"/>
    </xf>
    <xf numFmtId="166" fontId="4" fillId="8" borderId="8" xfId="0" applyNumberFormat="1" applyFont="1" applyFill="1" applyBorder="1" applyAlignment="1">
      <alignment horizontal="center"/>
    </xf>
    <xf numFmtId="166" fontId="4" fillId="8" borderId="4" xfId="0" applyNumberFormat="1" applyFont="1" applyFill="1" applyBorder="1" applyAlignment="1">
      <alignment horizontal="center"/>
    </xf>
    <xf numFmtId="2" fontId="4" fillId="8" borderId="8" xfId="0" applyNumberFormat="1" applyFont="1" applyFill="1" applyBorder="1" applyAlignment="1">
      <alignment horizontal="center"/>
    </xf>
    <xf numFmtId="1" fontId="4" fillId="8" borderId="5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49" fontId="14" fillId="3" borderId="0" xfId="0" applyNumberFormat="1" applyFont="1" applyFill="1" applyAlignment="1">
      <alignment horizontal="right" vertical="center"/>
    </xf>
    <xf numFmtId="0" fontId="4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1" fontId="7" fillId="8" borderId="0" xfId="0" applyNumberFormat="1" applyFont="1" applyFill="1" applyAlignment="1">
      <alignment horizontal="center" vertical="center"/>
    </xf>
    <xf numFmtId="171" fontId="7" fillId="8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4" fillId="0" borderId="12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" fontId="3" fillId="8" borderId="10" xfId="0" quotePrefix="1" applyNumberFormat="1" applyFont="1" applyFill="1" applyBorder="1" applyAlignment="1">
      <alignment horizontal="center"/>
    </xf>
    <xf numFmtId="166" fontId="3" fillId="8" borderId="12" xfId="0" applyNumberFormat="1" applyFont="1" applyFill="1" applyBorder="1" applyAlignment="1">
      <alignment horizontal="center"/>
    </xf>
    <xf numFmtId="2" fontId="3" fillId="8" borderId="12" xfId="0" applyNumberFormat="1" applyFont="1" applyFill="1" applyBorder="1" applyAlignment="1">
      <alignment horizontal="center"/>
    </xf>
    <xf numFmtId="0" fontId="4" fillId="0" borderId="9" xfId="0" applyFont="1" applyBorder="1"/>
    <xf numFmtId="1" fontId="3" fillId="8" borderId="10" xfId="0" applyNumberFormat="1" applyFont="1" applyFill="1" applyBorder="1" applyAlignment="1">
      <alignment horizontal="center"/>
    </xf>
    <xf numFmtId="166" fontId="3" fillId="8" borderId="10" xfId="0" applyNumberFormat="1" applyFont="1" applyFill="1" applyBorder="1" applyAlignment="1">
      <alignment horizontal="center"/>
    </xf>
    <xf numFmtId="2" fontId="3" fillId="8" borderId="10" xfId="0" applyNumberFormat="1" applyFont="1" applyFill="1" applyBorder="1" applyAlignment="1">
      <alignment horizontal="center"/>
    </xf>
    <xf numFmtId="165" fontId="3" fillId="8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166" fontId="12" fillId="0" borderId="7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1" fontId="9" fillId="8" borderId="0" xfId="0" applyNumberFormat="1" applyFont="1" applyFill="1" applyAlignment="1">
      <alignment horizontal="center" vertical="center"/>
    </xf>
    <xf numFmtId="2" fontId="9" fillId="8" borderId="5" xfId="0" applyNumberFormat="1" applyFont="1" applyFill="1" applyBorder="1" applyAlignment="1">
      <alignment horizontal="center" vertical="center"/>
    </xf>
    <xf numFmtId="1" fontId="11" fillId="8" borderId="0" xfId="0" applyNumberFormat="1" applyFont="1" applyFill="1" applyAlignment="1">
      <alignment horizontal="center" vertical="center"/>
    </xf>
    <xf numFmtId="2" fontId="11" fillId="8" borderId="5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1" fontId="9" fillId="8" borderId="2" xfId="0" applyNumberFormat="1" applyFont="1" applyFill="1" applyBorder="1" applyAlignment="1">
      <alignment horizontal="center" vertical="center"/>
    </xf>
    <xf numFmtId="2" fontId="9" fillId="8" borderId="3" xfId="0" applyNumberFormat="1" applyFont="1" applyFill="1" applyBorder="1" applyAlignment="1">
      <alignment horizontal="center" vertical="center"/>
    </xf>
    <xf numFmtId="3" fontId="9" fillId="8" borderId="0" xfId="0" applyNumberFormat="1" applyFont="1" applyFill="1" applyAlignment="1">
      <alignment horizontal="center" vertical="center"/>
    </xf>
    <xf numFmtId="167" fontId="9" fillId="8" borderId="5" xfId="0" applyNumberFormat="1" applyFont="1" applyFill="1" applyBorder="1" applyAlignment="1">
      <alignment horizontal="center" vertical="center"/>
    </xf>
    <xf numFmtId="1" fontId="11" fillId="8" borderId="7" xfId="0" applyNumberFormat="1" applyFont="1" applyFill="1" applyBorder="1" applyAlignment="1">
      <alignment horizontal="center" vertical="center"/>
    </xf>
    <xf numFmtId="2" fontId="11" fillId="8" borderId="8" xfId="0" applyNumberFormat="1" applyFont="1" applyFill="1" applyBorder="1" applyAlignment="1">
      <alignment horizontal="center" vertical="center"/>
    </xf>
    <xf numFmtId="1" fontId="13" fillId="8" borderId="0" xfId="0" applyNumberFormat="1" applyFont="1" applyFill="1" applyAlignment="1">
      <alignment horizontal="center"/>
    </xf>
    <xf numFmtId="166" fontId="13" fillId="8" borderId="8" xfId="0" applyNumberFormat="1" applyFont="1" applyFill="1" applyBorder="1" applyAlignment="1">
      <alignment horizontal="center" vertical="center"/>
    </xf>
    <xf numFmtId="166" fontId="9" fillId="8" borderId="0" xfId="0" applyNumberFormat="1" applyFont="1" applyFill="1" applyAlignment="1">
      <alignment horizontal="center" vertical="center"/>
    </xf>
    <xf numFmtId="166" fontId="9" fillId="8" borderId="5" xfId="0" applyNumberFormat="1" applyFont="1" applyFill="1" applyBorder="1" applyAlignment="1">
      <alignment horizontal="center" vertical="center"/>
    </xf>
    <xf numFmtId="165" fontId="9" fillId="8" borderId="5" xfId="0" applyNumberFormat="1" applyFont="1" applyFill="1" applyBorder="1" applyAlignment="1">
      <alignment horizontal="center" vertical="center"/>
    </xf>
    <xf numFmtId="2" fontId="9" fillId="8" borderId="2" xfId="0" applyNumberFormat="1" applyFont="1" applyFill="1" applyBorder="1" applyAlignment="1">
      <alignment horizontal="center" vertical="center"/>
    </xf>
    <xf numFmtId="165" fontId="9" fillId="8" borderId="3" xfId="0" applyNumberFormat="1" applyFont="1" applyFill="1" applyBorder="1" applyAlignment="1">
      <alignment horizontal="center" vertical="center"/>
    </xf>
    <xf numFmtId="2" fontId="9" fillId="8" borderId="0" xfId="0" applyNumberFormat="1" applyFont="1" applyFill="1" applyAlignment="1">
      <alignment horizontal="center" vertical="center"/>
    </xf>
    <xf numFmtId="168" fontId="9" fillId="8" borderId="5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 vertical="center"/>
    </xf>
    <xf numFmtId="164" fontId="9" fillId="8" borderId="5" xfId="0" applyNumberFormat="1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 wrapText="1"/>
    </xf>
    <xf numFmtId="2" fontId="6" fillId="8" borderId="8" xfId="0" applyNumberFormat="1" applyFont="1" applyFill="1" applyBorder="1" applyAlignment="1">
      <alignment horizontal="center" vertical="center"/>
    </xf>
    <xf numFmtId="166" fontId="3" fillId="8" borderId="8" xfId="0" applyNumberFormat="1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/>
    </xf>
    <xf numFmtId="0" fontId="0" fillId="3" borderId="7" xfId="0" applyFill="1" applyBorder="1"/>
    <xf numFmtId="0" fontId="37" fillId="3" borderId="0" xfId="0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1" fontId="9" fillId="8" borderId="3" xfId="0" applyNumberFormat="1" applyFont="1" applyFill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 wrapText="1"/>
    </xf>
    <xf numFmtId="166" fontId="9" fillId="8" borderId="3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/>
    </xf>
    <xf numFmtId="1" fontId="9" fillId="8" borderId="7" xfId="0" applyNumberFormat="1" applyFont="1" applyFill="1" applyBorder="1" applyAlignment="1">
      <alignment horizontal="center" vertical="center"/>
    </xf>
    <xf numFmtId="1" fontId="9" fillId="8" borderId="8" xfId="0" applyNumberFormat="1" applyFont="1" applyFill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 wrapText="1"/>
    </xf>
    <xf numFmtId="166" fontId="9" fillId="8" borderId="7" xfId="0" applyNumberFormat="1" applyFont="1" applyFill="1" applyBorder="1" applyAlignment="1">
      <alignment horizontal="center" vertical="center"/>
    </xf>
    <xf numFmtId="166" fontId="9" fillId="8" borderId="8" xfId="0" applyNumberFormat="1" applyFont="1" applyFill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2" fontId="9" fillId="8" borderId="8" xfId="0" applyNumberFormat="1" applyFont="1" applyFill="1" applyBorder="1" applyAlignment="1">
      <alignment horizontal="center" vertical="center"/>
    </xf>
    <xf numFmtId="2" fontId="9" fillId="8" borderId="7" xfId="0" applyNumberFormat="1" applyFont="1" applyFill="1" applyBorder="1" applyAlignment="1">
      <alignment horizontal="center" vertical="center"/>
    </xf>
    <xf numFmtId="17" fontId="27" fillId="0" borderId="0" xfId="0" quotePrefix="1" applyNumberFormat="1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" fillId="10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45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9" fillId="3" borderId="28" xfId="0" applyFont="1" applyFill="1" applyBorder="1" applyAlignment="1">
      <alignment horizontal="center" vertical="center"/>
    </xf>
    <xf numFmtId="0" fontId="39" fillId="3" borderId="27" xfId="0" applyFont="1" applyFill="1" applyBorder="1" applyAlignment="1">
      <alignment horizontal="center" vertical="center"/>
    </xf>
    <xf numFmtId="0" fontId="39" fillId="3" borderId="26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0" fillId="9" borderId="4" xfId="0" applyFont="1" applyFill="1" applyBorder="1" applyAlignment="1">
      <alignment horizontal="center" vertical="center" wrapText="1"/>
    </xf>
    <xf numFmtId="0" fontId="30" fillId="9" borderId="6" xfId="0" applyFont="1" applyFill="1" applyBorder="1" applyAlignment="1">
      <alignment horizontal="center" vertical="center" wrapText="1"/>
    </xf>
    <xf numFmtId="0" fontId="28" fillId="9" borderId="34" xfId="0" applyFont="1" applyFill="1" applyBorder="1" applyAlignment="1">
      <alignment horizontal="center" vertical="center" wrapText="1"/>
    </xf>
    <xf numFmtId="0" fontId="28" fillId="9" borderId="50" xfId="0" applyFont="1" applyFill="1" applyBorder="1" applyAlignment="1">
      <alignment horizontal="center" vertical="center" wrapText="1"/>
    </xf>
    <xf numFmtId="0" fontId="3" fillId="9" borderId="64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/>
    </xf>
    <xf numFmtId="0" fontId="31" fillId="9" borderId="24" xfId="0" applyFont="1" applyFill="1" applyBorder="1" applyAlignment="1">
      <alignment horizontal="center" vertical="center"/>
    </xf>
    <xf numFmtId="0" fontId="31" fillId="9" borderId="2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 wrapText="1"/>
    </xf>
    <xf numFmtId="0" fontId="31" fillId="9" borderId="34" xfId="0" applyFont="1" applyFill="1" applyBorder="1" applyAlignment="1">
      <alignment horizontal="center" vertical="center" wrapText="1"/>
    </xf>
    <xf numFmtId="0" fontId="31" fillId="9" borderId="50" xfId="0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28" fillId="9" borderId="20" xfId="0" applyFont="1" applyFill="1" applyBorder="1" applyAlignment="1">
      <alignment horizontal="center" vertical="center" wrapText="1"/>
    </xf>
    <xf numFmtId="0" fontId="28" fillId="9" borderId="21" xfId="0" applyFont="1" applyFill="1" applyBorder="1" applyAlignment="1">
      <alignment horizontal="center" vertical="center" wrapText="1"/>
    </xf>
    <xf numFmtId="0" fontId="28" fillId="9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7" fillId="3" borderId="27" xfId="0" applyFont="1" applyFill="1" applyBorder="1" applyAlignment="1">
      <alignment horizontal="center" vertical="center"/>
    </xf>
    <xf numFmtId="0" fontId="27" fillId="3" borderId="28" xfId="0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166" fontId="7" fillId="0" borderId="61" xfId="0" applyNumberFormat="1" applyFont="1" applyBorder="1" applyAlignment="1">
      <alignment horizontal="center" vertical="center" wrapText="1"/>
    </xf>
    <xf numFmtId="166" fontId="7" fillId="0" borderId="62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9" borderId="67" xfId="0" applyFont="1" applyFill="1" applyBorder="1" applyAlignment="1">
      <alignment horizontal="center" vertical="center"/>
    </xf>
    <xf numFmtId="0" fontId="14" fillId="9" borderId="25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right" vertical="center"/>
    </xf>
    <xf numFmtId="0" fontId="13" fillId="3" borderId="7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0" fillId="3" borderId="0" xfId="0" applyFill="1" applyAlignment="1">
      <alignment horizont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66" fontId="11" fillId="0" borderId="6" xfId="0" applyNumberFormat="1" applyFont="1" applyBorder="1" applyAlignment="1">
      <alignment horizontal="center" vertical="center"/>
    </xf>
    <xf numFmtId="166" fontId="11" fillId="8" borderId="3" xfId="0" applyNumberFormat="1" applyFont="1" applyFill="1" applyBorder="1" applyAlignment="1">
      <alignment horizontal="center" vertical="center"/>
    </xf>
    <xf numFmtId="166" fontId="11" fillId="8" borderId="8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166" fontId="11" fillId="8" borderId="2" xfId="0" applyNumberFormat="1" applyFont="1" applyFill="1" applyBorder="1" applyAlignment="1">
      <alignment horizontal="center" vertical="center"/>
    </xf>
    <xf numFmtId="166" fontId="11" fillId="8" borderId="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166" fontId="11" fillId="8" borderId="5" xfId="0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8" fillId="3" borderId="0" xfId="0" applyFont="1" applyFill="1" applyAlignment="1">
      <alignment horizontal="center"/>
    </xf>
    <xf numFmtId="0" fontId="6" fillId="0" borderId="3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1" fillId="3" borderId="28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3" borderId="28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60" xfId="0" applyFont="1" applyBorder="1" applyAlignment="1">
      <alignment horizontal="center" wrapText="1"/>
    </xf>
    <xf numFmtId="0" fontId="37" fillId="3" borderId="0" xfId="0" applyFont="1" applyFill="1" applyAlignment="1">
      <alignment horizontal="left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7" fillId="3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8" fillId="3" borderId="0" xfId="0" applyFont="1" applyFill="1" applyAlignment="1">
      <alignment horizontal="center" vertical="center"/>
    </xf>
    <xf numFmtId="0" fontId="3" fillId="0" borderId="26" xfId="0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0" fontId="6" fillId="9" borderId="9" xfId="0" applyFont="1" applyFill="1" applyBorder="1" applyAlignment="1">
      <alignment horizontal="left" vertical="center"/>
    </xf>
    <xf numFmtId="0" fontId="6" fillId="9" borderId="10" xfId="0" applyFont="1" applyFill="1" applyBorder="1" applyAlignment="1">
      <alignment horizontal="left" vertical="center"/>
    </xf>
    <xf numFmtId="0" fontId="6" fillId="9" borderId="12" xfId="0" applyFont="1" applyFill="1" applyBorder="1" applyAlignment="1">
      <alignment horizontal="left" vertical="center"/>
    </xf>
    <xf numFmtId="0" fontId="6" fillId="9" borderId="9" xfId="0" applyFont="1" applyFill="1" applyBorder="1" applyAlignment="1">
      <alignment horizontal="left" vertical="center" wrapText="1"/>
    </xf>
    <xf numFmtId="0" fontId="6" fillId="9" borderId="10" xfId="0" applyFont="1" applyFill="1" applyBorder="1" applyAlignment="1">
      <alignment horizontal="left" vertical="center" wrapText="1"/>
    </xf>
    <xf numFmtId="0" fontId="6" fillId="9" borderId="12" xfId="0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4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12" borderId="0" xfId="0" applyFont="1" applyFill="1" applyAlignment="1">
      <alignment horizontal="left"/>
    </xf>
    <xf numFmtId="0" fontId="2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17" fontId="27" fillId="0" borderId="0" xfId="0" quotePrefix="1" applyNumberFormat="1" applyFont="1" applyAlignment="1">
      <alignment horizontal="center" vertical="center" wrapText="1"/>
    </xf>
    <xf numFmtId="0" fontId="3" fillId="11" borderId="0" xfId="0" applyFont="1" applyFill="1" applyAlignment="1">
      <alignment horizontal="left"/>
    </xf>
  </cellXfs>
  <cellStyles count="3">
    <cellStyle name="Comma" xfId="2" builtinId="3"/>
    <cellStyle name="Normal" xfId="0" builtinId="0"/>
    <cellStyle name="Normal_Sheet1" xfId="1" xr:uid="{00000000-0005-0000-0000-000002000000}"/>
  </cellStyles>
  <dxfs count="40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37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267408</xdr:colOff>
      <xdr:row>0</xdr:row>
      <xdr:rowOff>116416</xdr:rowOff>
    </xdr:from>
    <xdr:to>
      <xdr:col>0</xdr:col>
      <xdr:colOff>869757</xdr:colOff>
      <xdr:row>3</xdr:row>
      <xdr:rowOff>47336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408" y="116416"/>
          <a:ext cx="602349" cy="88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0</xdr:col>
      <xdr:colOff>570310</xdr:colOff>
      <xdr:row>4</xdr:row>
      <xdr:rowOff>35368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465535" cy="702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195791</xdr:colOff>
      <xdr:row>0</xdr:row>
      <xdr:rowOff>84667</xdr:rowOff>
    </xdr:from>
    <xdr:to>
      <xdr:col>0</xdr:col>
      <xdr:colOff>661326</xdr:colOff>
      <xdr:row>3</xdr:row>
      <xdr:rowOff>158135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91" y="84667"/>
          <a:ext cx="465535" cy="697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0</xdr:col>
      <xdr:colOff>636985</xdr:colOff>
      <xdr:row>3</xdr:row>
      <xdr:rowOff>197293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465535" cy="702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0</xdr:col>
      <xdr:colOff>570310</xdr:colOff>
      <xdr:row>4</xdr:row>
      <xdr:rowOff>6793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465535" cy="702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570310</xdr:colOff>
      <xdr:row>4</xdr:row>
      <xdr:rowOff>16318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465535" cy="676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166158</xdr:colOff>
      <xdr:row>0</xdr:row>
      <xdr:rowOff>96308</xdr:rowOff>
    </xdr:from>
    <xdr:to>
      <xdr:col>0</xdr:col>
      <xdr:colOff>730250</xdr:colOff>
      <xdr:row>4</xdr:row>
      <xdr:rowOff>223555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158" y="96308"/>
          <a:ext cx="564092" cy="846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80433</xdr:colOff>
      <xdr:row>0</xdr:row>
      <xdr:rowOff>129117</xdr:rowOff>
    </xdr:from>
    <xdr:to>
      <xdr:col>0</xdr:col>
      <xdr:colOff>605320</xdr:colOff>
      <xdr:row>4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33" y="129117"/>
          <a:ext cx="524887" cy="791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551260</xdr:colOff>
      <xdr:row>4</xdr:row>
      <xdr:rowOff>25843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465535" cy="702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1</xdr:row>
      <xdr:rowOff>9525</xdr:rowOff>
    </xdr:from>
    <xdr:to>
      <xdr:col>0</xdr:col>
      <xdr:colOff>815975</xdr:colOff>
      <xdr:row>5</xdr:row>
      <xdr:rowOff>81094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200025"/>
          <a:ext cx="596901" cy="897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189795</xdr:colOff>
      <xdr:row>0</xdr:row>
      <xdr:rowOff>76200</xdr:rowOff>
    </xdr:from>
    <xdr:to>
      <xdr:col>0</xdr:col>
      <xdr:colOff>655330</xdr:colOff>
      <xdr:row>4</xdr:row>
      <xdr:rowOff>48068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95" y="76200"/>
          <a:ext cx="465535" cy="677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167216</xdr:colOff>
      <xdr:row>0</xdr:row>
      <xdr:rowOff>81491</xdr:rowOff>
    </xdr:from>
    <xdr:to>
      <xdr:col>0</xdr:col>
      <xdr:colOff>632751</xdr:colOff>
      <xdr:row>4</xdr:row>
      <xdr:rowOff>21609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16" y="81491"/>
          <a:ext cx="465535" cy="702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177799</xdr:colOff>
      <xdr:row>0</xdr:row>
      <xdr:rowOff>147109</xdr:rowOff>
    </xdr:from>
    <xdr:to>
      <xdr:col>0</xdr:col>
      <xdr:colOff>643334</xdr:colOff>
      <xdr:row>4</xdr:row>
      <xdr:rowOff>87227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99" y="147109"/>
          <a:ext cx="465535" cy="702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0</xdr:col>
      <xdr:colOff>560785</xdr:colOff>
      <xdr:row>4</xdr:row>
      <xdr:rowOff>44893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4775"/>
          <a:ext cx="465535" cy="702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96308</xdr:colOff>
      <xdr:row>0</xdr:row>
      <xdr:rowOff>117475</xdr:rowOff>
    </xdr:from>
    <xdr:to>
      <xdr:col>0</xdr:col>
      <xdr:colOff>561843</xdr:colOff>
      <xdr:row>4</xdr:row>
      <xdr:rowOff>57593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" y="117475"/>
          <a:ext cx="465535" cy="702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84665</xdr:rowOff>
    </xdr:from>
    <xdr:to>
      <xdr:col>0</xdr:col>
      <xdr:colOff>624417</xdr:colOff>
      <xdr:row>4</xdr:row>
      <xdr:rowOff>96810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84665"/>
          <a:ext cx="513292" cy="774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115358</xdr:colOff>
      <xdr:row>0</xdr:row>
      <xdr:rowOff>139700</xdr:rowOff>
    </xdr:from>
    <xdr:to>
      <xdr:col>0</xdr:col>
      <xdr:colOff>580893</xdr:colOff>
      <xdr:row>4</xdr:row>
      <xdr:rowOff>79818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58" y="139700"/>
          <a:ext cx="465535" cy="702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3:D26"/>
  <sheetViews>
    <sheetView tabSelected="1" view="pageBreakPreview" zoomScaleNormal="90" zoomScaleSheetLayoutView="100" workbookViewId="0">
      <selection activeCell="A19" sqref="A19"/>
    </sheetView>
  </sheetViews>
  <sheetFormatPr defaultColWidth="9.140625" defaultRowHeight="15"/>
  <cols>
    <col min="1" max="1" width="18.5703125" style="10" customWidth="1"/>
    <col min="2" max="2" width="24.140625" style="10" customWidth="1"/>
    <col min="3" max="3" width="27.42578125" style="10" customWidth="1"/>
    <col min="4" max="4" width="22.5703125" style="175" customWidth="1"/>
    <col min="5" max="16384" width="9.140625" style="10"/>
  </cols>
  <sheetData>
    <row r="3" spans="1:4" ht="45" customHeight="1">
      <c r="B3" s="630" t="s">
        <v>704</v>
      </c>
      <c r="C3" s="630"/>
      <c r="D3" s="630"/>
    </row>
    <row r="4" spans="1:4" ht="15.75" thickBot="1"/>
    <row r="5" spans="1:4" ht="49.5" customHeight="1" thickBot="1">
      <c r="A5" s="298" t="s">
        <v>703</v>
      </c>
      <c r="B5" s="628" t="s">
        <v>694</v>
      </c>
      <c r="C5" s="629"/>
      <c r="D5" s="356" t="s">
        <v>716</v>
      </c>
    </row>
    <row r="6" spans="1:4">
      <c r="A6" s="622" t="s">
        <v>667</v>
      </c>
      <c r="B6" s="220" t="s">
        <v>672</v>
      </c>
      <c r="C6" s="221">
        <v>10</v>
      </c>
      <c r="D6" s="357" t="s">
        <v>83</v>
      </c>
    </row>
    <row r="7" spans="1:4">
      <c r="A7" s="623"/>
      <c r="B7" s="346" t="s">
        <v>705</v>
      </c>
      <c r="C7" s="216"/>
      <c r="D7" s="358"/>
    </row>
    <row r="8" spans="1:4">
      <c r="A8" s="623"/>
      <c r="B8" s="218" t="s">
        <v>64</v>
      </c>
      <c r="C8" s="216">
        <v>100</v>
      </c>
      <c r="D8" s="355">
        <v>7.5000000000000002E-4</v>
      </c>
    </row>
    <row r="9" spans="1:4">
      <c r="A9" s="623"/>
      <c r="B9" s="218" t="s">
        <v>710</v>
      </c>
      <c r="C9" s="216">
        <v>200</v>
      </c>
      <c r="D9" s="355">
        <v>3.3E-4</v>
      </c>
    </row>
    <row r="10" spans="1:4">
      <c r="A10" s="623"/>
      <c r="B10" s="218" t="s">
        <v>711</v>
      </c>
      <c r="C10" s="216">
        <v>200</v>
      </c>
      <c r="D10" s="355">
        <v>3.3E-4</v>
      </c>
    </row>
    <row r="11" spans="1:4" ht="17.25" thickBot="1">
      <c r="A11" s="624"/>
      <c r="B11" s="219" t="s">
        <v>666</v>
      </c>
      <c r="C11" s="217">
        <v>85</v>
      </c>
      <c r="D11" s="215" t="s">
        <v>706</v>
      </c>
    </row>
    <row r="12" spans="1:4" ht="15.75" thickBot="1">
      <c r="A12" s="299"/>
      <c r="B12" s="353"/>
      <c r="C12" s="353"/>
      <c r="D12" s="354"/>
    </row>
    <row r="13" spans="1:4">
      <c r="A13" s="625" t="s">
        <v>668</v>
      </c>
      <c r="B13" s="220" t="s">
        <v>672</v>
      </c>
      <c r="C13" s="221">
        <v>20</v>
      </c>
      <c r="D13" s="357" t="s">
        <v>83</v>
      </c>
    </row>
    <row r="14" spans="1:4">
      <c r="A14" s="626"/>
      <c r="B14" s="346" t="s">
        <v>705</v>
      </c>
      <c r="C14" s="216"/>
      <c r="D14" s="358"/>
    </row>
    <row r="15" spans="1:4">
      <c r="A15" s="626"/>
      <c r="B15" s="218" t="s">
        <v>64</v>
      </c>
      <c r="C15" s="216">
        <v>150</v>
      </c>
      <c r="D15" s="355">
        <v>1.7000000000000001E-4</v>
      </c>
    </row>
    <row r="16" spans="1:4">
      <c r="A16" s="626"/>
      <c r="B16" s="218" t="s">
        <v>710</v>
      </c>
      <c r="C16" s="216">
        <v>250</v>
      </c>
      <c r="D16" s="355">
        <v>1E-4</v>
      </c>
    </row>
    <row r="17" spans="1:4">
      <c r="A17" s="626"/>
      <c r="B17" s="218" t="s">
        <v>711</v>
      </c>
      <c r="C17" s="216">
        <v>250</v>
      </c>
      <c r="D17" s="355">
        <v>1E-4</v>
      </c>
    </row>
    <row r="18" spans="1:4" ht="17.25" thickBot="1">
      <c r="A18" s="627"/>
      <c r="B18" s="219" t="s">
        <v>666</v>
      </c>
      <c r="C18" s="217">
        <v>135</v>
      </c>
      <c r="D18" s="215" t="s">
        <v>707</v>
      </c>
    </row>
    <row r="20" spans="1:4">
      <c r="A20" s="14" t="s">
        <v>13</v>
      </c>
      <c r="C20" s="175"/>
      <c r="D20" s="10"/>
    </row>
    <row r="21" spans="1:4">
      <c r="A21" s="37" t="s">
        <v>695</v>
      </c>
      <c r="C21" s="175"/>
      <c r="D21" s="10"/>
    </row>
    <row r="22" spans="1:4">
      <c r="A22" s="15" t="s">
        <v>842</v>
      </c>
    </row>
    <row r="23" spans="1:4" ht="16.5">
      <c r="A23" s="15" t="s">
        <v>831</v>
      </c>
    </row>
    <row r="24" spans="1:4" ht="16.5">
      <c r="A24" s="15" t="s">
        <v>832</v>
      </c>
    </row>
    <row r="25" spans="1:4" ht="16.5">
      <c r="A25" s="15" t="s">
        <v>712</v>
      </c>
    </row>
    <row r="26" spans="1:4" ht="16.5">
      <c r="A26" s="15" t="s">
        <v>713</v>
      </c>
    </row>
  </sheetData>
  <mergeCells count="4">
    <mergeCell ref="A6:A11"/>
    <mergeCell ref="A13:A18"/>
    <mergeCell ref="B5:C5"/>
    <mergeCell ref="B3:D3"/>
  </mergeCells>
  <pageMargins left="0.7" right="0.7" top="0.75" bottom="0.75" header="0.3" footer="0.3"/>
  <pageSetup orientation="landscape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  <pageSetUpPr fitToPage="1"/>
  </sheetPr>
  <dimension ref="A5:X36"/>
  <sheetViews>
    <sheetView view="pageBreakPreview" zoomScaleNormal="90" zoomScaleSheetLayoutView="100" workbookViewId="0">
      <selection activeCell="A6" sqref="A6"/>
    </sheetView>
  </sheetViews>
  <sheetFormatPr defaultColWidth="9.140625" defaultRowHeight="15"/>
  <cols>
    <col min="1" max="1" width="21.42578125" style="10" customWidth="1"/>
    <col min="2" max="2" width="13.42578125" style="10" customWidth="1"/>
    <col min="3" max="3" width="10.5703125" style="10" customWidth="1"/>
    <col min="4" max="4" width="15.140625" style="10" customWidth="1"/>
    <col min="5" max="5" width="12.5703125" style="10" customWidth="1"/>
    <col min="6" max="6" width="11.140625" style="10" customWidth="1"/>
    <col min="7" max="7" width="15.140625" style="10" customWidth="1"/>
    <col min="8" max="8" width="12.85546875" style="10" customWidth="1"/>
    <col min="9" max="9" width="11" style="10" customWidth="1"/>
    <col min="10" max="10" width="15.140625" style="10" customWidth="1"/>
    <col min="11" max="11" width="12.85546875" style="10" bestFit="1" customWidth="1"/>
    <col min="12" max="12" width="16.42578125" style="10" customWidth="1"/>
    <col min="13" max="16384" width="9.140625" style="10"/>
  </cols>
  <sheetData>
    <row r="5" spans="1:24" ht="19.5">
      <c r="B5" s="885" t="s">
        <v>657</v>
      </c>
      <c r="C5" s="885"/>
      <c r="D5" s="885"/>
      <c r="E5" s="885"/>
      <c r="F5" s="885"/>
      <c r="G5" s="885"/>
      <c r="H5" s="885"/>
      <c r="I5" s="885"/>
      <c r="J5" s="885"/>
      <c r="K5" s="885"/>
      <c r="L5" s="885"/>
    </row>
    <row r="6" spans="1:24" ht="15.75" thickBot="1">
      <c r="B6" s="1"/>
    </row>
    <row r="7" spans="1:24" ht="14.45" customHeight="1">
      <c r="A7" s="882" t="s">
        <v>771</v>
      </c>
      <c r="B7" s="886" t="s">
        <v>64</v>
      </c>
      <c r="C7" s="887"/>
      <c r="D7" s="888"/>
      <c r="E7" s="886" t="s">
        <v>65</v>
      </c>
      <c r="F7" s="887"/>
      <c r="G7" s="888"/>
      <c r="H7" s="886" t="s">
        <v>66</v>
      </c>
      <c r="I7" s="887"/>
      <c r="J7" s="888"/>
      <c r="K7" s="889" t="s">
        <v>23</v>
      </c>
      <c r="L7" s="890"/>
    </row>
    <row r="8" spans="1:24" ht="46.5" customHeight="1">
      <c r="A8" s="883"/>
      <c r="B8" s="77" t="s">
        <v>49</v>
      </c>
      <c r="C8" s="141" t="s">
        <v>631</v>
      </c>
      <c r="D8" s="142" t="s">
        <v>630</v>
      </c>
      <c r="E8" s="77" t="s">
        <v>49</v>
      </c>
      <c r="F8" s="141" t="s">
        <v>631</v>
      </c>
      <c r="G8" s="142" t="s">
        <v>630</v>
      </c>
      <c r="H8" s="77" t="s">
        <v>49</v>
      </c>
      <c r="I8" s="141" t="s">
        <v>631</v>
      </c>
      <c r="J8" s="142" t="s">
        <v>630</v>
      </c>
      <c r="K8" s="152" t="s">
        <v>631</v>
      </c>
      <c r="L8" s="142" t="s">
        <v>630</v>
      </c>
    </row>
    <row r="9" spans="1:24" ht="29.25" customHeight="1">
      <c r="A9" s="884"/>
      <c r="B9" s="77" t="s">
        <v>40</v>
      </c>
      <c r="C9" s="71" t="s">
        <v>41</v>
      </c>
      <c r="D9" s="477"/>
      <c r="E9" s="77" t="s">
        <v>42</v>
      </c>
      <c r="F9" s="71" t="s">
        <v>43</v>
      </c>
      <c r="G9" s="477"/>
      <c r="H9" s="77" t="s">
        <v>44</v>
      </c>
      <c r="I9" s="71" t="s">
        <v>45</v>
      </c>
      <c r="J9" s="477"/>
      <c r="K9" s="77" t="s">
        <v>46</v>
      </c>
      <c r="L9" s="476"/>
    </row>
    <row r="10" spans="1:24" ht="42.75" customHeight="1">
      <c r="A10" s="151" t="s">
        <v>780</v>
      </c>
      <c r="B10" s="487">
        <f>'A-5'!G22</f>
        <v>4.8712197159565589</v>
      </c>
      <c r="C10" s="488">
        <f>'A-5'!I22</f>
        <v>0.69507917050691248</v>
      </c>
      <c r="D10" s="489" t="s">
        <v>0</v>
      </c>
      <c r="E10" s="490">
        <f>'A-5'!L22</f>
        <v>8.7285714285714286E-2</v>
      </c>
      <c r="F10" s="488">
        <f>'A-5'!N22</f>
        <v>5.6741496948561461E-2</v>
      </c>
      <c r="G10" s="489" t="s">
        <v>0</v>
      </c>
      <c r="H10" s="490">
        <f>'A-5'!Q22</f>
        <v>0.18486873930741549</v>
      </c>
      <c r="I10" s="488">
        <f>'A-5'!S22</f>
        <v>5.6741496948561461E-2</v>
      </c>
      <c r="J10" s="489" t="s">
        <v>0</v>
      </c>
      <c r="K10" s="487">
        <f>'A-5'!W22</f>
        <v>1.0067599076920017</v>
      </c>
      <c r="L10" s="489" t="s">
        <v>0</v>
      </c>
    </row>
    <row r="11" spans="1:24" ht="15.75" thickBot="1">
      <c r="C11" s="750"/>
      <c r="D11" s="750"/>
      <c r="E11" s="750"/>
      <c r="F11" s="750"/>
      <c r="G11" s="750"/>
      <c r="H11" s="360"/>
      <c r="I11" s="360"/>
      <c r="J11" s="360"/>
      <c r="K11" s="360"/>
      <c r="L11" s="360"/>
      <c r="M11" s="360"/>
      <c r="N11" s="360"/>
      <c r="O11" s="360"/>
      <c r="P11" s="360"/>
      <c r="Q11" s="360"/>
      <c r="R11" s="360"/>
      <c r="S11" s="360"/>
      <c r="T11" s="360"/>
      <c r="U11" s="360"/>
      <c r="V11" s="360"/>
      <c r="W11" s="360"/>
      <c r="X11" s="360"/>
    </row>
    <row r="12" spans="1:24" ht="17.25">
      <c r="B12" s="847" t="s">
        <v>665</v>
      </c>
      <c r="C12" s="848"/>
      <c r="D12" s="719" t="s">
        <v>664</v>
      </c>
      <c r="E12" s="716" t="s">
        <v>763</v>
      </c>
      <c r="F12" s="717"/>
      <c r="G12" s="718"/>
      <c r="I12" s="12"/>
      <c r="J12" s="12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18" thickBot="1">
      <c r="B13" s="849"/>
      <c r="C13" s="850"/>
      <c r="D13" s="720"/>
      <c r="E13" s="209" t="s">
        <v>679</v>
      </c>
      <c r="F13" s="233" t="s">
        <v>680</v>
      </c>
      <c r="G13" s="232" t="s">
        <v>764</v>
      </c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</row>
    <row r="14" spans="1:24">
      <c r="B14" s="703" t="s">
        <v>84</v>
      </c>
      <c r="C14" s="851"/>
      <c r="D14" s="254">
        <v>0.5</v>
      </c>
      <c r="E14" s="703">
        <v>0.5</v>
      </c>
      <c r="F14" s="704"/>
      <c r="G14" s="4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</row>
    <row r="15" spans="1:24">
      <c r="B15" s="705" t="s">
        <v>77</v>
      </c>
      <c r="C15" s="844"/>
      <c r="D15" s="196">
        <v>25</v>
      </c>
      <c r="E15" s="705">
        <v>1</v>
      </c>
      <c r="F15" s="706"/>
      <c r="G15" s="404"/>
      <c r="I15" s="203"/>
      <c r="J15" s="204"/>
      <c r="K15" s="203"/>
      <c r="L15" s="203"/>
      <c r="M15" s="203"/>
      <c r="N15" s="203"/>
      <c r="O15" s="204"/>
      <c r="P15" s="203"/>
      <c r="Q15" s="203"/>
      <c r="R15" s="203"/>
      <c r="S15" s="203"/>
      <c r="T15" s="204"/>
      <c r="U15" s="204"/>
      <c r="V15" s="203"/>
      <c r="W15" s="203"/>
      <c r="X15" s="204"/>
    </row>
    <row r="16" spans="1:24">
      <c r="B16" s="705" t="s">
        <v>78</v>
      </c>
      <c r="C16" s="844"/>
      <c r="D16" s="196">
        <v>50</v>
      </c>
      <c r="E16" s="252" t="s">
        <v>681</v>
      </c>
      <c r="F16" s="234">
        <v>5</v>
      </c>
      <c r="G16" s="235">
        <v>1</v>
      </c>
      <c r="I16" s="203"/>
      <c r="J16" s="204"/>
      <c r="K16" s="203"/>
      <c r="L16" s="203"/>
      <c r="M16" s="203"/>
      <c r="N16" s="203"/>
      <c r="O16" s="204"/>
      <c r="P16" s="203"/>
      <c r="Q16" s="203"/>
      <c r="R16" s="203"/>
      <c r="S16" s="203"/>
      <c r="T16" s="204"/>
      <c r="U16" s="204"/>
      <c r="V16" s="203"/>
      <c r="W16" s="203"/>
      <c r="X16" s="204"/>
    </row>
    <row r="17" spans="1:24">
      <c r="B17" s="705" t="s">
        <v>79</v>
      </c>
      <c r="C17" s="844"/>
      <c r="D17" s="196">
        <v>200</v>
      </c>
      <c r="E17" s="252" t="s">
        <v>682</v>
      </c>
      <c r="F17" s="234">
        <v>10</v>
      </c>
      <c r="G17" s="235">
        <v>2</v>
      </c>
      <c r="I17" s="203"/>
      <c r="J17" s="204"/>
      <c r="K17" s="203"/>
      <c r="L17" s="203"/>
      <c r="M17" s="203"/>
      <c r="N17" s="203"/>
      <c r="O17" s="204"/>
      <c r="P17" s="203"/>
      <c r="Q17" s="203"/>
      <c r="R17" s="203"/>
      <c r="S17" s="203"/>
      <c r="T17" s="204"/>
      <c r="U17" s="204"/>
      <c r="V17" s="203"/>
      <c r="W17" s="203"/>
      <c r="X17" s="204"/>
    </row>
    <row r="18" spans="1:24" ht="15.75" thickBot="1">
      <c r="B18" s="845" t="s">
        <v>80</v>
      </c>
      <c r="C18" s="846"/>
      <c r="D18" s="255">
        <v>500</v>
      </c>
      <c r="E18" s="253" t="s">
        <v>683</v>
      </c>
      <c r="F18" s="236">
        <v>20</v>
      </c>
      <c r="G18" s="237">
        <v>4</v>
      </c>
    </row>
    <row r="20" spans="1:24">
      <c r="A20" s="63" t="s">
        <v>13</v>
      </c>
    </row>
    <row r="21" spans="1:24">
      <c r="A21" s="11" t="s">
        <v>770</v>
      </c>
    </row>
    <row r="22" spans="1:24">
      <c r="A22" s="13" t="s">
        <v>772</v>
      </c>
    </row>
    <row r="23" spans="1:24">
      <c r="A23" s="13" t="s">
        <v>773</v>
      </c>
    </row>
    <row r="24" spans="1:24">
      <c r="A24" s="13" t="s">
        <v>774</v>
      </c>
    </row>
    <row r="25" spans="1:24">
      <c r="A25" s="13" t="s">
        <v>775</v>
      </c>
    </row>
    <row r="26" spans="1:24">
      <c r="A26" s="13" t="s">
        <v>776</v>
      </c>
    </row>
    <row r="27" spans="1:24">
      <c r="A27" s="13" t="s">
        <v>777</v>
      </c>
    </row>
    <row r="28" spans="1:24">
      <c r="A28" s="13" t="s">
        <v>778</v>
      </c>
    </row>
    <row r="29" spans="1:24">
      <c r="A29" s="13" t="s">
        <v>779</v>
      </c>
    </row>
    <row r="30" spans="1:24">
      <c r="A30" s="13" t="s">
        <v>863</v>
      </c>
    </row>
    <row r="31" spans="1:24">
      <c r="A31" s="13" t="s">
        <v>862</v>
      </c>
    </row>
    <row r="33" spans="1:1">
      <c r="A33" s="37" t="s">
        <v>656</v>
      </c>
    </row>
    <row r="35" spans="1:1">
      <c r="A35" s="14" t="s">
        <v>697</v>
      </c>
    </row>
    <row r="36" spans="1:1">
      <c r="A36" s="37" t="s">
        <v>696</v>
      </c>
    </row>
  </sheetData>
  <mergeCells count="17">
    <mergeCell ref="B5:L5"/>
    <mergeCell ref="B7:D7"/>
    <mergeCell ref="E7:G7"/>
    <mergeCell ref="H7:J7"/>
    <mergeCell ref="K7:L7"/>
    <mergeCell ref="A7:A9"/>
    <mergeCell ref="C11:G11"/>
    <mergeCell ref="B12:C13"/>
    <mergeCell ref="D12:D13"/>
    <mergeCell ref="E12:G12"/>
    <mergeCell ref="B17:C17"/>
    <mergeCell ref="B18:C18"/>
    <mergeCell ref="B14:C14"/>
    <mergeCell ref="E14:F14"/>
    <mergeCell ref="B15:C15"/>
    <mergeCell ref="E15:F15"/>
    <mergeCell ref="B16:C16"/>
  </mergeCells>
  <pageMargins left="0.7" right="0.7" top="0.75" bottom="0.75" header="0.3" footer="0.3"/>
  <pageSetup paperSize="3" scale="72" orientation="landscape" r:id="rId1"/>
  <headerFooter>
    <oddHeader>&amp;C&amp;G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59999389629810485"/>
    <pageSetUpPr fitToPage="1"/>
  </sheetPr>
  <dimension ref="A3:O36"/>
  <sheetViews>
    <sheetView view="pageBreakPreview" zoomScaleNormal="100" zoomScaleSheetLayoutView="100" workbookViewId="0">
      <selection activeCell="A5" sqref="A5"/>
    </sheetView>
  </sheetViews>
  <sheetFormatPr defaultColWidth="9.140625" defaultRowHeight="15"/>
  <cols>
    <col min="1" max="1" width="12.42578125" style="10" customWidth="1"/>
    <col min="2" max="2" width="13.42578125" style="10" customWidth="1"/>
    <col min="3" max="3" width="22.85546875" style="10" customWidth="1"/>
    <col min="4" max="5" width="8.42578125" style="10" bestFit="1" customWidth="1"/>
    <col min="6" max="6" width="10" style="10" customWidth="1"/>
    <col min="7" max="7" width="13.140625" style="10" bestFit="1" customWidth="1"/>
    <col min="8" max="8" width="9.42578125" style="10" customWidth="1"/>
    <col min="9" max="9" width="12.85546875" style="10" bestFit="1" customWidth="1"/>
    <col min="10" max="10" width="8.42578125" style="10" bestFit="1" customWidth="1"/>
    <col min="11" max="11" width="12.85546875" style="10" bestFit="1" customWidth="1"/>
    <col min="12" max="12" width="8.42578125" style="10" bestFit="1" customWidth="1"/>
    <col min="13" max="13" width="12.85546875" style="10" bestFit="1" customWidth="1"/>
    <col min="14" max="14" width="8.42578125" style="10" bestFit="1" customWidth="1"/>
    <col min="15" max="15" width="13.5703125" style="10" bestFit="1" customWidth="1"/>
    <col min="16" max="16384" width="9.140625" style="10"/>
  </cols>
  <sheetData>
    <row r="3" spans="1:15" ht="19.5">
      <c r="B3" s="891" t="s">
        <v>658</v>
      </c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</row>
    <row r="4" spans="1:15" ht="19.5">
      <c r="B4" s="896" t="s">
        <v>76</v>
      </c>
      <c r="C4" s="896"/>
      <c r="D4" s="896"/>
      <c r="E4" s="896"/>
      <c r="F4" s="896"/>
      <c r="G4" s="896"/>
      <c r="H4" s="896"/>
      <c r="I4" s="896"/>
      <c r="J4" s="896"/>
      <c r="K4" s="896"/>
      <c r="L4" s="896"/>
      <c r="M4" s="896"/>
      <c r="N4" s="896"/>
      <c r="O4" s="896"/>
    </row>
    <row r="5" spans="1:15" ht="20.25" thickBot="1"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</row>
    <row r="6" spans="1:15" ht="15.95" customHeight="1" thickBot="1">
      <c r="A6" s="681" t="s">
        <v>678</v>
      </c>
      <c r="B6" s="892" t="s">
        <v>781</v>
      </c>
      <c r="C6" s="903" t="s">
        <v>3</v>
      </c>
      <c r="D6" s="897" t="s">
        <v>782</v>
      </c>
      <c r="E6" s="892"/>
      <c r="F6" s="897" t="s">
        <v>25</v>
      </c>
      <c r="G6" s="892"/>
      <c r="H6" s="900" t="s">
        <v>841</v>
      </c>
      <c r="I6" s="901"/>
      <c r="J6" s="901"/>
      <c r="K6" s="901"/>
      <c r="L6" s="901"/>
      <c r="M6" s="901"/>
      <c r="N6" s="901"/>
      <c r="O6" s="902"/>
    </row>
    <row r="7" spans="1:15" ht="15" customHeight="1" thickBot="1">
      <c r="A7" s="682"/>
      <c r="B7" s="893"/>
      <c r="C7" s="904"/>
      <c r="D7" s="895"/>
      <c r="E7" s="893"/>
      <c r="F7" s="898"/>
      <c r="G7" s="899"/>
      <c r="H7" s="895" t="s">
        <v>54</v>
      </c>
      <c r="I7" s="893"/>
      <c r="J7" s="895" t="s">
        <v>55</v>
      </c>
      <c r="K7" s="893"/>
      <c r="L7" s="895" t="s">
        <v>56</v>
      </c>
      <c r="M7" s="893"/>
      <c r="N7" s="894" t="s">
        <v>57</v>
      </c>
      <c r="O7" s="893"/>
    </row>
    <row r="8" spans="1:15" ht="14.45" customHeight="1">
      <c r="A8" s="682"/>
      <c r="B8" s="893"/>
      <c r="C8" s="904"/>
      <c r="D8" s="895"/>
      <c r="E8" s="893"/>
      <c r="F8" s="582"/>
      <c r="G8" s="892" t="s">
        <v>783</v>
      </c>
      <c r="H8" s="582"/>
      <c r="I8" s="892" t="s">
        <v>783</v>
      </c>
      <c r="J8" s="582"/>
      <c r="K8" s="892" t="s">
        <v>783</v>
      </c>
      <c r="L8" s="582"/>
      <c r="M8" s="892" t="s">
        <v>67</v>
      </c>
      <c r="N8" s="345"/>
      <c r="O8" s="892" t="s">
        <v>783</v>
      </c>
    </row>
    <row r="9" spans="1:15" ht="15.75" thickBot="1">
      <c r="A9" s="682"/>
      <c r="B9" s="893"/>
      <c r="C9" s="904"/>
      <c r="D9" s="898"/>
      <c r="E9" s="899"/>
      <c r="F9" s="583" t="s">
        <v>19</v>
      </c>
      <c r="G9" s="893"/>
      <c r="H9" s="583" t="s">
        <v>19</v>
      </c>
      <c r="I9" s="893"/>
      <c r="J9" s="583" t="s">
        <v>19</v>
      </c>
      <c r="K9" s="893"/>
      <c r="L9" s="583" t="s">
        <v>19</v>
      </c>
      <c r="M9" s="893"/>
      <c r="N9" s="584" t="s">
        <v>19</v>
      </c>
      <c r="O9" s="893"/>
    </row>
    <row r="10" spans="1:15" ht="33" thickBot="1">
      <c r="A10" s="683"/>
      <c r="B10" s="899"/>
      <c r="C10" s="905"/>
      <c r="D10" s="113" t="s">
        <v>789</v>
      </c>
      <c r="E10" s="581" t="s">
        <v>786</v>
      </c>
      <c r="F10" s="113" t="s">
        <v>788</v>
      </c>
      <c r="G10" s="580" t="s">
        <v>787</v>
      </c>
      <c r="H10" s="113" t="s">
        <v>788</v>
      </c>
      <c r="I10" s="580" t="s">
        <v>787</v>
      </c>
      <c r="J10" s="113" t="s">
        <v>788</v>
      </c>
      <c r="K10" s="580" t="s">
        <v>787</v>
      </c>
      <c r="L10" s="113" t="s">
        <v>788</v>
      </c>
      <c r="M10" s="580" t="s">
        <v>787</v>
      </c>
      <c r="N10" s="113" t="s">
        <v>788</v>
      </c>
      <c r="O10" s="580" t="s">
        <v>787</v>
      </c>
    </row>
    <row r="11" spans="1:15">
      <c r="A11" s="873" t="s">
        <v>667</v>
      </c>
      <c r="B11" s="35" t="s">
        <v>153</v>
      </c>
      <c r="C11" s="70" t="s">
        <v>6</v>
      </c>
      <c r="D11" s="111">
        <v>140</v>
      </c>
      <c r="E11" s="458">
        <f>D11/69525</f>
        <v>2.0136641495864796E-3</v>
      </c>
      <c r="F11" s="424">
        <f>VLOOKUP($B11,RBC!$B$5:$J$269,3,FALSE)</f>
        <v>5.5999999999999995E-4</v>
      </c>
      <c r="G11" s="461">
        <f>IFERROR($E11/F11,"")</f>
        <v>3.5958288385472854</v>
      </c>
      <c r="H11" s="424">
        <f>VLOOKUP($B11,RBC!$B$5:$J$269,4,FALSE)</f>
        <v>5.0000000000000001E-3</v>
      </c>
      <c r="I11" s="426">
        <f>IFERROR($E11/H11,"")</f>
        <v>0.40273282991729592</v>
      </c>
      <c r="J11" s="65"/>
      <c r="K11" s="74" t="str">
        <f>IFERROR($E11/J11,"")</f>
        <v/>
      </c>
      <c r="L11" s="111"/>
      <c r="M11" s="162" t="str">
        <f>IFERROR($E11/L11,"")</f>
        <v/>
      </c>
      <c r="N11" s="111"/>
      <c r="O11" s="121" t="str">
        <f>IFERROR($E11/N11,"")</f>
        <v/>
      </c>
    </row>
    <row r="12" spans="1:15">
      <c r="A12" s="874"/>
      <c r="B12" s="35" t="s">
        <v>346</v>
      </c>
      <c r="C12" s="70" t="s">
        <v>7</v>
      </c>
      <c r="D12" s="111">
        <v>70</v>
      </c>
      <c r="E12" s="458">
        <f t="shared" ref="E12:E17" si="0">D12/69525</f>
        <v>1.0068320747932398E-3</v>
      </c>
      <c r="F12" s="111"/>
      <c r="G12" s="160" t="str">
        <f t="shared" ref="G12:I18" si="1">IFERROR($E12/F12,"")</f>
        <v/>
      </c>
      <c r="H12" s="111"/>
      <c r="I12" s="121" t="str">
        <f t="shared" si="1"/>
        <v/>
      </c>
      <c r="J12" s="278">
        <f>VLOOKUP($B12,RBC!$B$5:$J$269,4,FALSE)</f>
        <v>0.09</v>
      </c>
      <c r="K12" s="466">
        <f t="shared" ref="K12:M12" si="2">IFERROR($E12/J12,"")</f>
        <v>1.118702305325822E-2</v>
      </c>
      <c r="L12" s="111"/>
      <c r="M12" s="162" t="str">
        <f t="shared" si="2"/>
        <v/>
      </c>
      <c r="N12" s="111"/>
      <c r="O12" s="121" t="str">
        <f t="shared" ref="O12" si="3">IFERROR($E12/N12,"")</f>
        <v/>
      </c>
    </row>
    <row r="13" spans="1:15" ht="15.75" thickBot="1">
      <c r="A13" s="874"/>
      <c r="B13" s="35" t="s">
        <v>370</v>
      </c>
      <c r="C13" s="70" t="s">
        <v>8</v>
      </c>
      <c r="D13" s="111">
        <v>220</v>
      </c>
      <c r="E13" s="458">
        <f t="shared" si="0"/>
        <v>3.1643293779216111E-3</v>
      </c>
      <c r="F13" s="424">
        <f>VLOOKUP($B13,RBC!$B$5:$J$269,3,FALSE)</f>
        <v>3.8E-3</v>
      </c>
      <c r="G13" s="461">
        <f t="shared" si="1"/>
        <v>0.83271825734779237</v>
      </c>
      <c r="H13" s="111"/>
      <c r="I13" s="121" t="str">
        <f t="shared" si="1"/>
        <v/>
      </c>
      <c r="J13" s="65"/>
      <c r="K13" s="74" t="str">
        <f t="shared" ref="K13:M13" si="4">IFERROR($E13/J13,"")</f>
        <v/>
      </c>
      <c r="L13" s="424">
        <f>VLOOKUP($B13,RBC!$B$5:$J$269,4,FALSE)</f>
        <v>1.4E-2</v>
      </c>
      <c r="M13" s="459">
        <f t="shared" si="4"/>
        <v>0.22602352699440079</v>
      </c>
      <c r="N13" s="424">
        <f>VLOOKUP($B13,RBC!$B$5:$J$269,4,FALSE)</f>
        <v>1.4E-2</v>
      </c>
      <c r="O13" s="426">
        <f t="shared" ref="O13" si="5">IFERROR($E13/N13,"")</f>
        <v>0.22602352699440079</v>
      </c>
    </row>
    <row r="14" spans="1:15">
      <c r="A14" s="874"/>
      <c r="B14" s="47" t="s">
        <v>645</v>
      </c>
      <c r="C14" s="105"/>
      <c r="D14" s="108"/>
      <c r="E14" s="76"/>
      <c r="F14" s="118"/>
      <c r="G14" s="468">
        <f>SUM(G11:G13)</f>
        <v>4.4285470958950777</v>
      </c>
      <c r="H14" s="108"/>
      <c r="I14" s="447">
        <f>SUM(I11:I13)</f>
        <v>0.40273282991729592</v>
      </c>
      <c r="J14" s="75"/>
      <c r="K14" s="479">
        <f>SUM(K11:K13)</f>
        <v>1.118702305325822E-2</v>
      </c>
      <c r="L14" s="118"/>
      <c r="M14" s="474">
        <f>SUM(M11:M13)</f>
        <v>0.22602352699440079</v>
      </c>
      <c r="N14" s="118"/>
      <c r="O14" s="447">
        <f>SUM(O11:O13)</f>
        <v>0.22602352699440079</v>
      </c>
    </row>
    <row r="15" spans="1:15" ht="15.75" thickBot="1">
      <c r="A15" s="875"/>
      <c r="B15" s="48" t="s">
        <v>644</v>
      </c>
      <c r="C15" s="116"/>
      <c r="D15" s="109"/>
      <c r="E15" s="149"/>
      <c r="F15" s="150"/>
      <c r="G15" s="161"/>
      <c r="H15" s="109"/>
      <c r="I15" s="473">
        <f>SUM(I11:I13)/3</f>
        <v>0.13424427663909863</v>
      </c>
      <c r="J15" s="61"/>
      <c r="K15" s="480">
        <f>SUM(K11:K13)/3</f>
        <v>3.7290076844194065E-3</v>
      </c>
      <c r="L15" s="150"/>
      <c r="M15" s="478">
        <f>SUM(M11:M13)/3</f>
        <v>7.5341175664800267E-2</v>
      </c>
      <c r="N15" s="150"/>
      <c r="O15" s="470">
        <f>SUM(O11:O13)/3</f>
        <v>7.5341175664800267E-2</v>
      </c>
    </row>
    <row r="16" spans="1:15">
      <c r="A16" s="873" t="s">
        <v>668</v>
      </c>
      <c r="B16" s="35" t="s">
        <v>93</v>
      </c>
      <c r="C16" s="70" t="s">
        <v>9</v>
      </c>
      <c r="D16" s="117">
        <v>100000</v>
      </c>
      <c r="E16" s="463">
        <f t="shared" si="0"/>
        <v>1.4383315354189141</v>
      </c>
      <c r="F16" s="424">
        <f>VLOOKUP($B16,RBC!$B$5:$J$269,3,FALSE)</f>
        <v>0.45</v>
      </c>
      <c r="G16" s="421">
        <f>IFERROR($E16/F16,"")</f>
        <v>3.1962923009309203</v>
      </c>
      <c r="H16" s="65"/>
      <c r="I16" s="122" t="str">
        <f t="shared" si="1"/>
        <v/>
      </c>
      <c r="J16" s="65"/>
      <c r="K16" s="124" t="str">
        <f t="shared" ref="K16:M16" si="6">IFERROR($E16/J16,"")</f>
        <v/>
      </c>
      <c r="L16" s="65"/>
      <c r="M16" s="121" t="str">
        <f t="shared" si="6"/>
        <v/>
      </c>
      <c r="N16" s="278">
        <f>VLOOKUP($B16,RBC!$B$5:$J$269,4,FALSE)</f>
        <v>140</v>
      </c>
      <c r="O16" s="426">
        <f t="shared" ref="O16" si="7">IFERROR($E16/N16,"")</f>
        <v>1.0273796681563672E-2</v>
      </c>
    </row>
    <row r="17" spans="1:15">
      <c r="A17" s="874"/>
      <c r="B17" s="35" t="s">
        <v>96</v>
      </c>
      <c r="C17" s="70" t="s">
        <v>10</v>
      </c>
      <c r="D17" s="117">
        <v>80000</v>
      </c>
      <c r="E17" s="463">
        <f t="shared" si="0"/>
        <v>1.1506652283351313</v>
      </c>
      <c r="F17" s="111"/>
      <c r="G17" s="122" t="str">
        <f t="shared" si="1"/>
        <v/>
      </c>
      <c r="H17" s="65"/>
      <c r="I17" s="122" t="str">
        <f t="shared" si="1"/>
        <v/>
      </c>
      <c r="J17" s="370">
        <f>VLOOKUP($B17,RBC!$B$5:$J$269,4,FALSE)</f>
        <v>31000</v>
      </c>
      <c r="K17" s="464">
        <f>IFERROR($E17/J17,"")</f>
        <v>3.7118233172101011E-5</v>
      </c>
      <c r="L17" s="65"/>
      <c r="M17" s="121" t="str">
        <f t="shared" ref="M17" si="8">IFERROR($E17/L17,"")</f>
        <v/>
      </c>
      <c r="N17" s="65"/>
      <c r="O17" s="121" t="str">
        <f t="shared" ref="O17" si="9">IFERROR($E17/N17,"")</f>
        <v/>
      </c>
    </row>
    <row r="18" spans="1:15" ht="15.75" thickBot="1">
      <c r="A18" s="874"/>
      <c r="B18" s="35" t="s">
        <v>99</v>
      </c>
      <c r="C18" s="70" t="s">
        <v>11</v>
      </c>
      <c r="D18" s="117">
        <v>10000</v>
      </c>
      <c r="E18" s="463">
        <f>D18/69525</f>
        <v>0.14383315354189141</v>
      </c>
      <c r="F18" s="111"/>
      <c r="G18" s="122" t="str">
        <f t="shared" si="1"/>
        <v/>
      </c>
      <c r="H18" s="65"/>
      <c r="I18" s="122" t="str">
        <f t="shared" si="1"/>
        <v/>
      </c>
      <c r="J18" s="65"/>
      <c r="K18" s="124" t="str">
        <f t="shared" ref="K18:M18" si="10">IFERROR($E18/J18,"")</f>
        <v/>
      </c>
      <c r="L18" s="65"/>
      <c r="M18" s="121" t="str">
        <f t="shared" si="10"/>
        <v/>
      </c>
      <c r="N18" s="278">
        <f>VLOOKUP($B18,RBC!$B$5:$J$269,4,FALSE)</f>
        <v>0.35</v>
      </c>
      <c r="O18" s="426">
        <f t="shared" ref="O18" si="11">IFERROR($E18/N18,"")</f>
        <v>0.4109518672625469</v>
      </c>
    </row>
    <row r="19" spans="1:15">
      <c r="A19" s="874"/>
      <c r="B19" s="47" t="s">
        <v>643</v>
      </c>
      <c r="C19" s="105"/>
      <c r="D19" s="164"/>
      <c r="E19" s="115"/>
      <c r="F19" s="108"/>
      <c r="G19" s="481">
        <f>SUM(G16:G18)</f>
        <v>3.1962923009309203</v>
      </c>
      <c r="H19" s="75"/>
      <c r="I19" s="481" t="s">
        <v>0</v>
      </c>
      <c r="J19" s="75"/>
      <c r="K19" s="485">
        <f>SUM(K16:K18)</f>
        <v>3.7118233172101011E-5</v>
      </c>
      <c r="L19" s="75"/>
      <c r="M19" s="481" t="s">
        <v>0</v>
      </c>
      <c r="N19" s="102"/>
      <c r="O19" s="475">
        <f>SUM(O16:O18)</f>
        <v>0.4212256639441106</v>
      </c>
    </row>
    <row r="20" spans="1:15" ht="15.75" thickBot="1">
      <c r="A20" s="875"/>
      <c r="B20" s="48" t="s">
        <v>646</v>
      </c>
      <c r="C20" s="116"/>
      <c r="D20" s="163"/>
      <c r="E20" s="159"/>
      <c r="F20" s="109"/>
      <c r="G20" s="123"/>
      <c r="H20" s="61"/>
      <c r="I20" s="483" t="s">
        <v>0</v>
      </c>
      <c r="J20" s="61"/>
      <c r="K20" s="486">
        <f>SUM(K16:K17)/3</f>
        <v>1.2372744390700337E-5</v>
      </c>
      <c r="L20" s="61"/>
      <c r="M20" s="483" t="s">
        <v>0</v>
      </c>
      <c r="N20" s="20"/>
      <c r="O20" s="470">
        <f>SUM(O16:O17)/3+O18/5</f>
        <v>8.5614972346363935E-2</v>
      </c>
    </row>
    <row r="21" spans="1:15" ht="15.75" customHeight="1">
      <c r="A21" s="873" t="s">
        <v>685</v>
      </c>
      <c r="B21" s="6" t="s">
        <v>633</v>
      </c>
      <c r="C21" s="72"/>
      <c r="D21" s="72"/>
      <c r="E21"/>
      <c r="F21" s="65"/>
      <c r="G21" s="482">
        <f>SUM(G11:G18)</f>
        <v>12.053386492721076</v>
      </c>
      <c r="H21" s="65"/>
      <c r="I21" s="484">
        <f>SUM(I14,I19)</f>
        <v>0.40273282991729592</v>
      </c>
      <c r="J21" s="111"/>
      <c r="K21" s="484">
        <f>SUM(K14,K19)</f>
        <v>1.122414128643032E-2</v>
      </c>
      <c r="L21" s="111"/>
      <c r="M21" s="484">
        <f>SUM(M14,M19)</f>
        <v>0.22602352699440079</v>
      </c>
      <c r="N21" s="111"/>
      <c r="O21" s="484">
        <f>SUM(O14,O19)</f>
        <v>0.64724919093851141</v>
      </c>
    </row>
    <row r="22" spans="1:15" ht="15.75" thickBot="1">
      <c r="A22" s="875"/>
      <c r="B22" s="18" t="s">
        <v>634</v>
      </c>
      <c r="C22" s="91"/>
      <c r="D22" s="91"/>
      <c r="E22" s="91"/>
      <c r="F22" s="114"/>
      <c r="G22" s="158"/>
      <c r="H22" s="126"/>
      <c r="I22" s="472">
        <f>SUM(I15,I20)</f>
        <v>0.13424427663909863</v>
      </c>
      <c r="J22" s="125"/>
      <c r="K22" s="472">
        <f>SUM(K15,K20)</f>
        <v>3.7413804288101067E-3</v>
      </c>
      <c r="L22" s="125"/>
      <c r="M22" s="472">
        <f>SUM(M15,M20)</f>
        <v>7.5341175664800267E-2</v>
      </c>
      <c r="N22" s="125"/>
      <c r="O22" s="472">
        <f>SUM(O15,O20)</f>
        <v>0.1609561480111642</v>
      </c>
    </row>
    <row r="24" spans="1:15">
      <c r="A24" s="63" t="s">
        <v>13</v>
      </c>
    </row>
    <row r="25" spans="1:15" s="37" customFormat="1" ht="14.25">
      <c r="A25" s="13" t="s">
        <v>722</v>
      </c>
      <c r="D25" s="193"/>
      <c r="E25" s="193"/>
    </row>
    <row r="26" spans="1:15">
      <c r="A26" s="11" t="s">
        <v>766</v>
      </c>
    </row>
    <row r="27" spans="1:15" ht="16.5">
      <c r="A27" s="11" t="s">
        <v>784</v>
      </c>
    </row>
    <row r="29" spans="1:15">
      <c r="A29" s="11" t="s">
        <v>74</v>
      </c>
    </row>
    <row r="30" spans="1:15">
      <c r="A30" s="11" t="s">
        <v>75</v>
      </c>
    </row>
    <row r="31" spans="1:15">
      <c r="A31" s="11" t="s">
        <v>632</v>
      </c>
    </row>
    <row r="32" spans="1:15">
      <c r="A32" s="11" t="s">
        <v>640</v>
      </c>
    </row>
    <row r="33" spans="1:1">
      <c r="A33" s="37" t="s">
        <v>656</v>
      </c>
    </row>
    <row r="35" spans="1:1">
      <c r="A35" s="14" t="s">
        <v>697</v>
      </c>
    </row>
    <row r="36" spans="1:1">
      <c r="A36" s="37" t="s">
        <v>696</v>
      </c>
    </row>
  </sheetData>
  <mergeCells count="20">
    <mergeCell ref="C6:C10"/>
    <mergeCell ref="D6:E9"/>
    <mergeCell ref="A11:A15"/>
    <mergeCell ref="A16:A20"/>
    <mergeCell ref="A21:A22"/>
    <mergeCell ref="A6:A10"/>
    <mergeCell ref="B3:O3"/>
    <mergeCell ref="O8:O9"/>
    <mergeCell ref="G8:G9"/>
    <mergeCell ref="I8:I9"/>
    <mergeCell ref="K8:K9"/>
    <mergeCell ref="M8:M9"/>
    <mergeCell ref="N7:O7"/>
    <mergeCell ref="H7:I7"/>
    <mergeCell ref="J7:K7"/>
    <mergeCell ref="L7:M7"/>
    <mergeCell ref="B4:O4"/>
    <mergeCell ref="F6:G7"/>
    <mergeCell ref="H6:O6"/>
    <mergeCell ref="B6:B10"/>
  </mergeCells>
  <pageMargins left="0.7" right="0.7" top="0.75" bottom="0.75" header="0.3" footer="0.3"/>
  <pageSetup scale="69" orientation="landscape" r:id="rId1"/>
  <headerFooter>
    <oddHeader>&amp;C&amp;G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59999389629810485"/>
    <pageSetUpPr fitToPage="1"/>
  </sheetPr>
  <dimension ref="A4:N36"/>
  <sheetViews>
    <sheetView view="pageBreakPreview" zoomScaleNormal="100" zoomScaleSheetLayoutView="100" workbookViewId="0">
      <selection activeCell="A6" sqref="A6"/>
    </sheetView>
  </sheetViews>
  <sheetFormatPr defaultColWidth="9.140625" defaultRowHeight="15"/>
  <cols>
    <col min="1" max="1" width="11.42578125" style="10" customWidth="1"/>
    <col min="2" max="2" width="13.85546875" style="10" customWidth="1"/>
    <col min="3" max="3" width="18.5703125" style="10" customWidth="1"/>
    <col min="4" max="6" width="9.42578125" style="10" bestFit="1" customWidth="1"/>
    <col min="7" max="7" width="13.140625" style="10" bestFit="1" customWidth="1"/>
    <col min="8" max="8" width="9.42578125" style="10" bestFit="1" customWidth="1"/>
    <col min="9" max="9" width="13.140625" style="10" bestFit="1" customWidth="1"/>
    <col min="10" max="10" width="9.42578125" style="10" bestFit="1" customWidth="1"/>
    <col min="11" max="11" width="13.140625" style="10" bestFit="1" customWidth="1"/>
    <col min="12" max="12" width="9.42578125" style="10" bestFit="1" customWidth="1"/>
    <col min="13" max="13" width="13.140625" style="10" bestFit="1" customWidth="1"/>
    <col min="14" max="16384" width="9.140625" style="10"/>
  </cols>
  <sheetData>
    <row r="4" spans="1:14" ht="20.25">
      <c r="B4" s="908" t="s">
        <v>659</v>
      </c>
      <c r="C4" s="908"/>
      <c r="D4" s="908"/>
      <c r="E4" s="908"/>
      <c r="F4" s="908"/>
      <c r="G4" s="908"/>
      <c r="H4" s="908"/>
      <c r="I4" s="908"/>
      <c r="J4" s="908"/>
      <c r="K4" s="908"/>
      <c r="L4" s="908"/>
      <c r="M4" s="908"/>
    </row>
    <row r="5" spans="1:14" ht="20.25">
      <c r="B5" s="908" t="s">
        <v>621</v>
      </c>
      <c r="C5" s="908"/>
      <c r="D5" s="908"/>
      <c r="E5" s="908"/>
      <c r="F5" s="908"/>
      <c r="G5" s="908"/>
      <c r="H5" s="908"/>
      <c r="I5" s="908"/>
      <c r="J5" s="908"/>
      <c r="K5" s="908"/>
      <c r="L5" s="908"/>
      <c r="M5" s="908"/>
    </row>
    <row r="6" spans="1:14" ht="15.75" thickBot="1"/>
    <row r="7" spans="1:14" ht="15.75" thickBot="1">
      <c r="A7" s="681" t="s">
        <v>678</v>
      </c>
      <c r="B7" s="836" t="s">
        <v>791</v>
      </c>
      <c r="C7" s="876" t="s">
        <v>3</v>
      </c>
      <c r="D7" s="836" t="s">
        <v>792</v>
      </c>
      <c r="E7" s="837"/>
      <c r="F7" s="841" t="s">
        <v>61</v>
      </c>
      <c r="G7" s="843"/>
      <c r="H7" s="841" t="s">
        <v>55</v>
      </c>
      <c r="I7" s="843"/>
      <c r="J7" s="841" t="s">
        <v>56</v>
      </c>
      <c r="K7" s="843"/>
      <c r="L7" s="841" t="s">
        <v>57</v>
      </c>
      <c r="M7" s="843"/>
    </row>
    <row r="8" spans="1:14" ht="15" customHeight="1">
      <c r="A8" s="682"/>
      <c r="B8" s="832"/>
      <c r="C8" s="880"/>
      <c r="D8" s="832"/>
      <c r="E8" s="834"/>
      <c r="F8" s="832" t="s">
        <v>19</v>
      </c>
      <c r="G8" s="834" t="s">
        <v>793</v>
      </c>
      <c r="H8" s="832" t="s">
        <v>19</v>
      </c>
      <c r="I8" s="834" t="s">
        <v>793</v>
      </c>
      <c r="J8" s="832" t="s">
        <v>19</v>
      </c>
      <c r="K8" s="834" t="s">
        <v>793</v>
      </c>
      <c r="L8" s="832" t="s">
        <v>19</v>
      </c>
      <c r="M8" s="834" t="s">
        <v>793</v>
      </c>
    </row>
    <row r="9" spans="1:14">
      <c r="A9" s="682"/>
      <c r="B9" s="832"/>
      <c r="C9" s="880"/>
      <c r="D9" s="832"/>
      <c r="E9" s="834"/>
      <c r="F9" s="832"/>
      <c r="G9" s="834"/>
      <c r="H9" s="832"/>
      <c r="I9" s="834"/>
      <c r="J9" s="832"/>
      <c r="K9" s="834"/>
      <c r="L9" s="832"/>
      <c r="M9" s="834"/>
    </row>
    <row r="10" spans="1:14" ht="33" thickBot="1">
      <c r="A10" s="683"/>
      <c r="B10" s="833"/>
      <c r="C10" s="877"/>
      <c r="D10" s="113" t="s">
        <v>785</v>
      </c>
      <c r="E10" s="581" t="s">
        <v>786</v>
      </c>
      <c r="F10" s="113" t="s">
        <v>71</v>
      </c>
      <c r="G10" s="580" t="s">
        <v>787</v>
      </c>
      <c r="H10" s="113" t="s">
        <v>788</v>
      </c>
      <c r="I10" s="580" t="s">
        <v>787</v>
      </c>
      <c r="J10" s="113" t="s">
        <v>788</v>
      </c>
      <c r="K10" s="580" t="s">
        <v>787</v>
      </c>
      <c r="L10" s="113" t="s">
        <v>788</v>
      </c>
      <c r="M10" s="580" t="s">
        <v>787</v>
      </c>
    </row>
    <row r="11" spans="1:14">
      <c r="A11" s="873" t="s">
        <v>667</v>
      </c>
      <c r="B11" s="35" t="s">
        <v>153</v>
      </c>
      <c r="C11" s="70" t="s">
        <v>6</v>
      </c>
      <c r="D11" s="22">
        <v>0.38</v>
      </c>
      <c r="E11" s="458">
        <f>D11/190.479</f>
        <v>1.9949705741840306E-3</v>
      </c>
      <c r="F11" s="111"/>
      <c r="G11" s="60"/>
      <c r="H11" s="111"/>
      <c r="I11" s="60"/>
      <c r="J11" s="111"/>
      <c r="K11" s="60"/>
      <c r="L11" s="424">
        <f>VLOOKUP($B11,RBC!$B$5:$J$269,9,FALSE)</f>
        <v>0.03</v>
      </c>
      <c r="M11" s="463">
        <f>E11/L11</f>
        <v>6.6499019139467694E-2</v>
      </c>
      <c r="N11"/>
    </row>
    <row r="12" spans="1:14">
      <c r="A12" s="874"/>
      <c r="B12" s="35" t="s">
        <v>346</v>
      </c>
      <c r="C12" s="70" t="s">
        <v>7</v>
      </c>
      <c r="D12" s="22">
        <v>0.25</v>
      </c>
      <c r="E12" s="458">
        <f t="shared" ref="E12:E13" si="0">D12/190.479</f>
        <v>1.3124806409105464E-3</v>
      </c>
      <c r="F12" s="111"/>
      <c r="G12" s="60"/>
      <c r="H12" s="424">
        <f>VLOOKUP($B12,RBC!$B$5:$J$269,9,FALSE)</f>
        <v>0.3</v>
      </c>
      <c r="I12" s="462">
        <f>E12/H12</f>
        <v>4.3749354697018216E-3</v>
      </c>
      <c r="J12" s="111"/>
      <c r="K12" s="60"/>
      <c r="L12" s="111"/>
      <c r="M12" s="60"/>
    </row>
    <row r="13" spans="1:14" ht="15.75" thickBot="1">
      <c r="A13" s="874"/>
      <c r="B13" s="35" t="s">
        <v>370</v>
      </c>
      <c r="C13" s="70" t="s">
        <v>8</v>
      </c>
      <c r="D13" s="22">
        <v>0.6</v>
      </c>
      <c r="E13" s="458">
        <f t="shared" si="0"/>
        <v>3.1499535381853115E-3</v>
      </c>
      <c r="F13" s="111"/>
      <c r="G13" s="60"/>
      <c r="H13" s="111"/>
      <c r="I13" s="60"/>
      <c r="J13" s="424">
        <f>VLOOKUP($B13,RBC!$B$5:$J$269,9,FALSE)</f>
        <v>0.2</v>
      </c>
      <c r="K13" s="463">
        <f>E13/J13</f>
        <v>1.5749767690926557E-2</v>
      </c>
      <c r="L13" s="111"/>
      <c r="M13" s="60"/>
    </row>
    <row r="14" spans="1:14">
      <c r="A14" s="874"/>
      <c r="B14" s="865" t="s">
        <v>685</v>
      </c>
      <c r="C14" s="867" t="s">
        <v>638</v>
      </c>
      <c r="D14" s="868"/>
      <c r="E14" s="868"/>
      <c r="F14" s="868"/>
      <c r="G14" s="503" t="s">
        <v>0</v>
      </c>
      <c r="H14" s="108"/>
      <c r="I14" s="460">
        <f>SUM(I11:I13)</f>
        <v>4.3749354697018216E-3</v>
      </c>
      <c r="J14" s="444"/>
      <c r="K14" s="475">
        <f>SUM(K11:K13)</f>
        <v>1.5749767690926557E-2</v>
      </c>
      <c r="L14" s="108"/>
      <c r="M14" s="475">
        <f>SUM(M11:M13)</f>
        <v>6.6499019139467694E-2</v>
      </c>
    </row>
    <row r="15" spans="1:14" ht="15.75" thickBot="1">
      <c r="A15" s="874"/>
      <c r="B15" s="866"/>
      <c r="C15" s="870" t="s">
        <v>634</v>
      </c>
      <c r="D15" s="871"/>
      <c r="E15" s="871"/>
      <c r="F15" s="871"/>
      <c r="G15" s="504" t="s">
        <v>0</v>
      </c>
      <c r="H15" s="109"/>
      <c r="I15" s="505">
        <f>SUM(I11:I13)/3</f>
        <v>1.4583118232339405E-3</v>
      </c>
      <c r="J15" s="437"/>
      <c r="K15" s="505">
        <f>SUM(K11:K13)/3</f>
        <v>5.2499225636421856E-3</v>
      </c>
      <c r="L15" s="109"/>
      <c r="M15" s="470">
        <f>SUM(M11:M13)/3</f>
        <v>2.2166339713155899E-2</v>
      </c>
    </row>
    <row r="16" spans="1:14">
      <c r="A16" s="873" t="s">
        <v>668</v>
      </c>
      <c r="B16" s="35" t="s">
        <v>93</v>
      </c>
      <c r="C16" s="70" t="s">
        <v>9</v>
      </c>
      <c r="D16" s="22">
        <v>300</v>
      </c>
      <c r="E16" s="466">
        <f>D16/190.479</f>
        <v>1.5749767690926557</v>
      </c>
      <c r="F16" s="424">
        <f>VLOOKUP($B16,RBC!$B$5:$J$269,9,FALSE)</f>
        <v>470</v>
      </c>
      <c r="G16" s="462">
        <f>E16/F16</f>
        <v>3.3510144023247996E-3</v>
      </c>
      <c r="H16" s="111"/>
      <c r="I16" s="60"/>
      <c r="J16" s="111"/>
      <c r="K16" s="60"/>
      <c r="L16" s="424">
        <f>VLOOKUP($B16,RBC!$B$5:$J$269,9,FALSE)</f>
        <v>470</v>
      </c>
      <c r="M16" s="462">
        <f>E16/L16</f>
        <v>3.3510144023247996E-3</v>
      </c>
    </row>
    <row r="17" spans="1:13">
      <c r="A17" s="874"/>
      <c r="B17" s="35" t="s">
        <v>96</v>
      </c>
      <c r="C17" s="70" t="s">
        <v>10</v>
      </c>
      <c r="D17" s="22">
        <v>250</v>
      </c>
      <c r="E17" s="466">
        <f t="shared" ref="E17:E18" si="1">D17/190.479</f>
        <v>1.3124806409105465</v>
      </c>
      <c r="F17" s="111"/>
      <c r="G17" s="60"/>
      <c r="H17" s="429">
        <f>VLOOKUP($B17,RBC!$B$5:$J$269,9,FALSE)</f>
        <v>62000</v>
      </c>
      <c r="I17" s="464">
        <f>E17/H17</f>
        <v>2.1169042595331396E-5</v>
      </c>
      <c r="J17" s="111"/>
      <c r="K17" s="60"/>
      <c r="L17" s="111"/>
      <c r="M17" s="60"/>
    </row>
    <row r="18" spans="1:13" ht="15.75" thickBot="1">
      <c r="A18" s="874"/>
      <c r="B18" s="35" t="s">
        <v>99</v>
      </c>
      <c r="C18" s="70" t="s">
        <v>11</v>
      </c>
      <c r="D18" s="22">
        <v>50</v>
      </c>
      <c r="E18" s="466">
        <f t="shared" si="1"/>
        <v>0.26249612818210932</v>
      </c>
      <c r="F18" s="111"/>
      <c r="G18" s="60"/>
      <c r="H18" s="111"/>
      <c r="I18" s="60"/>
      <c r="J18" s="111"/>
      <c r="K18" s="60"/>
      <c r="L18" s="424">
        <f>VLOOKUP($B18,RBC!$B$5:$J$269,9,FALSE)</f>
        <v>6.9</v>
      </c>
      <c r="M18" s="463">
        <f>E18/L18</f>
        <v>3.8042917127841927E-2</v>
      </c>
    </row>
    <row r="19" spans="1:13">
      <c r="A19" s="874"/>
      <c r="B19" s="865" t="s">
        <v>685</v>
      </c>
      <c r="C19" s="867" t="s">
        <v>638</v>
      </c>
      <c r="D19" s="868"/>
      <c r="E19" s="868"/>
      <c r="F19" s="868"/>
      <c r="G19" s="460">
        <f>SUM(G16:G18)</f>
        <v>3.3510144023247996E-3</v>
      </c>
      <c r="H19" s="75"/>
      <c r="I19" s="485">
        <f>SUM(I16:I18)</f>
        <v>2.1169042595331396E-5</v>
      </c>
      <c r="J19" s="108"/>
      <c r="K19" s="503" t="s">
        <v>0</v>
      </c>
      <c r="L19" s="118"/>
      <c r="M19" s="475">
        <f>SUM(M16:M18)</f>
        <v>4.1393931530166725E-2</v>
      </c>
    </row>
    <row r="20" spans="1:13" ht="15.75" thickBot="1">
      <c r="A20" s="874"/>
      <c r="B20" s="866"/>
      <c r="C20" s="870" t="s">
        <v>634</v>
      </c>
      <c r="D20" s="871"/>
      <c r="E20" s="871"/>
      <c r="F20" s="871"/>
      <c r="G20" s="505">
        <f>SUM(G16:G18)/3</f>
        <v>1.1170048007749331E-3</v>
      </c>
      <c r="H20" s="61"/>
      <c r="I20" s="486">
        <f>SUM(I16:I17)/3+SUM(I18)/5</f>
        <v>7.0563475317771318E-6</v>
      </c>
      <c r="J20" s="109"/>
      <c r="K20" s="504" t="s">
        <v>0</v>
      </c>
      <c r="L20" s="150"/>
      <c r="M20" s="505">
        <f>SUM(M16:M17)/3+SUM(M18)/5</f>
        <v>8.7255882263433185E-3</v>
      </c>
    </row>
    <row r="21" spans="1:13">
      <c r="A21" s="873" t="s">
        <v>685</v>
      </c>
      <c r="B21" s="906" t="s">
        <v>638</v>
      </c>
      <c r="C21" s="907"/>
      <c r="D21" s="907"/>
      <c r="E21" s="907"/>
      <c r="F21" s="907"/>
      <c r="G21" s="462">
        <f>SUM(G14,G19)</f>
        <v>3.3510144023247996E-3</v>
      </c>
      <c r="H21" s="74"/>
      <c r="I21" s="462">
        <f>SUM(I14,I19)</f>
        <v>4.3961045122971531E-3</v>
      </c>
      <c r="J21" s="146"/>
      <c r="K21" s="463">
        <f>SUM(K14,K19)</f>
        <v>1.5749767690926557E-2</v>
      </c>
      <c r="L21" s="144"/>
      <c r="M21" s="426">
        <f>SUM(M14,M19)</f>
        <v>0.10789295066963442</v>
      </c>
    </row>
    <row r="22" spans="1:13" ht="15.75" thickBot="1">
      <c r="A22" s="875"/>
      <c r="B22" s="767" t="s">
        <v>634</v>
      </c>
      <c r="C22" s="768"/>
      <c r="D22" s="768"/>
      <c r="E22" s="768"/>
      <c r="F22" s="768"/>
      <c r="G22" s="505">
        <f>SUM(G15,G20)</f>
        <v>1.1170048007749331E-3</v>
      </c>
      <c r="H22" s="100"/>
      <c r="I22" s="505">
        <f>SUM(I15,I20)</f>
        <v>1.4653681707657176E-3</v>
      </c>
      <c r="J22" s="99"/>
      <c r="K22" s="505">
        <f>SUM(K15,K20)</f>
        <v>5.2499225636421856E-3</v>
      </c>
      <c r="L22" s="145"/>
      <c r="M22" s="470">
        <f>SUM(M15,M20)</f>
        <v>3.0891927939499218E-2</v>
      </c>
    </row>
    <row r="24" spans="1:13">
      <c r="A24" s="63" t="s">
        <v>13</v>
      </c>
    </row>
    <row r="25" spans="1:13" s="37" customFormat="1" ht="14.25">
      <c r="A25" s="13" t="s">
        <v>722</v>
      </c>
      <c r="D25" s="193"/>
      <c r="E25" s="193"/>
    </row>
    <row r="26" spans="1:13">
      <c r="A26" s="11" t="s">
        <v>790</v>
      </c>
    </row>
    <row r="27" spans="1:13" ht="16.5">
      <c r="A27" s="11" t="s">
        <v>794</v>
      </c>
    </row>
    <row r="29" spans="1:13">
      <c r="A29" s="11" t="s">
        <v>74</v>
      </c>
    </row>
    <row r="30" spans="1:13">
      <c r="A30" s="11" t="s">
        <v>75</v>
      </c>
    </row>
    <row r="31" spans="1:13">
      <c r="A31" s="11" t="s">
        <v>632</v>
      </c>
    </row>
    <row r="32" spans="1:13">
      <c r="A32" s="11" t="s">
        <v>640</v>
      </c>
    </row>
    <row r="33" spans="1:1">
      <c r="A33" s="37" t="s">
        <v>656</v>
      </c>
    </row>
    <row r="35" spans="1:1">
      <c r="A35" s="14" t="s">
        <v>697</v>
      </c>
    </row>
    <row r="36" spans="1:1">
      <c r="A36" s="37" t="s">
        <v>696</v>
      </c>
    </row>
  </sheetData>
  <mergeCells count="29">
    <mergeCell ref="B4:M4"/>
    <mergeCell ref="B5:M5"/>
    <mergeCell ref="J7:K7"/>
    <mergeCell ref="L7:M7"/>
    <mergeCell ref="G8:G9"/>
    <mergeCell ref="I8:I9"/>
    <mergeCell ref="K8:K9"/>
    <mergeCell ref="M8:M9"/>
    <mergeCell ref="F7:G7"/>
    <mergeCell ref="H7:I7"/>
    <mergeCell ref="H8:H9"/>
    <mergeCell ref="J8:J9"/>
    <mergeCell ref="L8:L9"/>
    <mergeCell ref="A7:A10"/>
    <mergeCell ref="A11:A15"/>
    <mergeCell ref="A16:A20"/>
    <mergeCell ref="A21:A22"/>
    <mergeCell ref="B14:B15"/>
    <mergeCell ref="B19:B20"/>
    <mergeCell ref="B7:B10"/>
    <mergeCell ref="C20:F20"/>
    <mergeCell ref="B21:F21"/>
    <mergeCell ref="B22:F22"/>
    <mergeCell ref="F8:F9"/>
    <mergeCell ref="D7:E9"/>
    <mergeCell ref="C19:F19"/>
    <mergeCell ref="C14:F14"/>
    <mergeCell ref="C15:F15"/>
    <mergeCell ref="C7:C10"/>
  </mergeCells>
  <pageMargins left="0.7" right="0.7" top="0.75" bottom="0.75" header="0.3" footer="0.3"/>
  <pageSetup paperSize="3" scale="80" orientation="landscape" r:id="rId1"/>
  <headerFooter>
    <oddHeader>&amp;C&amp;G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59999389629810485"/>
    <pageSetUpPr fitToPage="1"/>
  </sheetPr>
  <dimension ref="A5:X44"/>
  <sheetViews>
    <sheetView view="pageBreakPreview" zoomScaleNormal="100" zoomScaleSheetLayoutView="100" zoomScalePageLayoutView="60" workbookViewId="0">
      <selection activeCell="A38" sqref="A38"/>
    </sheetView>
  </sheetViews>
  <sheetFormatPr defaultColWidth="9.140625" defaultRowHeight="15"/>
  <cols>
    <col min="1" max="1" width="36.140625" style="10" customWidth="1"/>
    <col min="2" max="5" width="16.5703125" style="10" customWidth="1"/>
    <col min="6" max="6" width="19.42578125" style="10" customWidth="1"/>
    <col min="7" max="7" width="13.140625" style="10" customWidth="1"/>
    <col min="8" max="10" width="19.42578125" style="10" customWidth="1"/>
    <col min="11" max="16384" width="9.140625" style="10"/>
  </cols>
  <sheetData>
    <row r="5" spans="1:24" ht="19.5">
      <c r="B5" s="831" t="s">
        <v>660</v>
      </c>
      <c r="C5" s="831"/>
      <c r="D5" s="831"/>
      <c r="E5" s="831"/>
      <c r="F5" s="831"/>
      <c r="G5" s="831"/>
      <c r="H5" s="831"/>
      <c r="I5" s="831"/>
      <c r="J5" s="831"/>
    </row>
    <row r="6" spans="1:24" ht="15.75" thickBot="1"/>
    <row r="7" spans="1:24" ht="15.75" thickBot="1">
      <c r="A7" s="882" t="s">
        <v>837</v>
      </c>
      <c r="B7" s="841" t="s">
        <v>607</v>
      </c>
      <c r="C7" s="842"/>
      <c r="D7" s="842"/>
      <c r="E7" s="842"/>
      <c r="F7" s="843"/>
      <c r="G7" s="841" t="s">
        <v>608</v>
      </c>
      <c r="H7" s="842"/>
      <c r="I7" s="842"/>
      <c r="J7" s="843"/>
    </row>
    <row r="8" spans="1:24" s="139" customFormat="1" ht="20.100000000000001" customHeight="1">
      <c r="A8" s="883"/>
      <c r="B8" s="832" t="s">
        <v>49</v>
      </c>
      <c r="C8" s="880" t="s">
        <v>609</v>
      </c>
      <c r="D8" s="880" t="s">
        <v>610</v>
      </c>
      <c r="E8" s="880" t="s">
        <v>611</v>
      </c>
      <c r="F8" s="834" t="s">
        <v>612</v>
      </c>
      <c r="G8" s="880" t="s">
        <v>647</v>
      </c>
      <c r="H8" s="880" t="s">
        <v>610</v>
      </c>
      <c r="I8" s="880" t="s">
        <v>611</v>
      </c>
      <c r="J8" s="834" t="s">
        <v>612</v>
      </c>
    </row>
    <row r="9" spans="1:24" s="139" customFormat="1" ht="26.25" customHeight="1" thickBot="1">
      <c r="A9" s="883"/>
      <c r="B9" s="832"/>
      <c r="C9" s="880"/>
      <c r="D9" s="880"/>
      <c r="E9" s="880"/>
      <c r="F9" s="834"/>
      <c r="G9" s="880"/>
      <c r="H9" s="880"/>
      <c r="I9" s="880"/>
      <c r="J9" s="834"/>
    </row>
    <row r="10" spans="1:24" ht="15.75" thickBot="1">
      <c r="A10" s="909"/>
      <c r="B10" s="135" t="s">
        <v>40</v>
      </c>
      <c r="C10" s="136" t="s">
        <v>613</v>
      </c>
      <c r="D10" s="136" t="s">
        <v>614</v>
      </c>
      <c r="E10" s="136" t="s">
        <v>615</v>
      </c>
      <c r="F10" s="137" t="s">
        <v>616</v>
      </c>
      <c r="G10" s="136" t="s">
        <v>617</v>
      </c>
      <c r="H10" s="136" t="s">
        <v>618</v>
      </c>
      <c r="I10" s="136" t="s">
        <v>619</v>
      </c>
      <c r="J10" s="137" t="s">
        <v>620</v>
      </c>
    </row>
    <row r="11" spans="1:24" ht="30">
      <c r="A11" s="135" t="s">
        <v>813</v>
      </c>
      <c r="B11" s="524">
        <v>5</v>
      </c>
      <c r="C11" s="525">
        <v>0.4</v>
      </c>
      <c r="D11" s="526">
        <v>0.01</v>
      </c>
      <c r="E11" s="525">
        <v>0.2</v>
      </c>
      <c r="F11" s="525">
        <v>0.3</v>
      </c>
      <c r="G11" s="527">
        <v>8.0000000000000002E-3</v>
      </c>
      <c r="H11" s="526">
        <v>0.05</v>
      </c>
      <c r="I11" s="525">
        <v>0.2</v>
      </c>
      <c r="J11" s="528">
        <v>0.8</v>
      </c>
    </row>
    <row r="12" spans="1:24" ht="33" thickBot="1">
      <c r="A12" s="113" t="s">
        <v>814</v>
      </c>
      <c r="B12" s="109" t="s">
        <v>0</v>
      </c>
      <c r="C12" s="61" t="s">
        <v>0</v>
      </c>
      <c r="D12" s="61" t="s">
        <v>0</v>
      </c>
      <c r="E12" s="61" t="s">
        <v>0</v>
      </c>
      <c r="F12" s="61" t="s">
        <v>0</v>
      </c>
      <c r="G12" s="109" t="s">
        <v>0</v>
      </c>
      <c r="H12" s="61" t="s">
        <v>0</v>
      </c>
      <c r="I12" s="61" t="s">
        <v>0</v>
      </c>
      <c r="J12" s="529" t="s">
        <v>0</v>
      </c>
    </row>
    <row r="13" spans="1:24" ht="15.75" thickBot="1">
      <c r="C13" s="750"/>
      <c r="D13" s="750"/>
      <c r="E13" s="750"/>
      <c r="F13" s="750"/>
      <c r="G13" s="750"/>
      <c r="H13" s="360"/>
      <c r="I13" s="360"/>
      <c r="J13" s="360"/>
      <c r="K13" s="360"/>
      <c r="L13" s="360"/>
      <c r="M13" s="360"/>
      <c r="N13" s="360"/>
      <c r="O13" s="360"/>
      <c r="P13" s="360"/>
      <c r="Q13" s="360"/>
      <c r="R13" s="360"/>
      <c r="S13" s="360"/>
      <c r="T13" s="360"/>
      <c r="U13" s="360"/>
      <c r="V13" s="360"/>
      <c r="W13" s="360"/>
      <c r="X13" s="360"/>
    </row>
    <row r="14" spans="1:24" ht="17.25">
      <c r="B14" s="847" t="s">
        <v>665</v>
      </c>
      <c r="C14" s="848"/>
      <c r="D14" s="719" t="s">
        <v>664</v>
      </c>
      <c r="E14" s="716" t="s">
        <v>750</v>
      </c>
      <c r="F14" s="717"/>
      <c r="G14" s="718"/>
      <c r="I14" s="12"/>
      <c r="J14" s="12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18" thickBot="1">
      <c r="B15" s="849"/>
      <c r="C15" s="850"/>
      <c r="D15" s="720"/>
      <c r="E15" s="209" t="s">
        <v>679</v>
      </c>
      <c r="F15" s="233" t="s">
        <v>680</v>
      </c>
      <c r="G15" s="232" t="s">
        <v>751</v>
      </c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</row>
    <row r="16" spans="1:24">
      <c r="B16" s="703" t="s">
        <v>84</v>
      </c>
      <c r="C16" s="851"/>
      <c r="D16" s="254">
        <v>0.5</v>
      </c>
      <c r="E16" s="703">
        <v>0.5</v>
      </c>
      <c r="F16" s="704"/>
      <c r="G16" s="4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</row>
    <row r="17" spans="1:24">
      <c r="B17" s="705" t="s">
        <v>77</v>
      </c>
      <c r="C17" s="844"/>
      <c r="D17" s="196">
        <v>25</v>
      </c>
      <c r="E17" s="705">
        <v>1</v>
      </c>
      <c r="F17" s="706"/>
      <c r="G17" s="404"/>
      <c r="I17" s="203"/>
      <c r="J17" s="204"/>
      <c r="K17" s="203"/>
      <c r="L17" s="203"/>
      <c r="M17" s="203"/>
      <c r="N17" s="203"/>
      <c r="O17" s="204"/>
      <c r="P17" s="203"/>
      <c r="Q17" s="203"/>
      <c r="R17" s="203"/>
      <c r="S17" s="203"/>
      <c r="T17" s="204"/>
      <c r="U17" s="204"/>
      <c r="V17" s="203"/>
      <c r="W17" s="203"/>
      <c r="X17" s="204"/>
    </row>
    <row r="18" spans="1:24">
      <c r="B18" s="705" t="s">
        <v>78</v>
      </c>
      <c r="C18" s="844"/>
      <c r="D18" s="196">
        <v>50</v>
      </c>
      <c r="E18" s="252" t="s">
        <v>681</v>
      </c>
      <c r="F18" s="234">
        <v>5</v>
      </c>
      <c r="G18" s="235">
        <v>1</v>
      </c>
      <c r="I18" s="203"/>
      <c r="J18" s="204"/>
      <c r="K18" s="203"/>
      <c r="L18" s="203"/>
      <c r="M18" s="203"/>
      <c r="N18" s="203"/>
      <c r="O18" s="204"/>
      <c r="P18" s="203"/>
      <c r="Q18" s="203"/>
      <c r="R18" s="203"/>
      <c r="S18" s="203"/>
      <c r="T18" s="204"/>
      <c r="U18" s="204"/>
      <c r="V18" s="203"/>
      <c r="W18" s="203"/>
      <c r="X18" s="204"/>
    </row>
    <row r="19" spans="1:24">
      <c r="B19" s="705" t="s">
        <v>79</v>
      </c>
      <c r="C19" s="844"/>
      <c r="D19" s="196">
        <v>200</v>
      </c>
      <c r="E19" s="252" t="s">
        <v>682</v>
      </c>
      <c r="F19" s="234">
        <v>10</v>
      </c>
      <c r="G19" s="235">
        <v>2</v>
      </c>
      <c r="I19" s="203"/>
      <c r="J19" s="204"/>
      <c r="K19" s="203"/>
      <c r="L19" s="203"/>
      <c r="M19" s="203"/>
      <c r="N19" s="203"/>
      <c r="O19" s="204"/>
      <c r="P19" s="203"/>
      <c r="Q19" s="203"/>
      <c r="R19" s="203"/>
      <c r="S19" s="203"/>
      <c r="T19" s="204"/>
      <c r="U19" s="204"/>
      <c r="V19" s="203"/>
      <c r="W19" s="203"/>
      <c r="X19" s="204"/>
    </row>
    <row r="20" spans="1:24" ht="15.75" thickBot="1">
      <c r="B20" s="845" t="s">
        <v>80</v>
      </c>
      <c r="C20" s="846"/>
      <c r="D20" s="255">
        <v>500</v>
      </c>
      <c r="E20" s="253" t="s">
        <v>683</v>
      </c>
      <c r="F20" s="236">
        <v>20</v>
      </c>
      <c r="G20" s="237">
        <v>4</v>
      </c>
    </row>
    <row r="21" spans="1:24">
      <c r="A21" s="143" t="s">
        <v>13</v>
      </c>
    </row>
    <row r="22" spans="1:24">
      <c r="A22" s="37" t="s">
        <v>795</v>
      </c>
    </row>
    <row r="23" spans="1:24">
      <c r="A23" s="13" t="s">
        <v>796</v>
      </c>
    </row>
    <row r="24" spans="1:24">
      <c r="A24" s="13" t="s">
        <v>797</v>
      </c>
    </row>
    <row r="25" spans="1:24">
      <c r="A25" s="13" t="s">
        <v>798</v>
      </c>
    </row>
    <row r="26" spans="1:24">
      <c r="A26" s="13" t="s">
        <v>799</v>
      </c>
    </row>
    <row r="27" spans="1:24">
      <c r="A27" s="13" t="s">
        <v>800</v>
      </c>
    </row>
    <row r="28" spans="1:24">
      <c r="A28" s="13" t="s">
        <v>801</v>
      </c>
    </row>
    <row r="29" spans="1:24">
      <c r="A29" s="13" t="s">
        <v>802</v>
      </c>
    </row>
    <row r="30" spans="1:24">
      <c r="A30" s="13" t="s">
        <v>803</v>
      </c>
    </row>
    <row r="31" spans="1:24">
      <c r="A31" s="13" t="s">
        <v>804</v>
      </c>
    </row>
    <row r="32" spans="1:24">
      <c r="A32" s="34" t="s">
        <v>805</v>
      </c>
    </row>
    <row r="33" spans="1:21">
      <c r="A33" s="13" t="s">
        <v>749</v>
      </c>
      <c r="C33" s="15"/>
      <c r="D33" s="15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U33" s="17"/>
    </row>
    <row r="34" spans="1:21" ht="15" customHeight="1">
      <c r="A34" s="13" t="s">
        <v>698</v>
      </c>
      <c r="C34" s="15"/>
      <c r="D34" s="15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U34" s="17"/>
    </row>
    <row r="35" spans="1:21">
      <c r="A35" s="13" t="s">
        <v>699</v>
      </c>
      <c r="C35" s="15"/>
      <c r="D35" s="15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>
      <c r="A36" s="13" t="s">
        <v>700</v>
      </c>
      <c r="C36" s="15"/>
      <c r="D36" s="15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>
      <c r="A37" s="13" t="s">
        <v>859</v>
      </c>
      <c r="C37" s="15"/>
      <c r="D37" s="15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>
      <c r="A38" s="13" t="s">
        <v>868</v>
      </c>
      <c r="C38" s="15"/>
      <c r="D38" s="15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>
      <c r="A39" s="13"/>
    </row>
    <row r="40" spans="1:21">
      <c r="A40" s="13" t="s">
        <v>640</v>
      </c>
    </row>
    <row r="41" spans="1:21">
      <c r="A41" s="79" t="s">
        <v>662</v>
      </c>
      <c r="B41"/>
      <c r="C41"/>
      <c r="D41"/>
      <c r="E41"/>
      <c r="F41"/>
    </row>
    <row r="42" spans="1:21">
      <c r="A42" s="13" t="s">
        <v>632</v>
      </c>
    </row>
    <row r="43" spans="1:21">
      <c r="A43" s="13" t="s">
        <v>641</v>
      </c>
    </row>
    <row r="44" spans="1:21">
      <c r="A44" s="37" t="s">
        <v>656</v>
      </c>
    </row>
  </sheetData>
  <mergeCells count="24">
    <mergeCell ref="B5:J5"/>
    <mergeCell ref="A7:A10"/>
    <mergeCell ref="B17:C17"/>
    <mergeCell ref="E17:F17"/>
    <mergeCell ref="B18:C18"/>
    <mergeCell ref="J8:J9"/>
    <mergeCell ref="B7:F7"/>
    <mergeCell ref="G7:J7"/>
    <mergeCell ref="B8:B9"/>
    <mergeCell ref="C8:C9"/>
    <mergeCell ref="D8:D9"/>
    <mergeCell ref="E8:E9"/>
    <mergeCell ref="F8:F9"/>
    <mergeCell ref="H8:H9"/>
    <mergeCell ref="I8:I9"/>
    <mergeCell ref="G8:G9"/>
    <mergeCell ref="B19:C19"/>
    <mergeCell ref="B20:C20"/>
    <mergeCell ref="C13:G13"/>
    <mergeCell ref="B14:C15"/>
    <mergeCell ref="D14:D15"/>
    <mergeCell ref="E14:G14"/>
    <mergeCell ref="B16:C16"/>
    <mergeCell ref="E16:F16"/>
  </mergeCells>
  <pageMargins left="0.7" right="0.7" top="0.75" bottom="0.75" header="0.3" footer="0.3"/>
  <pageSetup paperSize="3" scale="63" orientation="landscape" r:id="rId1"/>
  <headerFooter>
    <oddHeader>&amp;C&amp;G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59999389629810485"/>
    <pageSetUpPr fitToPage="1"/>
  </sheetPr>
  <dimension ref="A5:X55"/>
  <sheetViews>
    <sheetView view="pageBreakPreview" zoomScaleNormal="100" zoomScaleSheetLayoutView="100" workbookViewId="0">
      <selection activeCell="A50" sqref="A50"/>
    </sheetView>
  </sheetViews>
  <sheetFormatPr defaultColWidth="9.140625" defaultRowHeight="15"/>
  <cols>
    <col min="1" max="1" width="13.42578125" style="10" customWidth="1"/>
    <col min="2" max="2" width="28.42578125" style="10" customWidth="1"/>
    <col min="3" max="3" width="14.85546875" style="10" customWidth="1"/>
    <col min="4" max="4" width="15.5703125" style="10" customWidth="1"/>
    <col min="5" max="5" width="15.42578125" style="10" customWidth="1"/>
    <col min="6" max="6" width="15.5703125" style="10" customWidth="1"/>
    <col min="7" max="7" width="14.85546875" style="10" customWidth="1"/>
    <col min="8" max="8" width="14.42578125" style="10" customWidth="1"/>
    <col min="9" max="9" width="24.140625" style="10" customWidth="1"/>
    <col min="10" max="11" width="9.140625" style="10"/>
    <col min="12" max="12" width="4.140625" style="10" customWidth="1"/>
    <col min="13" max="16384" width="9.140625" style="10"/>
  </cols>
  <sheetData>
    <row r="5" spans="1:13" ht="19.5">
      <c r="B5" s="885" t="s">
        <v>661</v>
      </c>
      <c r="C5" s="885"/>
      <c r="D5" s="885"/>
      <c r="E5" s="885"/>
      <c r="F5" s="885"/>
      <c r="G5" s="885"/>
      <c r="H5" s="885"/>
      <c r="I5" s="885"/>
      <c r="J5" s="885"/>
      <c r="K5" s="885"/>
      <c r="L5" s="885"/>
      <c r="M5" s="17"/>
    </row>
    <row r="6" spans="1:13" ht="15.75" thickBot="1"/>
    <row r="7" spans="1:13" ht="15" customHeight="1">
      <c r="A7" s="155"/>
      <c r="B7" s="155"/>
      <c r="C7" s="836" t="s">
        <v>64</v>
      </c>
      <c r="D7" s="837"/>
      <c r="E7" s="836" t="s">
        <v>65</v>
      </c>
      <c r="F7" s="837"/>
      <c r="G7" s="836" t="s">
        <v>66</v>
      </c>
      <c r="H7" s="837"/>
      <c r="I7" s="137" t="s">
        <v>23</v>
      </c>
    </row>
    <row r="8" spans="1:13" ht="15.75" thickBot="1">
      <c r="A8" s="155"/>
      <c r="B8" s="155"/>
      <c r="C8" s="112" t="s">
        <v>25</v>
      </c>
      <c r="D8" s="147" t="s">
        <v>26</v>
      </c>
      <c r="E8" s="112" t="s">
        <v>25</v>
      </c>
      <c r="F8" s="147" t="s">
        <v>26</v>
      </c>
      <c r="G8" s="112" t="s">
        <v>25</v>
      </c>
      <c r="H8" s="147" t="s">
        <v>26</v>
      </c>
      <c r="I8" s="147" t="s">
        <v>26</v>
      </c>
    </row>
    <row r="9" spans="1:13" ht="15.75" thickBot="1">
      <c r="A9" s="915" t="s">
        <v>809</v>
      </c>
      <c r="B9" s="916"/>
      <c r="C9" s="916"/>
      <c r="D9" s="916"/>
      <c r="E9" s="916"/>
      <c r="F9" s="916"/>
      <c r="G9" s="916"/>
      <c r="H9" s="916"/>
      <c r="I9" s="917"/>
    </row>
    <row r="10" spans="1:13">
      <c r="A10" s="918" t="s">
        <v>667</v>
      </c>
      <c r="B10" s="589" t="s">
        <v>25</v>
      </c>
      <c r="C10" s="521">
        <f>'A-9'!I15</f>
        <v>4.4285448209565015</v>
      </c>
      <c r="D10" s="140"/>
      <c r="E10" s="522">
        <f>'A-9'!M15</f>
        <v>0.17547635717909688</v>
      </c>
      <c r="F10" s="140"/>
      <c r="G10" s="522">
        <f>'A-9'!Q15</f>
        <v>0.36933646735549963</v>
      </c>
      <c r="H10" s="140"/>
      <c r="I10" s="523"/>
    </row>
    <row r="11" spans="1:13">
      <c r="A11" s="919"/>
      <c r="B11" s="57" t="s">
        <v>806</v>
      </c>
      <c r="C11" s="111"/>
      <c r="D11" s="426">
        <f>'A-9'!K15</f>
        <v>0.6399430512269173</v>
      </c>
      <c r="E11" s="111"/>
      <c r="F11" s="426">
        <f>'A-9'!O15</f>
        <v>0.10797795072469731</v>
      </c>
      <c r="G11" s="111"/>
      <c r="H11" s="426">
        <f>'A-9'!S15</f>
        <v>0.10797795072469731</v>
      </c>
      <c r="I11" s="509">
        <f>'A-9'!U15</f>
        <v>8.662347222222222E-2</v>
      </c>
    </row>
    <row r="12" spans="1:13" ht="15.75" thickBot="1">
      <c r="A12" s="920"/>
      <c r="B12" s="67" t="s">
        <v>807</v>
      </c>
      <c r="C12" s="109"/>
      <c r="D12" s="473">
        <f>'A-9'!K16</f>
        <v>0.21331435040897243</v>
      </c>
      <c r="E12" s="109"/>
      <c r="F12" s="473">
        <f>'A-9'!O16</f>
        <v>3.5992650241565768E-2</v>
      </c>
      <c r="G12" s="109"/>
      <c r="H12" s="473">
        <f>'A-9'!S16</f>
        <v>3.5992650241565768E-2</v>
      </c>
      <c r="I12" s="510">
        <f>'A-9'!U16</f>
        <v>2.8874490740740739E-2</v>
      </c>
    </row>
    <row r="13" spans="1:13">
      <c r="A13" s="919" t="s">
        <v>668</v>
      </c>
      <c r="B13" s="57" t="s">
        <v>25</v>
      </c>
      <c r="C13" s="507">
        <f>'A-9'!I20</f>
        <v>3.1962906589999434</v>
      </c>
      <c r="D13" s="60"/>
      <c r="E13" s="508">
        <f>'A-9'!M20</f>
        <v>0.11986089971249787</v>
      </c>
      <c r="F13" s="60"/>
      <c r="G13" s="508">
        <f>'A-9'!Q20</f>
        <v>0.26151469028181357</v>
      </c>
      <c r="H13" s="60"/>
      <c r="I13" s="176"/>
    </row>
    <row r="14" spans="1:13" s="143" customFormat="1" ht="15" customHeight="1">
      <c r="A14" s="919"/>
      <c r="B14" s="57" t="s">
        <v>806</v>
      </c>
      <c r="C14" s="177"/>
      <c r="D14" s="426">
        <f>'A-9'!K20</f>
        <v>0.42126256577516846</v>
      </c>
      <c r="E14" s="177"/>
      <c r="F14" s="426">
        <f>'A-9'!O20</f>
        <v>9.821682718465366E-2</v>
      </c>
      <c r="G14" s="199"/>
      <c r="H14" s="426">
        <f>'A-9'!S20</f>
        <v>9.821682718465366E-2</v>
      </c>
      <c r="I14" s="509">
        <f>'A-9'!U20</f>
        <v>4.1414981009667541E-2</v>
      </c>
    </row>
    <row r="15" spans="1:13" s="143" customFormat="1" ht="15" customHeight="1" thickBot="1">
      <c r="A15" s="920"/>
      <c r="B15" s="57" t="s">
        <v>807</v>
      </c>
      <c r="C15" s="178"/>
      <c r="D15" s="473">
        <f>'A-9'!K21</f>
        <v>8.5627301104104755E-2</v>
      </c>
      <c r="E15" s="178"/>
      <c r="F15" s="473">
        <f>'A-9'!O21</f>
        <v>1.9953779758884779E-2</v>
      </c>
      <c r="G15" s="178"/>
      <c r="H15" s="473">
        <f>'A-9'!S21</f>
        <v>1.9953779758884779E-2</v>
      </c>
      <c r="I15" s="510">
        <f>'A-9'!U21</f>
        <v>8.7326193632153576E-3</v>
      </c>
    </row>
    <row r="16" spans="1:13" s="143" customFormat="1" ht="15" customHeight="1" thickBot="1">
      <c r="A16" s="912" t="s">
        <v>815</v>
      </c>
      <c r="B16" s="913"/>
      <c r="C16" s="913"/>
      <c r="D16" s="913"/>
      <c r="E16" s="913"/>
      <c r="F16" s="913"/>
      <c r="G16" s="913"/>
      <c r="H16" s="913"/>
      <c r="I16" s="914"/>
    </row>
    <row r="17" spans="1:24" s="143" customFormat="1" ht="15" customHeight="1">
      <c r="A17" s="921" t="s">
        <v>667</v>
      </c>
      <c r="B17" s="518" t="s">
        <v>810</v>
      </c>
      <c r="C17" s="779" t="s">
        <v>40</v>
      </c>
      <c r="D17" s="797"/>
      <c r="E17" s="779" t="s">
        <v>42</v>
      </c>
      <c r="F17" s="797"/>
      <c r="G17" s="779" t="s">
        <v>44</v>
      </c>
      <c r="H17" s="797"/>
      <c r="I17" s="519" t="s">
        <v>46</v>
      </c>
    </row>
    <row r="18" spans="1:24" s="143" customFormat="1" ht="15" customHeight="1" thickBot="1">
      <c r="A18" s="853"/>
      <c r="B18" s="520" t="s">
        <v>808</v>
      </c>
      <c r="C18" s="910">
        <v>0.94440295766597815</v>
      </c>
      <c r="D18" s="911"/>
      <c r="E18" s="910">
        <v>0.41193990716331735</v>
      </c>
      <c r="F18" s="911"/>
      <c r="G18" s="910">
        <v>0.41193188332984498</v>
      </c>
      <c r="H18" s="911"/>
      <c r="I18" s="198">
        <v>10.524476141153684</v>
      </c>
    </row>
    <row r="19" spans="1:24" s="143" customFormat="1" ht="15" customHeight="1">
      <c r="A19" s="852" t="s">
        <v>668</v>
      </c>
      <c r="B19" s="518" t="s">
        <v>810</v>
      </c>
      <c r="C19" s="781" t="s">
        <v>41</v>
      </c>
      <c r="D19" s="922"/>
      <c r="E19" s="781" t="s">
        <v>43</v>
      </c>
      <c r="F19" s="922"/>
      <c r="G19" s="781" t="s">
        <v>45</v>
      </c>
      <c r="H19" s="922"/>
      <c r="I19" s="168" t="s">
        <v>46</v>
      </c>
    </row>
    <row r="20" spans="1:24" s="143" customFormat="1" ht="18" thickBot="1">
      <c r="A20" s="853"/>
      <c r="B20" s="417" t="s">
        <v>808</v>
      </c>
      <c r="C20" s="910">
        <v>0.21552761071623841</v>
      </c>
      <c r="D20" s="911"/>
      <c r="E20" s="910">
        <v>0.1251450642868481</v>
      </c>
      <c r="F20" s="911"/>
      <c r="G20" s="910">
        <v>0.12514506428684807</v>
      </c>
      <c r="H20" s="911"/>
      <c r="I20" s="198">
        <v>2.2961073193088573</v>
      </c>
    </row>
    <row r="21" spans="1:24" ht="15.75" thickBot="1">
      <c r="A21" s="915" t="s">
        <v>629</v>
      </c>
      <c r="B21" s="916"/>
      <c r="C21" s="916"/>
      <c r="D21" s="916"/>
      <c r="E21" s="916"/>
      <c r="F21" s="916"/>
      <c r="G21" s="916"/>
      <c r="H21" s="916"/>
      <c r="I21" s="917"/>
    </row>
    <row r="22" spans="1:24">
      <c r="A22" s="873" t="s">
        <v>685</v>
      </c>
      <c r="B22" s="148" t="s">
        <v>648</v>
      </c>
      <c r="C22" s="511">
        <f>C10*C18+C13*C20</f>
        <v>4.8712197159565589</v>
      </c>
      <c r="D22" s="34"/>
      <c r="E22" s="513">
        <f>E10*E18+E13*E20</f>
        <v>8.7285714285714286E-2</v>
      </c>
      <c r="F22" s="197"/>
      <c r="G22" s="513">
        <f>G10*G18+G13*G20</f>
        <v>0.18486873930741549</v>
      </c>
      <c r="H22" s="179"/>
      <c r="I22" s="179"/>
    </row>
    <row r="23" spans="1:24">
      <c r="A23" s="874"/>
      <c r="B23" s="148" t="s">
        <v>649</v>
      </c>
      <c r="C23" s="180"/>
      <c r="D23" s="338">
        <f>D11*C18+D14*C20</f>
        <v>0.69515782460220554</v>
      </c>
      <c r="E23" s="180"/>
      <c r="F23" s="338">
        <f>F11*E18+F14*E20</f>
        <v>5.6771778149290797E-2</v>
      </c>
      <c r="G23" s="181"/>
      <c r="H23" s="338">
        <f>H11*G18+H14*G20</f>
        <v>5.6770911752195487E-2</v>
      </c>
      <c r="I23" s="515">
        <f>I11*I18+I14*I20</f>
        <v>1.0067599076920015</v>
      </c>
    </row>
    <row r="24" spans="1:24" ht="15.75" thickBot="1">
      <c r="A24" s="875"/>
      <c r="B24" s="167" t="s">
        <v>639</v>
      </c>
      <c r="C24" s="166"/>
      <c r="D24" s="512">
        <f>D12*C18+D15*C20</f>
        <v>0.21990975105787802</v>
      </c>
      <c r="E24" s="166"/>
      <c r="F24" s="514">
        <f>F12*E18+F15*E20</f>
        <v>1.7323926049763599E-2</v>
      </c>
      <c r="G24" s="166"/>
      <c r="H24" s="514">
        <f>H12*G18+H15*G20</f>
        <v>1.7323637250731831E-2</v>
      </c>
      <c r="I24" s="512">
        <f>I12*I18+I15*I20</f>
        <v>0.32393992012550593</v>
      </c>
    </row>
    <row r="25" spans="1:24" ht="15.75" thickBot="1">
      <c r="C25" s="750"/>
      <c r="D25" s="750"/>
      <c r="E25" s="750"/>
      <c r="F25" s="750"/>
      <c r="G25" s="75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</row>
    <row r="26" spans="1:24" ht="17.25">
      <c r="B26" s="847" t="s">
        <v>665</v>
      </c>
      <c r="C26" s="848"/>
      <c r="D26" s="719" t="s">
        <v>664</v>
      </c>
      <c r="E26" s="716" t="s">
        <v>750</v>
      </c>
      <c r="F26" s="717"/>
      <c r="G26" s="718"/>
      <c r="I26" s="12"/>
      <c r="J26" s="12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8" thickBot="1">
      <c r="B27" s="849"/>
      <c r="C27" s="850"/>
      <c r="D27" s="720"/>
      <c r="E27" s="209" t="s">
        <v>679</v>
      </c>
      <c r="F27" s="233" t="s">
        <v>680</v>
      </c>
      <c r="G27" s="232" t="s">
        <v>751</v>
      </c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</row>
    <row r="28" spans="1:24">
      <c r="B28" s="703" t="s">
        <v>84</v>
      </c>
      <c r="C28" s="851"/>
      <c r="D28" s="254">
        <v>0.5</v>
      </c>
      <c r="E28" s="703">
        <v>0.5</v>
      </c>
      <c r="F28" s="704"/>
      <c r="G28" s="4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</row>
    <row r="29" spans="1:24">
      <c r="B29" s="705" t="s">
        <v>77</v>
      </c>
      <c r="C29" s="844"/>
      <c r="D29" s="196">
        <v>25</v>
      </c>
      <c r="E29" s="705">
        <v>1</v>
      </c>
      <c r="F29" s="706"/>
      <c r="G29" s="404"/>
      <c r="I29" s="203"/>
      <c r="J29" s="204"/>
      <c r="K29" s="203"/>
      <c r="L29" s="203"/>
      <c r="M29" s="203"/>
      <c r="N29" s="203"/>
      <c r="O29" s="204"/>
      <c r="P29" s="203"/>
      <c r="Q29" s="203"/>
      <c r="R29" s="203"/>
      <c r="S29" s="203"/>
      <c r="T29" s="204"/>
      <c r="U29" s="204"/>
      <c r="V29" s="203"/>
      <c r="W29" s="203"/>
      <c r="X29" s="204"/>
    </row>
    <row r="30" spans="1:24">
      <c r="B30" s="705" t="s">
        <v>78</v>
      </c>
      <c r="C30" s="844"/>
      <c r="D30" s="196">
        <v>50</v>
      </c>
      <c r="E30" s="252" t="s">
        <v>681</v>
      </c>
      <c r="F30" s="234">
        <v>5</v>
      </c>
      <c r="G30" s="235">
        <v>1</v>
      </c>
      <c r="I30" s="203"/>
      <c r="J30" s="204"/>
      <c r="K30" s="203"/>
      <c r="L30" s="203"/>
      <c r="M30" s="203"/>
      <c r="N30" s="203"/>
      <c r="O30" s="204"/>
      <c r="P30" s="203"/>
      <c r="Q30" s="203"/>
      <c r="R30" s="203"/>
      <c r="S30" s="203"/>
      <c r="T30" s="204"/>
      <c r="U30" s="204"/>
      <c r="V30" s="203"/>
      <c r="W30" s="203"/>
      <c r="X30" s="204"/>
    </row>
    <row r="31" spans="1:24">
      <c r="B31" s="705" t="s">
        <v>79</v>
      </c>
      <c r="C31" s="844"/>
      <c r="D31" s="196">
        <v>200</v>
      </c>
      <c r="E31" s="252" t="s">
        <v>682</v>
      </c>
      <c r="F31" s="234">
        <v>10</v>
      </c>
      <c r="G31" s="235">
        <v>2</v>
      </c>
      <c r="I31" s="203"/>
      <c r="J31" s="204"/>
      <c r="K31" s="203"/>
      <c r="L31" s="203"/>
      <c r="M31" s="203"/>
      <c r="N31" s="203"/>
      <c r="O31" s="204"/>
      <c r="P31" s="203"/>
      <c r="Q31" s="203"/>
      <c r="R31" s="203"/>
      <c r="S31" s="203"/>
      <c r="T31" s="204"/>
      <c r="U31" s="204"/>
      <c r="V31" s="203"/>
      <c r="W31" s="203"/>
      <c r="X31" s="204"/>
    </row>
    <row r="32" spans="1:24" ht="15.75" thickBot="1">
      <c r="B32" s="845" t="s">
        <v>80</v>
      </c>
      <c r="C32" s="846"/>
      <c r="D32" s="255">
        <v>500</v>
      </c>
      <c r="E32" s="253" t="s">
        <v>683</v>
      </c>
      <c r="F32" s="236">
        <v>20</v>
      </c>
      <c r="G32" s="237">
        <v>4</v>
      </c>
    </row>
    <row r="33" spans="1:21">
      <c r="A33" s="516"/>
      <c r="B33" s="516"/>
      <c r="C33" s="517"/>
      <c r="D33" s="517"/>
      <c r="E33" s="517"/>
      <c r="F33" s="517"/>
      <c r="G33" s="517"/>
      <c r="H33" s="517"/>
      <c r="I33" s="517"/>
    </row>
    <row r="34" spans="1:21">
      <c r="A34" s="63" t="s">
        <v>13</v>
      </c>
    </row>
    <row r="35" spans="1:21">
      <c r="A35" s="15" t="s">
        <v>811</v>
      </c>
    </row>
    <row r="36" spans="1:21">
      <c r="A36" s="37" t="s">
        <v>812</v>
      </c>
      <c r="B36" s="11"/>
    </row>
    <row r="37" spans="1:21">
      <c r="A37" s="15" t="s">
        <v>773</v>
      </c>
      <c r="B37" s="15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21">
      <c r="A38" s="15" t="s">
        <v>774</v>
      </c>
      <c r="B38" s="15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21">
      <c r="A39" s="15" t="s">
        <v>775</v>
      </c>
      <c r="B39" s="15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21">
      <c r="A40" s="15" t="s">
        <v>776</v>
      </c>
      <c r="B40" s="15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21">
      <c r="A41" s="15" t="s">
        <v>777</v>
      </c>
      <c r="B41" s="1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21">
      <c r="A42" s="15" t="s">
        <v>778</v>
      </c>
      <c r="B42" s="1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21">
      <c r="A43" s="15" t="s">
        <v>779</v>
      </c>
      <c r="B43" s="15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21">
      <c r="A44" s="13" t="s">
        <v>749</v>
      </c>
      <c r="C44" s="15"/>
      <c r="D44" s="15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U44" s="17"/>
    </row>
    <row r="45" spans="1:21" ht="15" customHeight="1">
      <c r="A45" s="13" t="s">
        <v>698</v>
      </c>
      <c r="C45" s="15"/>
      <c r="D45" s="15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U45" s="17"/>
    </row>
    <row r="46" spans="1:21">
      <c r="A46" s="13" t="s">
        <v>699</v>
      </c>
      <c r="C46" s="15"/>
      <c r="D46" s="15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>
      <c r="A47" s="13" t="s">
        <v>864</v>
      </c>
      <c r="C47" s="15"/>
      <c r="D47" s="15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>
      <c r="A48" s="13" t="s">
        <v>865</v>
      </c>
      <c r="C48" s="15"/>
      <c r="D48" s="15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>
      <c r="A49" s="13" t="s">
        <v>861</v>
      </c>
      <c r="C49" s="15"/>
      <c r="D49" s="15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>
      <c r="A50" s="13" t="s">
        <v>868</v>
      </c>
      <c r="C50" s="15"/>
      <c r="D50" s="15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>
      <c r="A51" s="13"/>
    </row>
    <row r="52" spans="1:21">
      <c r="A52" s="13" t="s">
        <v>640</v>
      </c>
    </row>
    <row r="53" spans="1:21">
      <c r="A53" s="13" t="s">
        <v>632</v>
      </c>
    </row>
    <row r="54" spans="1:21">
      <c r="A54" s="13" t="s">
        <v>641</v>
      </c>
    </row>
    <row r="55" spans="1:21">
      <c r="A55" s="11" t="s">
        <v>75</v>
      </c>
    </row>
  </sheetData>
  <mergeCells count="35">
    <mergeCell ref="A22:A24"/>
    <mergeCell ref="B5:L5"/>
    <mergeCell ref="A21:I21"/>
    <mergeCell ref="A10:A12"/>
    <mergeCell ref="A13:A15"/>
    <mergeCell ref="A17:A18"/>
    <mergeCell ref="A19:A20"/>
    <mergeCell ref="C7:D7"/>
    <mergeCell ref="E7:F7"/>
    <mergeCell ref="G7:H7"/>
    <mergeCell ref="C17:D17"/>
    <mergeCell ref="G17:H17"/>
    <mergeCell ref="E17:F17"/>
    <mergeCell ref="C19:D19"/>
    <mergeCell ref="E19:F19"/>
    <mergeCell ref="G19:H19"/>
    <mergeCell ref="B29:C29"/>
    <mergeCell ref="E29:F29"/>
    <mergeCell ref="B30:C30"/>
    <mergeCell ref="B31:C31"/>
    <mergeCell ref="B32:C32"/>
    <mergeCell ref="C25:G25"/>
    <mergeCell ref="B26:C27"/>
    <mergeCell ref="D26:D27"/>
    <mergeCell ref="E26:G26"/>
    <mergeCell ref="B28:C28"/>
    <mergeCell ref="E28:F28"/>
    <mergeCell ref="C20:D20"/>
    <mergeCell ref="E20:F20"/>
    <mergeCell ref="G20:H20"/>
    <mergeCell ref="A16:I16"/>
    <mergeCell ref="A9:I9"/>
    <mergeCell ref="C18:D18"/>
    <mergeCell ref="E18:F18"/>
    <mergeCell ref="G18:H18"/>
  </mergeCells>
  <pageMargins left="0.7" right="0.7" top="0.75" bottom="0.75" header="0.3" footer="0.3"/>
  <pageSetup paperSize="3" scale="61" orientation="landscape" r:id="rId1"/>
  <headerFooter>
    <oddHeader>&amp;C&amp;G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59999389629810485"/>
    <pageSetUpPr fitToPage="1"/>
  </sheetPr>
  <dimension ref="A1:U49"/>
  <sheetViews>
    <sheetView showGridLines="0" view="pageBreakPreview" zoomScale="90" zoomScaleNormal="90" zoomScaleSheetLayoutView="90" workbookViewId="0">
      <selection activeCell="A6" sqref="A6"/>
    </sheetView>
  </sheetViews>
  <sheetFormatPr defaultColWidth="9.140625" defaultRowHeight="14.25"/>
  <cols>
    <col min="1" max="1" width="16.42578125" style="37" customWidth="1"/>
    <col min="2" max="2" width="12.5703125" style="37" customWidth="1"/>
    <col min="3" max="3" width="36.140625" style="37" customWidth="1"/>
    <col min="4" max="4" width="14.42578125" style="37" customWidth="1"/>
    <col min="5" max="5" width="10.140625" style="37" bestFit="1" customWidth="1"/>
    <col min="6" max="6" width="12.140625" style="34" bestFit="1" customWidth="1"/>
    <col min="7" max="7" width="10.85546875" style="37" bestFit="1" customWidth="1"/>
    <col min="8" max="8" width="12.140625" style="34" bestFit="1" customWidth="1"/>
    <col min="9" max="9" width="15.85546875" style="184" bestFit="1" customWidth="1"/>
    <col min="10" max="10" width="8.42578125" style="37" bestFit="1" customWidth="1"/>
    <col min="11" max="11" width="12.140625" style="34" bestFit="1" customWidth="1"/>
    <col min="12" max="12" width="10.85546875" style="37" bestFit="1" customWidth="1"/>
    <col min="13" max="13" width="12.140625" style="34" bestFit="1" customWidth="1"/>
    <col min="14" max="14" width="15.85546875" style="184" bestFit="1" customWidth="1"/>
    <col min="15" max="15" width="8.42578125" style="37" bestFit="1" customWidth="1"/>
    <col min="16" max="16" width="12.140625" style="34" bestFit="1" customWidth="1"/>
    <col min="17" max="17" width="10.85546875" style="37" bestFit="1" customWidth="1"/>
    <col min="18" max="18" width="12.140625" style="34" bestFit="1" customWidth="1"/>
    <col min="19" max="19" width="16.42578125" style="184" bestFit="1" customWidth="1"/>
    <col min="20" max="20" width="8.42578125" style="37" bestFit="1" customWidth="1"/>
    <col min="21" max="21" width="15.5703125" style="34" bestFit="1" customWidth="1"/>
    <col min="22" max="16384" width="9.140625" style="37"/>
  </cols>
  <sheetData>
    <row r="1" spans="1:21">
      <c r="B1" s="34"/>
      <c r="C1" s="34"/>
      <c r="D1" s="34"/>
      <c r="E1" s="34"/>
      <c r="G1" s="34"/>
      <c r="I1" s="182"/>
      <c r="J1" s="34"/>
      <c r="L1" s="34"/>
      <c r="N1" s="182"/>
      <c r="O1" s="34"/>
      <c r="Q1" s="34"/>
      <c r="S1" s="182"/>
      <c r="T1" s="34"/>
    </row>
    <row r="2" spans="1:21">
      <c r="B2" s="34"/>
      <c r="C2" s="34"/>
      <c r="D2" s="34"/>
      <c r="E2" s="34"/>
      <c r="G2" s="34"/>
      <c r="I2" s="182"/>
      <c r="J2" s="34"/>
      <c r="L2" s="34"/>
      <c r="N2" s="182"/>
      <c r="O2" s="34"/>
      <c r="Q2" s="34"/>
      <c r="S2" s="182"/>
      <c r="T2" s="34"/>
    </row>
    <row r="3" spans="1:21">
      <c r="B3" s="34"/>
      <c r="C3" s="34"/>
      <c r="D3" s="34"/>
      <c r="E3" s="34"/>
      <c r="G3" s="34"/>
      <c r="I3" s="182"/>
      <c r="J3" s="34"/>
      <c r="L3" s="34"/>
      <c r="N3" s="182"/>
      <c r="O3" s="34"/>
      <c r="Q3" s="34"/>
      <c r="S3" s="182"/>
      <c r="T3" s="34"/>
    </row>
    <row r="4" spans="1:21">
      <c r="B4" s="34"/>
      <c r="C4" s="34"/>
      <c r="D4" s="34"/>
      <c r="E4" s="34"/>
      <c r="G4" s="34"/>
      <c r="I4" s="182"/>
      <c r="J4" s="34"/>
      <c r="L4" s="34"/>
      <c r="N4" s="182"/>
      <c r="O4" s="34"/>
      <c r="Q4" s="34"/>
      <c r="S4" s="182"/>
      <c r="T4" s="34"/>
    </row>
    <row r="5" spans="1:21" ht="19.5">
      <c r="B5" s="923" t="s">
        <v>627</v>
      </c>
      <c r="C5" s="923"/>
      <c r="D5" s="923"/>
      <c r="E5" s="923"/>
      <c r="F5" s="923"/>
      <c r="G5" s="923"/>
      <c r="H5" s="923"/>
      <c r="I5" s="923"/>
      <c r="J5" s="923"/>
      <c r="K5" s="923"/>
      <c r="L5" s="923"/>
      <c r="M5" s="923"/>
      <c r="N5" s="923"/>
      <c r="O5" s="923"/>
      <c r="P5" s="923"/>
      <c r="Q5" s="923"/>
      <c r="R5" s="923"/>
      <c r="S5" s="923"/>
      <c r="T5" s="923"/>
      <c r="U5" s="923"/>
    </row>
    <row r="6" spans="1:21" ht="15" thickBot="1">
      <c r="B6" s="34"/>
      <c r="C6" s="34"/>
      <c r="D6" s="34"/>
      <c r="E6" s="34"/>
      <c r="G6" s="34"/>
      <c r="I6" s="182"/>
      <c r="J6" s="34"/>
      <c r="L6" s="34"/>
      <c r="N6" s="182"/>
      <c r="O6" s="34"/>
      <c r="Q6" s="34"/>
      <c r="S6" s="182"/>
      <c r="T6" s="34"/>
    </row>
    <row r="7" spans="1:21" ht="15.75" customHeight="1" thickBot="1">
      <c r="A7" s="670" t="s">
        <v>678</v>
      </c>
      <c r="B7" s="689" t="s">
        <v>816</v>
      </c>
      <c r="C7" s="667" t="s">
        <v>3</v>
      </c>
      <c r="D7" s="664" t="s">
        <v>14</v>
      </c>
      <c r="E7" s="665"/>
      <c r="F7" s="665"/>
      <c r="G7" s="665"/>
      <c r="H7" s="669"/>
      <c r="I7" s="665" t="s">
        <v>15</v>
      </c>
      <c r="J7" s="665"/>
      <c r="K7" s="665"/>
      <c r="L7" s="665"/>
      <c r="M7" s="668"/>
      <c r="N7" s="673" t="s">
        <v>16</v>
      </c>
      <c r="O7" s="665"/>
      <c r="P7" s="665"/>
      <c r="Q7" s="665"/>
      <c r="R7" s="133"/>
      <c r="S7" s="664" t="s">
        <v>17</v>
      </c>
      <c r="T7" s="665"/>
      <c r="U7" s="669"/>
    </row>
    <row r="8" spans="1:21" ht="14.25" customHeight="1">
      <c r="A8" s="671"/>
      <c r="B8" s="690"/>
      <c r="C8" s="924"/>
      <c r="D8" s="21" t="s">
        <v>18</v>
      </c>
      <c r="E8" s="30" t="s">
        <v>19</v>
      </c>
      <c r="F8" s="30" t="s">
        <v>20</v>
      </c>
      <c r="G8" s="30" t="s">
        <v>19</v>
      </c>
      <c r="H8" s="188"/>
      <c r="I8" s="30" t="s">
        <v>21</v>
      </c>
      <c r="J8" s="30" t="s">
        <v>19</v>
      </c>
      <c r="K8" s="30" t="s">
        <v>20</v>
      </c>
      <c r="L8" s="30" t="s">
        <v>19</v>
      </c>
      <c r="M8" s="188"/>
      <c r="N8" s="30" t="s">
        <v>21</v>
      </c>
      <c r="O8" s="30" t="s">
        <v>19</v>
      </c>
      <c r="P8" s="30" t="s">
        <v>20</v>
      </c>
      <c r="Q8" s="30" t="s">
        <v>19</v>
      </c>
      <c r="R8" s="188"/>
      <c r="S8" s="30" t="s">
        <v>22</v>
      </c>
      <c r="T8" s="30" t="s">
        <v>23</v>
      </c>
      <c r="U8" s="186"/>
    </row>
    <row r="9" spans="1:21" ht="14.25" customHeight="1">
      <c r="A9" s="671"/>
      <c r="B9" s="690"/>
      <c r="C9" s="924"/>
      <c r="D9" s="21" t="s">
        <v>24</v>
      </c>
      <c r="E9" s="30" t="s">
        <v>25</v>
      </c>
      <c r="F9" s="30" t="s">
        <v>25</v>
      </c>
      <c r="G9" s="30" t="s">
        <v>26</v>
      </c>
      <c r="H9" s="186" t="s">
        <v>27</v>
      </c>
      <c r="I9" s="30" t="s">
        <v>24</v>
      </c>
      <c r="J9" s="30" t="s">
        <v>25</v>
      </c>
      <c r="K9" s="30" t="s">
        <v>25</v>
      </c>
      <c r="L9" s="30" t="s">
        <v>26</v>
      </c>
      <c r="M9" s="186" t="s">
        <v>27</v>
      </c>
      <c r="N9" s="30" t="s">
        <v>24</v>
      </c>
      <c r="O9" s="30" t="s">
        <v>25</v>
      </c>
      <c r="P9" s="30" t="s">
        <v>25</v>
      </c>
      <c r="Q9" s="30" t="s">
        <v>26</v>
      </c>
      <c r="R9" s="186" t="s">
        <v>27</v>
      </c>
      <c r="S9" s="30" t="s">
        <v>24</v>
      </c>
      <c r="T9" s="30" t="s">
        <v>19</v>
      </c>
      <c r="U9" s="186" t="s">
        <v>27</v>
      </c>
    </row>
    <row r="10" spans="1:21" ht="18" thickBot="1">
      <c r="A10" s="672"/>
      <c r="B10" s="691"/>
      <c r="C10" s="925"/>
      <c r="D10" s="44" t="s">
        <v>701</v>
      </c>
      <c r="E10" s="44" t="s">
        <v>701</v>
      </c>
      <c r="F10" s="189" t="s">
        <v>691</v>
      </c>
      <c r="G10" s="44" t="s">
        <v>701</v>
      </c>
      <c r="H10" s="187" t="s">
        <v>819</v>
      </c>
      <c r="I10" s="44" t="s">
        <v>701</v>
      </c>
      <c r="J10" s="44" t="s">
        <v>701</v>
      </c>
      <c r="K10" s="189" t="s">
        <v>691</v>
      </c>
      <c r="L10" s="44" t="s">
        <v>701</v>
      </c>
      <c r="M10" s="187" t="s">
        <v>819</v>
      </c>
      <c r="N10" s="44" t="s">
        <v>701</v>
      </c>
      <c r="O10" s="44" t="s">
        <v>701</v>
      </c>
      <c r="P10" s="189" t="s">
        <v>691</v>
      </c>
      <c r="Q10" s="44" t="s">
        <v>701</v>
      </c>
      <c r="R10" s="187" t="s">
        <v>819</v>
      </c>
      <c r="S10" s="44" t="s">
        <v>701</v>
      </c>
      <c r="T10" s="44" t="s">
        <v>701</v>
      </c>
      <c r="U10" s="187" t="s">
        <v>818</v>
      </c>
    </row>
    <row r="11" spans="1:21">
      <c r="A11" s="681" t="s">
        <v>817</v>
      </c>
      <c r="B11" s="35" t="s">
        <v>339</v>
      </c>
      <c r="C11" s="45" t="s">
        <v>33</v>
      </c>
      <c r="D11" s="49">
        <v>50</v>
      </c>
      <c r="E11" s="278" t="str">
        <f>VLOOKUP($B11,RBC!$B$5:$J$269,3,FALSE)</f>
        <v>--</v>
      </c>
      <c r="F11" s="279" t="str">
        <f>IF(E11="--","--",D11/E11)</f>
        <v>--</v>
      </c>
      <c r="G11" s="278">
        <f>VLOOKUP($B11,RBC!$B$5:$J$269,4,FALSE)</f>
        <v>200</v>
      </c>
      <c r="H11" s="281">
        <f>IF(G11="--","--",D11/G11)</f>
        <v>0.25</v>
      </c>
      <c r="I11" s="49">
        <v>40</v>
      </c>
      <c r="J11" s="278" t="str">
        <f>VLOOKUP($B11,RBC!$B$5:$J$269,5,FALSE)</f>
        <v>--</v>
      </c>
      <c r="K11" s="279" t="str">
        <f>IF(J11="--","--",I11/J11)</f>
        <v>--</v>
      </c>
      <c r="L11" s="278">
        <f>VLOOKUP($B11,RBC!$B$5:$J$269,6,FALSE)</f>
        <v>880</v>
      </c>
      <c r="M11" s="305">
        <f>IF(L11="-","--",I11/L11)</f>
        <v>4.5454545454545456E-2</v>
      </c>
      <c r="N11" s="49">
        <v>40</v>
      </c>
      <c r="O11" s="278" t="str">
        <f>VLOOKUP($B11,RBC!$B$5:$J$269,7,FALSE)</f>
        <v>--</v>
      </c>
      <c r="P11" s="279" t="str">
        <f>IF(O11="--","--",N11/O11)</f>
        <v>--</v>
      </c>
      <c r="Q11" s="278">
        <f>VLOOKUP($B11,RBC!$B$5:$J$269,8,FALSE)</f>
        <v>880</v>
      </c>
      <c r="R11" s="305">
        <f>IF(Q11="--","--",N11/Q11)</f>
        <v>4.5454545454545456E-2</v>
      </c>
      <c r="S11" s="49">
        <v>100</v>
      </c>
      <c r="T11" s="278">
        <f>VLOOKUP($B11,RBC!$B$5:$J$269,9,FALSE)</f>
        <v>3200</v>
      </c>
      <c r="U11" s="305">
        <f>IF(T11="--","--",S11/T11)</f>
        <v>3.125E-2</v>
      </c>
    </row>
    <row r="12" spans="1:21" ht="15" customHeight="1" thickBot="1">
      <c r="A12" s="682"/>
      <c r="B12" s="35" t="s">
        <v>358</v>
      </c>
      <c r="C12" s="45" t="s">
        <v>34</v>
      </c>
      <c r="D12" s="49">
        <v>75</v>
      </c>
      <c r="E12" s="278" t="str">
        <f>VLOOKUP($B12,RBC!$B$5:$J$269,3,FALSE)</f>
        <v>--</v>
      </c>
      <c r="F12" s="279" t="str">
        <f>IF(E12="--","--",D12/E12)</f>
        <v>--</v>
      </c>
      <c r="G12" s="278">
        <f>VLOOKUP($B12,RBC!$B$5:$J$269,4,FALSE)</f>
        <v>3000</v>
      </c>
      <c r="H12" s="305">
        <f>IF(G12="--","--",D12/G12)</f>
        <v>2.5000000000000001E-2</v>
      </c>
      <c r="I12" s="49">
        <v>60</v>
      </c>
      <c r="J12" s="278" t="str">
        <f>VLOOKUP($B12,RBC!$B$5:$J$269,5,FALSE)</f>
        <v>--</v>
      </c>
      <c r="K12" s="279" t="str">
        <f>IF(J12="--","--",I12/J12)</f>
        <v>--</v>
      </c>
      <c r="L12" s="370">
        <f>VLOOKUP($B12,RBC!$B$5:$J$269,6,FALSE)</f>
        <v>13000</v>
      </c>
      <c r="M12" s="310">
        <f>IF(L12="-","--",I12/L12)</f>
        <v>4.6153846153846158E-3</v>
      </c>
      <c r="N12" s="49">
        <v>60</v>
      </c>
      <c r="O12" s="278" t="str">
        <f>VLOOKUP($B12,RBC!$B$5:$J$269,7,FALSE)</f>
        <v>--</v>
      </c>
      <c r="P12" s="279" t="str">
        <f>IF(O12="--","--",N12/O12)</f>
        <v>--</v>
      </c>
      <c r="Q12" s="370">
        <f>VLOOKUP($B12,RBC!$B$5:$J$269,8,FALSE)</f>
        <v>13000</v>
      </c>
      <c r="R12" s="310">
        <f>IF(Q12="--","--",N12/Q12)</f>
        <v>4.6153846153846158E-3</v>
      </c>
      <c r="S12" s="49">
        <v>150</v>
      </c>
      <c r="T12" s="278" t="str">
        <f>VLOOKUP($B12,RBC!$B$5:$J$269,9,FALSE)</f>
        <v>--</v>
      </c>
      <c r="U12" s="305" t="str">
        <f>IF(T12="--","--",S12/T12)</f>
        <v>--</v>
      </c>
    </row>
    <row r="13" spans="1:21" ht="15.75" thickBot="1">
      <c r="A13" s="683"/>
      <c r="B13" s="532" t="s">
        <v>38</v>
      </c>
      <c r="C13" s="533"/>
      <c r="D13" s="534"/>
      <c r="E13" s="535"/>
      <c r="F13" s="536" t="s">
        <v>83</v>
      </c>
      <c r="G13" s="535"/>
      <c r="H13" s="537">
        <f>SUM(H11:H12)</f>
        <v>0.27500000000000002</v>
      </c>
      <c r="I13" s="534"/>
      <c r="J13" s="535"/>
      <c r="K13" s="536" t="s">
        <v>83</v>
      </c>
      <c r="L13" s="535"/>
      <c r="M13" s="538">
        <f>SUM(M11:M12)</f>
        <v>5.0069930069930074E-2</v>
      </c>
      <c r="N13" s="534"/>
      <c r="O13" s="535"/>
      <c r="P13" s="536" t="s">
        <v>83</v>
      </c>
      <c r="Q13" s="535"/>
      <c r="R13" s="538">
        <f>SUM(R11:R12)</f>
        <v>5.0069930069930074E-2</v>
      </c>
      <c r="S13" s="534"/>
      <c r="T13" s="535"/>
      <c r="U13" s="538">
        <f>SUM(U11:U12)</f>
        <v>3.125E-2</v>
      </c>
    </row>
    <row r="14" spans="1:21">
      <c r="A14" s="681" t="s">
        <v>838</v>
      </c>
      <c r="B14" s="34" t="s">
        <v>128</v>
      </c>
      <c r="C14" s="45" t="s">
        <v>129</v>
      </c>
      <c r="D14" s="185">
        <v>2.9E-4</v>
      </c>
      <c r="E14" s="278">
        <f>VLOOKUP($B14,RBC!$B$5:$J$269,3,FALSE)</f>
        <v>0.13</v>
      </c>
      <c r="F14" s="530">
        <f>IF(E14="--","--",D14/E14)</f>
        <v>2.2307692307692306E-3</v>
      </c>
      <c r="G14" s="278">
        <f>VLOOKUP($B14,RBC!$B$5:$J$269,4,FALSE)</f>
        <v>3</v>
      </c>
      <c r="H14" s="531">
        <f>IF(G14="--","--",D14/G14)</f>
        <v>9.6666666666666667E-5</v>
      </c>
      <c r="I14" s="190">
        <v>1.45E-4</v>
      </c>
      <c r="J14" s="278">
        <f>VLOOKUP($B14,RBC!$B$5:$J$269,5,FALSE)</f>
        <v>3.3</v>
      </c>
      <c r="K14" s="530">
        <f>IF(J14="--","--",I14/J14)</f>
        <v>4.3939393939393944E-5</v>
      </c>
      <c r="L14" s="278">
        <f>VLOOKUP($B14,RBC!$B$5:$J$269,6,FALSE)</f>
        <v>13</v>
      </c>
      <c r="M14" s="531">
        <f>IF(L14="--","--",I14/L14)</f>
        <v>1.1153846153846154E-5</v>
      </c>
      <c r="N14" s="190">
        <v>4.8333333333333301E-4</v>
      </c>
      <c r="O14" s="278">
        <f>VLOOKUP($B14,RBC!$B$5:$J$269,7,FALSE)</f>
        <v>1.5</v>
      </c>
      <c r="P14" s="530">
        <f>IF(O14="--","--",N14/O14)</f>
        <v>3.2222222222222201E-4</v>
      </c>
      <c r="Q14" s="278">
        <f>VLOOKUP($B14,RBC!$B$5:$J$269,8,FALSE)</f>
        <v>13</v>
      </c>
      <c r="R14" s="531">
        <f>IF(Q14="--","--",N14/Q14)</f>
        <v>3.7179487179487152E-5</v>
      </c>
      <c r="S14" s="190">
        <v>9.6666666666666656E-4</v>
      </c>
      <c r="T14" s="278">
        <f>VLOOKUP($B14,RBC!$B$5:$J$269,9,FALSE)</f>
        <v>29</v>
      </c>
      <c r="U14" s="531">
        <f>IF(T14="--","--",S14/T14)</f>
        <v>3.3333333333333328E-5</v>
      </c>
    </row>
    <row r="15" spans="1:21">
      <c r="A15" s="682"/>
      <c r="B15" s="34" t="s">
        <v>301</v>
      </c>
      <c r="C15" s="45" t="s">
        <v>302</v>
      </c>
      <c r="D15" s="185">
        <v>6.1499999999999999E-4</v>
      </c>
      <c r="E15" s="278">
        <f>VLOOKUP($B15,RBC!$B$5:$J$269,3,FALSE)</f>
        <v>0.17</v>
      </c>
      <c r="F15" s="530">
        <f t="shared" ref="F15:F16" si="0">IF(E15="--","--",D15/E15)</f>
        <v>3.6176470588235293E-3</v>
      </c>
      <c r="G15" s="278">
        <f>VLOOKUP($B15,RBC!$B$5:$J$269,4,FALSE)</f>
        <v>9</v>
      </c>
      <c r="H15" s="531">
        <f t="shared" ref="H15:H16" si="1">IF(G15="--","--",D15/G15)</f>
        <v>6.8333333333333332E-5</v>
      </c>
      <c r="I15" s="190">
        <v>3.0749999999999999E-4</v>
      </c>
      <c r="J15" s="278">
        <f>VLOOKUP($B15,RBC!$B$5:$J$269,5,FALSE)</f>
        <v>4.3</v>
      </c>
      <c r="K15" s="530">
        <f t="shared" ref="K15:K37" si="2">IF(J15="--","--",I15/J15)</f>
        <v>7.1511627906976739E-5</v>
      </c>
      <c r="L15" s="278">
        <f>VLOOKUP($B15,RBC!$B$5:$J$269,6,FALSE)</f>
        <v>40</v>
      </c>
      <c r="M15" s="531">
        <f t="shared" ref="M15:M37" si="3">IF(L15="--","--",I15/L15)</f>
        <v>7.6875000000000005E-6</v>
      </c>
      <c r="N15" s="190">
        <v>1.0250000000000001E-3</v>
      </c>
      <c r="O15" s="278">
        <f>VLOOKUP($B15,RBC!$B$5:$J$269,7,FALSE)</f>
        <v>2</v>
      </c>
      <c r="P15" s="530">
        <f t="shared" ref="P15:P37" si="4">IF(O15="--","--",N15/O15)</f>
        <v>5.1250000000000004E-4</v>
      </c>
      <c r="Q15" s="278">
        <f>VLOOKUP($B15,RBC!$B$5:$J$269,8,FALSE)</f>
        <v>40</v>
      </c>
      <c r="R15" s="531">
        <f t="shared" ref="R15:R37" si="5">IF(Q15="--","--",N15/Q15)</f>
        <v>2.5625000000000003E-5</v>
      </c>
      <c r="S15" s="190">
        <v>2.0500000000000002E-3</v>
      </c>
      <c r="T15" s="278">
        <f>VLOOKUP($B15,RBC!$B$5:$J$269,9,FALSE)</f>
        <v>49</v>
      </c>
      <c r="U15" s="531">
        <f t="shared" ref="U15:U37" si="6">IF(T15="--","--",S15/T15)</f>
        <v>4.1836734693877557E-5</v>
      </c>
    </row>
    <row r="16" spans="1:21">
      <c r="A16" s="682"/>
      <c r="B16" s="34" t="s">
        <v>484</v>
      </c>
      <c r="C16" s="45" t="s">
        <v>839</v>
      </c>
      <c r="D16" s="185">
        <v>5.0000000000000004E-6</v>
      </c>
      <c r="E16" s="278">
        <f>VLOOKUP($B16,RBC!$B$5:$J$269,3,FALSE)</f>
        <v>4.3000000000000002E-5</v>
      </c>
      <c r="F16" s="530">
        <f t="shared" si="0"/>
        <v>0.11627906976744186</v>
      </c>
      <c r="G16" s="278" t="str">
        <f>VLOOKUP($B16,RBC!$B$5:$J$269,4,FALSE)</f>
        <v>--</v>
      </c>
      <c r="H16" s="531" t="str">
        <f t="shared" si="1"/>
        <v>--</v>
      </c>
      <c r="I16" s="190">
        <v>2.5000000000000002E-6</v>
      </c>
      <c r="J16" s="278">
        <f>VLOOKUP($B16,RBC!$B$5:$J$269,5,FALSE)</f>
        <v>1.6000000000000001E-3</v>
      </c>
      <c r="K16" s="530">
        <f t="shared" si="2"/>
        <v>1.5625000000000001E-3</v>
      </c>
      <c r="L16" s="278" t="str">
        <f>VLOOKUP($B16,RBC!$B$5:$J$269,6,FALSE)</f>
        <v>--</v>
      </c>
      <c r="M16" s="531" t="str">
        <f t="shared" si="3"/>
        <v>--</v>
      </c>
      <c r="N16" s="190">
        <v>8.3333333333333337E-6</v>
      </c>
      <c r="O16" s="278">
        <f>VLOOKUP($B16,RBC!$B$5:$J$269,7,FALSE)</f>
        <v>3.0000000000000001E-3</v>
      </c>
      <c r="P16" s="530">
        <f t="shared" si="4"/>
        <v>2.7777777777777779E-3</v>
      </c>
      <c r="Q16" s="278" t="str">
        <f>VLOOKUP($B16,RBC!$B$5:$J$269,8,FALSE)</f>
        <v>--</v>
      </c>
      <c r="R16" s="531" t="str">
        <f t="shared" si="5"/>
        <v>--</v>
      </c>
      <c r="S16" s="190">
        <v>1.6666666666666667E-5</v>
      </c>
      <c r="T16" s="278" t="str">
        <f>VLOOKUP($B16,RBC!$B$5:$J$269,9,FALSE)</f>
        <v>--</v>
      </c>
      <c r="U16" s="531" t="str">
        <f t="shared" si="6"/>
        <v>--</v>
      </c>
    </row>
    <row r="17" spans="1:21" ht="16.5">
      <c r="A17" s="682"/>
      <c r="B17" s="34" t="s">
        <v>490</v>
      </c>
      <c r="C17" s="45" t="s">
        <v>820</v>
      </c>
      <c r="D17" s="185">
        <v>5.9999999999999995E-8</v>
      </c>
      <c r="E17" s="278"/>
      <c r="F17" s="530"/>
      <c r="G17" s="278">
        <f>VLOOKUP($B17,RBC!$B$5:$J$269,4,FALSE)</f>
        <v>2E-3</v>
      </c>
      <c r="H17" s="531">
        <f t="shared" ref="H17:H37" si="7">IF(G17="--","--",D17/G17)</f>
        <v>2.9999999999999997E-5</v>
      </c>
      <c r="I17" s="190">
        <v>2.9999999999999997E-8</v>
      </c>
      <c r="J17" s="278"/>
      <c r="K17" s="530"/>
      <c r="L17" s="278">
        <f>VLOOKUP($B17,RBC!$B$5:$J$269,6,FALSE)</f>
        <v>8.8000000000000005E-3</v>
      </c>
      <c r="M17" s="531">
        <f t="shared" si="3"/>
        <v>3.4090909090909087E-6</v>
      </c>
      <c r="N17" s="190">
        <v>9.9999999999999995E-8</v>
      </c>
      <c r="O17" s="278"/>
      <c r="P17" s="530"/>
      <c r="Q17" s="278">
        <f>VLOOKUP($B17,RBC!$B$5:$J$269,8,FALSE)</f>
        <v>8.8000000000000005E-3</v>
      </c>
      <c r="R17" s="531">
        <f t="shared" si="5"/>
        <v>1.1363636363636363E-5</v>
      </c>
      <c r="S17" s="190">
        <v>1.9999999999999999E-7</v>
      </c>
      <c r="T17" s="278">
        <f>VLOOKUP($B17,RBC!$B$5:$J$269,9,FALSE)</f>
        <v>2E-3</v>
      </c>
      <c r="U17" s="531">
        <f t="shared" si="6"/>
        <v>9.9999999999999991E-5</v>
      </c>
    </row>
    <row r="18" spans="1:21">
      <c r="A18" s="682"/>
      <c r="B18" s="34" t="s">
        <v>368</v>
      </c>
      <c r="C18" s="45" t="s">
        <v>369</v>
      </c>
      <c r="D18" s="185">
        <v>1.4999999999999999E-5</v>
      </c>
      <c r="E18" s="278">
        <f>VLOOKUP($B18,RBC!$B$5:$J$269,3,FALSE)</f>
        <v>2.9000000000000001E-2</v>
      </c>
      <c r="F18" s="530">
        <f t="shared" ref="F18:F37" si="8">IF(E18="--","--",D18/E18)</f>
        <v>5.1724137931034473E-4</v>
      </c>
      <c r="G18" s="278">
        <f>VLOOKUP($B18,RBC!$B$5:$J$269,4,FALSE)</f>
        <v>3.7</v>
      </c>
      <c r="H18" s="531">
        <f t="shared" si="7"/>
        <v>4.0540540540540537E-6</v>
      </c>
      <c r="I18" s="190">
        <v>7.4999999999999993E-6</v>
      </c>
      <c r="J18" s="278">
        <f>VLOOKUP($B18,RBC!$B$5:$J$269,5,FALSE)</f>
        <v>0.76</v>
      </c>
      <c r="K18" s="530">
        <f t="shared" si="2"/>
        <v>9.8684210526315774E-6</v>
      </c>
      <c r="L18" s="278">
        <f>VLOOKUP($B18,RBC!$B$5:$J$269,6,FALSE)</f>
        <v>16</v>
      </c>
      <c r="M18" s="531">
        <f t="shared" si="3"/>
        <v>4.6874999999999996E-7</v>
      </c>
      <c r="N18" s="190">
        <v>2.4999999999999998E-5</v>
      </c>
      <c r="O18" s="278">
        <f>VLOOKUP($B18,RBC!$B$5:$J$269,7,FALSE)</f>
        <v>0.35</v>
      </c>
      <c r="P18" s="530">
        <f t="shared" si="4"/>
        <v>7.142857142857142E-5</v>
      </c>
      <c r="Q18" s="278">
        <f>VLOOKUP($B18,RBC!$B$5:$J$269,8,FALSE)</f>
        <v>16</v>
      </c>
      <c r="R18" s="531">
        <f t="shared" si="5"/>
        <v>1.5624999999999999E-6</v>
      </c>
      <c r="S18" s="190">
        <v>4.9999999999999996E-5</v>
      </c>
      <c r="T18" s="278">
        <f>VLOOKUP($B18,RBC!$B$5:$J$269,9,FALSE)</f>
        <v>200</v>
      </c>
      <c r="U18" s="531">
        <f t="shared" si="6"/>
        <v>2.4999999999999999E-7</v>
      </c>
    </row>
    <row r="19" spans="1:21">
      <c r="A19" s="682"/>
      <c r="B19" s="34" t="s">
        <v>93</v>
      </c>
      <c r="C19" s="45" t="s">
        <v>9</v>
      </c>
      <c r="D19" s="185">
        <v>1.55E-4</v>
      </c>
      <c r="E19" s="278">
        <f>VLOOKUP($B19,RBC!$B$5:$J$269,3,FALSE)</f>
        <v>0.45</v>
      </c>
      <c r="F19" s="530">
        <f t="shared" si="8"/>
        <v>3.4444444444444442E-4</v>
      </c>
      <c r="G19" s="278">
        <f>VLOOKUP($B19,RBC!$B$5:$J$269,4,FALSE)</f>
        <v>140</v>
      </c>
      <c r="H19" s="531">
        <f t="shared" si="7"/>
        <v>1.1071428571428571E-6</v>
      </c>
      <c r="I19" s="190">
        <v>7.75E-5</v>
      </c>
      <c r="J19" s="278">
        <f>VLOOKUP($B19,RBC!$B$5:$J$269,5,FALSE)</f>
        <v>12</v>
      </c>
      <c r="K19" s="530">
        <f t="shared" si="2"/>
        <v>6.458333333333333E-6</v>
      </c>
      <c r="L19" s="278">
        <f>VLOOKUP($B19,RBC!$B$5:$J$269,6,FALSE)</f>
        <v>620</v>
      </c>
      <c r="M19" s="531">
        <f t="shared" si="3"/>
        <v>1.2499999999999999E-7</v>
      </c>
      <c r="N19" s="190">
        <v>2.5833333333333334E-4</v>
      </c>
      <c r="O19" s="278">
        <f>VLOOKUP($B19,RBC!$B$5:$J$269,7,FALSE)</f>
        <v>5.5</v>
      </c>
      <c r="P19" s="530">
        <f t="shared" si="4"/>
        <v>4.6969696969696973E-5</v>
      </c>
      <c r="Q19" s="278">
        <f>VLOOKUP($B19,RBC!$B$5:$J$269,8,FALSE)</f>
        <v>620</v>
      </c>
      <c r="R19" s="531">
        <f t="shared" si="5"/>
        <v>4.1666666666666667E-7</v>
      </c>
      <c r="S19" s="190">
        <v>5.1666666666666668E-4</v>
      </c>
      <c r="T19" s="278">
        <f>VLOOKUP($B19,RBC!$B$5:$J$269,9,FALSE)</f>
        <v>470</v>
      </c>
      <c r="U19" s="531">
        <f t="shared" si="6"/>
        <v>1.0992907801418439E-6</v>
      </c>
    </row>
    <row r="20" spans="1:21">
      <c r="A20" s="682"/>
      <c r="B20" s="34" t="s">
        <v>99</v>
      </c>
      <c r="C20" s="45" t="s">
        <v>11</v>
      </c>
      <c r="D20" s="185">
        <v>1.35E-4</v>
      </c>
      <c r="E20" s="278" t="str">
        <f>VLOOKUP($B20,RBC!$B$5:$J$269,3,FALSE)</f>
        <v>--</v>
      </c>
      <c r="F20" s="530" t="str">
        <f t="shared" si="8"/>
        <v>--</v>
      </c>
      <c r="G20" s="278">
        <f>VLOOKUP($B20,RBC!$B$5:$J$269,4,FALSE)</f>
        <v>0.35</v>
      </c>
      <c r="H20" s="531">
        <f t="shared" si="7"/>
        <v>3.8571428571428573E-4</v>
      </c>
      <c r="I20" s="190">
        <v>6.7500000000000001E-5</v>
      </c>
      <c r="J20" s="278" t="str">
        <f>VLOOKUP($B20,RBC!$B$5:$J$269,5,FALSE)</f>
        <v>--</v>
      </c>
      <c r="K20" s="530" t="str">
        <f t="shared" si="2"/>
        <v>--</v>
      </c>
      <c r="L20" s="278">
        <f>VLOOKUP($B20,RBC!$B$5:$J$269,6,FALSE)</f>
        <v>1.5</v>
      </c>
      <c r="M20" s="531">
        <f t="shared" si="3"/>
        <v>4.5000000000000003E-5</v>
      </c>
      <c r="N20" s="190">
        <v>2.2500000000000002E-4</v>
      </c>
      <c r="O20" s="278" t="str">
        <f>VLOOKUP($B20,RBC!$B$5:$J$269,7,FALSE)</f>
        <v>--</v>
      </c>
      <c r="P20" s="530" t="str">
        <f t="shared" si="4"/>
        <v>--</v>
      </c>
      <c r="Q20" s="278">
        <f>VLOOKUP($B20,RBC!$B$5:$J$269,8,FALSE)</f>
        <v>1.5</v>
      </c>
      <c r="R20" s="531">
        <f t="shared" si="5"/>
        <v>1.5000000000000001E-4</v>
      </c>
      <c r="S20" s="190">
        <v>4.5000000000000004E-4</v>
      </c>
      <c r="T20" s="278">
        <f>VLOOKUP($B20,RBC!$B$5:$J$269,9,FALSE)</f>
        <v>6.9</v>
      </c>
      <c r="U20" s="531">
        <f t="shared" si="6"/>
        <v>6.5217391304347834E-5</v>
      </c>
    </row>
    <row r="21" spans="1:21">
      <c r="A21" s="682"/>
      <c r="B21" s="34" t="s">
        <v>112</v>
      </c>
      <c r="C21" s="45" t="s">
        <v>113</v>
      </c>
      <c r="D21" s="185">
        <v>0.9</v>
      </c>
      <c r="E21" s="278" t="str">
        <f>VLOOKUP($B21,RBC!$B$5:$J$269,3,FALSE)</f>
        <v>--</v>
      </c>
      <c r="F21" s="530" t="str">
        <f t="shared" si="8"/>
        <v>--</v>
      </c>
      <c r="G21" s="278">
        <f>VLOOKUP($B21,RBC!$B$5:$J$269,4,FALSE)</f>
        <v>500</v>
      </c>
      <c r="H21" s="531">
        <f t="shared" si="7"/>
        <v>1.8E-3</v>
      </c>
      <c r="I21" s="190">
        <v>0.45</v>
      </c>
      <c r="J21" s="278" t="str">
        <f>VLOOKUP($B21,RBC!$B$5:$J$269,5,FALSE)</f>
        <v>--</v>
      </c>
      <c r="K21" s="530" t="str">
        <f t="shared" si="2"/>
        <v>--</v>
      </c>
      <c r="L21" s="278">
        <f>VLOOKUP($B21,RBC!$B$5:$J$269,6,FALSE)</f>
        <v>2200</v>
      </c>
      <c r="M21" s="531">
        <f t="shared" si="3"/>
        <v>2.0454545454545454E-4</v>
      </c>
      <c r="N21" s="190">
        <v>1.5</v>
      </c>
      <c r="O21" s="278" t="str">
        <f>VLOOKUP($B21,RBC!$B$5:$J$269,7,FALSE)</f>
        <v>--</v>
      </c>
      <c r="P21" s="530" t="str">
        <f t="shared" si="4"/>
        <v>--</v>
      </c>
      <c r="Q21" s="278">
        <f>VLOOKUP($B21,RBC!$B$5:$J$269,8,FALSE)</f>
        <v>2200</v>
      </c>
      <c r="R21" s="531">
        <f t="shared" si="5"/>
        <v>6.8181818181818187E-4</v>
      </c>
      <c r="S21" s="190">
        <v>3</v>
      </c>
      <c r="T21" s="278">
        <f>VLOOKUP($B21,RBC!$B$5:$J$269,9,FALSE)</f>
        <v>1200</v>
      </c>
      <c r="U21" s="531">
        <f t="shared" si="6"/>
        <v>2.5000000000000001E-3</v>
      </c>
    </row>
    <row r="22" spans="1:21">
      <c r="A22" s="682"/>
      <c r="B22" s="34" t="s">
        <v>120</v>
      </c>
      <c r="C22" s="45" t="s">
        <v>121</v>
      </c>
      <c r="D22" s="185">
        <v>1.0000000000000001E-5</v>
      </c>
      <c r="E22" s="278">
        <f>VLOOKUP($B22,RBC!$B$5:$J$269,3,FALSE)</f>
        <v>2.4000000000000001E-5</v>
      </c>
      <c r="F22" s="530">
        <f t="shared" si="8"/>
        <v>0.41666666666666669</v>
      </c>
      <c r="G22" s="278">
        <f>VLOOKUP($B22,RBC!$B$5:$J$269,4,FALSE)</f>
        <v>1.7000000000000001E-4</v>
      </c>
      <c r="H22" s="531">
        <f t="shared" si="7"/>
        <v>5.8823529411764705E-2</v>
      </c>
      <c r="I22" s="190">
        <v>5.0000000000000004E-6</v>
      </c>
      <c r="J22" s="278">
        <f>VLOOKUP($B22,RBC!$B$5:$J$269,5,FALSE)</f>
        <v>1.2999999999999999E-3</v>
      </c>
      <c r="K22" s="530">
        <f t="shared" si="2"/>
        <v>3.8461538461538468E-3</v>
      </c>
      <c r="L22" s="278">
        <f>VLOOKUP($B22,RBC!$B$5:$J$269,6,FALSE)</f>
        <v>2.3999999999999998E-3</v>
      </c>
      <c r="M22" s="531">
        <f t="shared" si="3"/>
        <v>2.0833333333333337E-3</v>
      </c>
      <c r="N22" s="190">
        <v>1.6666666666666667E-5</v>
      </c>
      <c r="O22" s="278">
        <f>VLOOKUP($B22,RBC!$B$5:$J$269,7,FALSE)</f>
        <v>6.2E-4</v>
      </c>
      <c r="P22" s="530">
        <f t="shared" si="4"/>
        <v>2.6881720430107527E-2</v>
      </c>
      <c r="Q22" s="278">
        <f>VLOOKUP($B22,RBC!$B$5:$J$269,8,FALSE)</f>
        <v>2.3999999999999998E-3</v>
      </c>
      <c r="R22" s="531">
        <f t="shared" si="5"/>
        <v>6.9444444444444458E-3</v>
      </c>
      <c r="S22" s="190">
        <v>3.3333333333333335E-5</v>
      </c>
      <c r="T22" s="278">
        <f>VLOOKUP($B22,RBC!$B$5:$J$269,9,FALSE)</f>
        <v>0.2</v>
      </c>
      <c r="U22" s="531">
        <f t="shared" si="6"/>
        <v>1.6666666666666666E-4</v>
      </c>
    </row>
    <row r="23" spans="1:21">
      <c r="A23" s="682"/>
      <c r="B23" s="34" t="s">
        <v>134</v>
      </c>
      <c r="C23" s="45" t="s">
        <v>135</v>
      </c>
      <c r="D23" s="185">
        <v>5.9999999999999997E-7</v>
      </c>
      <c r="E23" s="278">
        <f>VLOOKUP($B23,RBC!$B$5:$J$269,3,FALSE)</f>
        <v>4.2000000000000002E-4</v>
      </c>
      <c r="F23" s="530">
        <f t="shared" si="8"/>
        <v>1.4285714285714284E-3</v>
      </c>
      <c r="G23" s="278">
        <f>VLOOKUP($B23,RBC!$B$5:$J$269,4,FALSE)</f>
        <v>7.0000000000000001E-3</v>
      </c>
      <c r="H23" s="531">
        <f t="shared" si="7"/>
        <v>8.5714285714285713E-5</v>
      </c>
      <c r="I23" s="190">
        <v>2.9999999999999999E-7</v>
      </c>
      <c r="J23" s="278">
        <f>VLOOKUP($B23,RBC!$B$5:$J$269,5,FALSE)</f>
        <v>1.0999999999999999E-2</v>
      </c>
      <c r="K23" s="530">
        <f t="shared" si="2"/>
        <v>2.7272727272727273E-5</v>
      </c>
      <c r="L23" s="278">
        <f>VLOOKUP($B23,RBC!$B$5:$J$269,6,FALSE)</f>
        <v>3.1E-2</v>
      </c>
      <c r="M23" s="531">
        <f t="shared" si="3"/>
        <v>9.6774193548387087E-6</v>
      </c>
      <c r="N23" s="190">
        <v>9.9999999999999995E-7</v>
      </c>
      <c r="O23" s="278">
        <f>VLOOKUP($B23,RBC!$B$5:$J$269,7,FALSE)</f>
        <v>5.0000000000000001E-3</v>
      </c>
      <c r="P23" s="530">
        <f t="shared" si="4"/>
        <v>1.9999999999999998E-4</v>
      </c>
      <c r="Q23" s="278">
        <f>VLOOKUP($B23,RBC!$B$5:$J$269,8,FALSE)</f>
        <v>3.1E-2</v>
      </c>
      <c r="R23" s="531">
        <f t="shared" si="5"/>
        <v>3.2258064516129034E-5</v>
      </c>
      <c r="S23" s="190">
        <v>1.9999999999999999E-6</v>
      </c>
      <c r="T23" s="278">
        <f>VLOOKUP($B23,RBC!$B$5:$J$269,9,FALSE)</f>
        <v>0.02</v>
      </c>
      <c r="U23" s="531">
        <f t="shared" si="6"/>
        <v>9.9999999999999991E-5</v>
      </c>
    </row>
    <row r="24" spans="1:21">
      <c r="A24" s="682"/>
      <c r="B24" s="34" t="s">
        <v>153</v>
      </c>
      <c r="C24" s="45" t="s">
        <v>35</v>
      </c>
      <c r="D24" s="185">
        <v>5.5000000000000002E-5</v>
      </c>
      <c r="E24" s="278">
        <f>VLOOKUP($B24,RBC!$B$5:$J$269,3,FALSE)</f>
        <v>5.5999999999999995E-4</v>
      </c>
      <c r="F24" s="530">
        <f t="shared" si="8"/>
        <v>9.8214285714285726E-2</v>
      </c>
      <c r="G24" s="278">
        <f>VLOOKUP($B24,RBC!$B$5:$J$269,4,FALSE)</f>
        <v>5.0000000000000001E-3</v>
      </c>
      <c r="H24" s="531">
        <f t="shared" si="7"/>
        <v>1.0999999999999999E-2</v>
      </c>
      <c r="I24" s="190">
        <v>2.7500000000000001E-5</v>
      </c>
      <c r="J24" s="278">
        <f>VLOOKUP($B24,RBC!$B$5:$J$269,5,FALSE)</f>
        <v>1.4E-2</v>
      </c>
      <c r="K24" s="530">
        <f t="shared" si="2"/>
        <v>1.9642857142857144E-3</v>
      </c>
      <c r="L24" s="278">
        <f>VLOOKUP($B24,RBC!$B$5:$J$269,6,FALSE)</f>
        <v>3.6999999999999998E-2</v>
      </c>
      <c r="M24" s="531">
        <f t="shared" si="3"/>
        <v>7.4324324324324335E-4</v>
      </c>
      <c r="N24" s="190">
        <v>9.1666666666666668E-5</v>
      </c>
      <c r="O24" s="278">
        <f>VLOOKUP($B24,RBC!$B$5:$J$269,7,FALSE)</f>
        <v>6.7000000000000002E-3</v>
      </c>
      <c r="P24" s="530">
        <f t="shared" si="4"/>
        <v>1.3681592039800995E-2</v>
      </c>
      <c r="Q24" s="278">
        <f>VLOOKUP($B24,RBC!$B$5:$J$269,8,FALSE)</f>
        <v>3.6999999999999998E-2</v>
      </c>
      <c r="R24" s="531">
        <f t="shared" si="5"/>
        <v>2.4774774774774778E-3</v>
      </c>
      <c r="S24" s="190">
        <v>1.8333333333333334E-4</v>
      </c>
      <c r="T24" s="278">
        <f>VLOOKUP($B24,RBC!$B$5:$J$269,9,FALSE)</f>
        <v>0.03</v>
      </c>
      <c r="U24" s="531">
        <f t="shared" si="6"/>
        <v>6.1111111111111114E-3</v>
      </c>
    </row>
    <row r="25" spans="1:21">
      <c r="A25" s="682"/>
      <c r="B25" s="34" t="s">
        <v>192</v>
      </c>
      <c r="C25" s="45" t="s">
        <v>36</v>
      </c>
      <c r="D25" s="185">
        <v>6.9999999999999994E-5</v>
      </c>
      <c r="E25" s="278">
        <f>VLOOKUP($B25,RBC!$B$5:$J$269,3,FALSE)</f>
        <v>3.1000000000000001E-5</v>
      </c>
      <c r="F25" s="530">
        <f t="shared" si="8"/>
        <v>2.258064516129032</v>
      </c>
      <c r="G25" s="278">
        <f>VLOOKUP($B25,RBC!$B$5:$J$269,4,FALSE)</f>
        <v>8.3000000000000004E-2</v>
      </c>
      <c r="H25" s="531">
        <f t="shared" si="7"/>
        <v>8.4337349397590349E-4</v>
      </c>
      <c r="I25" s="190">
        <v>3.4999999999999997E-5</v>
      </c>
      <c r="J25" s="278">
        <f>VLOOKUP($B25,RBC!$B$5:$J$269,5,FALSE)</f>
        <v>5.1999999999999995E-4</v>
      </c>
      <c r="K25" s="530">
        <f t="shared" si="2"/>
        <v>6.7307692307692304E-2</v>
      </c>
      <c r="L25" s="278">
        <f>VLOOKUP($B25,RBC!$B$5:$J$269,6,FALSE)</f>
        <v>0.88</v>
      </c>
      <c r="M25" s="531">
        <f t="shared" si="3"/>
        <v>3.9772727272727269E-5</v>
      </c>
      <c r="N25" s="190">
        <v>1.1666666666666667E-4</v>
      </c>
      <c r="O25" s="278">
        <f>VLOOKUP($B25,RBC!$B$5:$J$269,7,FALSE)</f>
        <v>1E-3</v>
      </c>
      <c r="P25" s="530">
        <f t="shared" si="4"/>
        <v>0.11666666666666667</v>
      </c>
      <c r="Q25" s="278">
        <f>VLOOKUP($B25,RBC!$B$5:$J$269,8,FALSE)</f>
        <v>0.88</v>
      </c>
      <c r="R25" s="531">
        <f t="shared" si="5"/>
        <v>1.3257575757575756E-4</v>
      </c>
      <c r="S25" s="190">
        <v>2.3333333333333333E-4</v>
      </c>
      <c r="T25" s="278">
        <f>VLOOKUP($B25,RBC!$B$5:$J$269,9,FALSE)</f>
        <v>0.3</v>
      </c>
      <c r="U25" s="531">
        <f t="shared" si="6"/>
        <v>7.7777777777777784E-4</v>
      </c>
    </row>
    <row r="26" spans="1:21">
      <c r="A26" s="682"/>
      <c r="B26" s="34" t="s">
        <v>196</v>
      </c>
      <c r="C26" s="45" t="s">
        <v>197</v>
      </c>
      <c r="D26" s="185">
        <v>4.1999999999999996E-6</v>
      </c>
      <c r="E26" s="278" t="str">
        <f>VLOOKUP($B26,RBC!$B$5:$J$269,3,FALSE)</f>
        <v>--</v>
      </c>
      <c r="F26" s="530" t="str">
        <f t="shared" si="8"/>
        <v>--</v>
      </c>
      <c r="G26" s="278">
        <f>VLOOKUP($B26,RBC!$B$5:$J$269,4,FALSE)</f>
        <v>0.1</v>
      </c>
      <c r="H26" s="531">
        <f t="shared" si="7"/>
        <v>4.1999999999999991E-5</v>
      </c>
      <c r="I26" s="190">
        <v>2.0999999999999998E-6</v>
      </c>
      <c r="J26" s="278" t="str">
        <f>VLOOKUP($B26,RBC!$B$5:$J$269,5,FALSE)</f>
        <v>--</v>
      </c>
      <c r="K26" s="530" t="str">
        <f t="shared" si="2"/>
        <v>--</v>
      </c>
      <c r="L26" s="278">
        <f>VLOOKUP($B26,RBC!$B$5:$J$269,6,FALSE)</f>
        <v>0.44</v>
      </c>
      <c r="M26" s="531">
        <f t="shared" si="3"/>
        <v>4.7727272727272725E-6</v>
      </c>
      <c r="N26" s="190">
        <v>6.9999999999999999E-6</v>
      </c>
      <c r="O26" s="278" t="str">
        <f>VLOOKUP($B26,RBC!$B$5:$J$269,7,FALSE)</f>
        <v>--</v>
      </c>
      <c r="P26" s="530" t="str">
        <f t="shared" si="4"/>
        <v>--</v>
      </c>
      <c r="Q26" s="278">
        <f>VLOOKUP($B26,RBC!$B$5:$J$269,8,FALSE)</f>
        <v>0.44</v>
      </c>
      <c r="R26" s="531">
        <f t="shared" si="5"/>
        <v>1.590909090909091E-5</v>
      </c>
      <c r="S26" s="190">
        <v>1.4E-5</v>
      </c>
      <c r="T26" s="278" t="str">
        <f>VLOOKUP($B26,RBC!$B$5:$J$269,9,FALSE)</f>
        <v>--</v>
      </c>
      <c r="U26" s="531" t="str">
        <f t="shared" si="6"/>
        <v>--</v>
      </c>
    </row>
    <row r="27" spans="1:21">
      <c r="A27" s="682"/>
      <c r="B27" s="34" t="s">
        <v>200</v>
      </c>
      <c r="C27" s="45" t="s">
        <v>201</v>
      </c>
      <c r="D27" s="185">
        <v>4.2499999999999996E-5</v>
      </c>
      <c r="E27" s="278" t="str">
        <f>VLOOKUP($B27,RBC!$B$5:$J$269,3,FALSE)</f>
        <v>--</v>
      </c>
      <c r="F27" s="530" t="str">
        <f t="shared" si="8"/>
        <v>--</v>
      </c>
      <c r="G27" s="278" t="str">
        <f>VLOOKUP($B27,RBC!$B$5:$J$269,4,FALSE)</f>
        <v>--</v>
      </c>
      <c r="H27" s="531" t="str">
        <f t="shared" si="7"/>
        <v>--</v>
      </c>
      <c r="I27" s="190">
        <v>2.1249999999999998E-5</v>
      </c>
      <c r="J27" s="278" t="str">
        <f>VLOOKUP($B27,RBC!$B$5:$J$269,5,FALSE)</f>
        <v>--</v>
      </c>
      <c r="K27" s="530" t="str">
        <f t="shared" si="2"/>
        <v>--</v>
      </c>
      <c r="L27" s="278" t="str">
        <f>VLOOKUP($B27,RBC!$B$5:$J$269,6,FALSE)</f>
        <v>--</v>
      </c>
      <c r="M27" s="531" t="str">
        <f t="shared" si="3"/>
        <v>--</v>
      </c>
      <c r="N27" s="190">
        <v>7.0833333333333325E-5</v>
      </c>
      <c r="O27" s="278" t="str">
        <f>VLOOKUP($B27,RBC!$B$5:$J$269,7,FALSE)</f>
        <v>--</v>
      </c>
      <c r="P27" s="530" t="str">
        <f t="shared" si="4"/>
        <v>--</v>
      </c>
      <c r="Q27" s="278" t="str">
        <f>VLOOKUP($B27,RBC!$B$5:$J$269,8,FALSE)</f>
        <v>--</v>
      </c>
      <c r="R27" s="531" t="str">
        <f t="shared" si="5"/>
        <v>--</v>
      </c>
      <c r="S27" s="190">
        <v>1.4166666666666665E-4</v>
      </c>
      <c r="T27" s="278">
        <f>VLOOKUP($B27,RBC!$B$5:$J$269,9,FALSE)</f>
        <v>100</v>
      </c>
      <c r="U27" s="531">
        <f t="shared" si="6"/>
        <v>1.4166666666666665E-6</v>
      </c>
    </row>
    <row r="28" spans="1:21">
      <c r="A28" s="682"/>
      <c r="B28" s="34" t="s">
        <v>275</v>
      </c>
      <c r="C28" s="45" t="s">
        <v>651</v>
      </c>
      <c r="D28" s="185">
        <v>3.4499999999999998E-4</v>
      </c>
      <c r="E28" s="278">
        <f>VLOOKUP($B28,RBC!$B$5:$J$269,3,FALSE)</f>
        <v>0.4</v>
      </c>
      <c r="F28" s="530">
        <f t="shared" si="8"/>
        <v>8.6249999999999988E-4</v>
      </c>
      <c r="G28" s="278">
        <f>VLOOKUP($B28,RBC!$B$5:$J$269,4,FALSE)</f>
        <v>260</v>
      </c>
      <c r="H28" s="531">
        <f t="shared" si="7"/>
        <v>1.3269230769230768E-6</v>
      </c>
      <c r="I28" s="190">
        <v>1.7249999999999999E-4</v>
      </c>
      <c r="J28" s="278">
        <f>VLOOKUP($B28,RBC!$B$5:$J$269,5,FALSE)</f>
        <v>10</v>
      </c>
      <c r="K28" s="530">
        <f t="shared" si="2"/>
        <v>1.7249999999999999E-5</v>
      </c>
      <c r="L28" s="278">
        <f>VLOOKUP($B28,RBC!$B$5:$J$269,6,FALSE)</f>
        <v>1100</v>
      </c>
      <c r="M28" s="531">
        <f t="shared" si="3"/>
        <v>1.568181818181818E-7</v>
      </c>
      <c r="N28" s="190">
        <v>5.7499999999999999E-4</v>
      </c>
      <c r="O28" s="278">
        <f>VLOOKUP($B28,RBC!$B$5:$J$269,7,FALSE)</f>
        <v>4.8</v>
      </c>
      <c r="P28" s="530">
        <f t="shared" si="4"/>
        <v>1.1979166666666667E-4</v>
      </c>
      <c r="Q28" s="278">
        <f>VLOOKUP($B28,RBC!$B$5:$J$269,8,FALSE)</f>
        <v>1100</v>
      </c>
      <c r="R28" s="531">
        <f t="shared" si="5"/>
        <v>5.2272727272727268E-7</v>
      </c>
      <c r="S28" s="190">
        <v>1.15E-3</v>
      </c>
      <c r="T28" s="370">
        <f>VLOOKUP($B28,RBC!$B$5:$J$269,9,FALSE)</f>
        <v>22000</v>
      </c>
      <c r="U28" s="531">
        <f t="shared" si="6"/>
        <v>5.2272727272727275E-8</v>
      </c>
    </row>
    <row r="29" spans="1:21">
      <c r="A29" s="682"/>
      <c r="B29" s="34" t="s">
        <v>327</v>
      </c>
      <c r="C29" s="45" t="s">
        <v>328</v>
      </c>
      <c r="D29" s="185">
        <v>2.3000000000000001E-4</v>
      </c>
      <c r="E29" s="278" t="str">
        <f>VLOOKUP($B29,RBC!$B$5:$J$269,3,FALSE)</f>
        <v>--</v>
      </c>
      <c r="F29" s="530" t="str">
        <f t="shared" si="8"/>
        <v>--</v>
      </c>
      <c r="G29" s="278">
        <f>VLOOKUP($B29,RBC!$B$5:$J$269,4,FALSE)</f>
        <v>700</v>
      </c>
      <c r="H29" s="531">
        <f t="shared" si="7"/>
        <v>3.2857142857142857E-7</v>
      </c>
      <c r="I29" s="190">
        <v>1.15E-4</v>
      </c>
      <c r="J29" s="278" t="str">
        <f>VLOOKUP($B29,RBC!$B$5:$J$269,5,FALSE)</f>
        <v>--</v>
      </c>
      <c r="K29" s="530" t="str">
        <f t="shared" si="2"/>
        <v>--</v>
      </c>
      <c r="L29" s="278">
        <f>VLOOKUP($B29,RBC!$B$5:$J$269,6,FALSE)</f>
        <v>3100</v>
      </c>
      <c r="M29" s="531">
        <f t="shared" si="3"/>
        <v>3.709677419354839E-8</v>
      </c>
      <c r="N29" s="190">
        <v>3.8333333333333334E-4</v>
      </c>
      <c r="O29" s="278" t="str">
        <f>VLOOKUP($B29,RBC!$B$5:$J$269,7,FALSE)</f>
        <v>--</v>
      </c>
      <c r="P29" s="530" t="str">
        <f t="shared" si="4"/>
        <v>--</v>
      </c>
      <c r="Q29" s="278">
        <f>VLOOKUP($B29,RBC!$B$5:$J$269,8,FALSE)</f>
        <v>3100</v>
      </c>
      <c r="R29" s="531">
        <f t="shared" si="5"/>
        <v>1.2365591397849464E-7</v>
      </c>
      <c r="S29" s="190">
        <v>7.6666666666666669E-4</v>
      </c>
      <c r="T29" s="278" t="str">
        <f>VLOOKUP($B29,RBC!$B$5:$J$269,9,FALSE)</f>
        <v>--</v>
      </c>
      <c r="U29" s="531" t="str">
        <f t="shared" si="6"/>
        <v>--</v>
      </c>
    </row>
    <row r="30" spans="1:21">
      <c r="A30" s="682"/>
      <c r="B30" s="34" t="s">
        <v>342</v>
      </c>
      <c r="C30" s="45" t="s">
        <v>343</v>
      </c>
      <c r="D30" s="185">
        <v>2.5000000000000001E-5</v>
      </c>
      <c r="E30" s="278" t="str">
        <f>VLOOKUP($B30,RBC!$B$5:$J$269,3,FALSE)</f>
        <v>--</v>
      </c>
      <c r="F30" s="530" t="str">
        <f t="shared" si="8"/>
        <v>--</v>
      </c>
      <c r="G30" s="278">
        <f>VLOOKUP($B30,RBC!$B$5:$J$269,4,FALSE)</f>
        <v>0.15</v>
      </c>
      <c r="H30" s="531">
        <f t="shared" si="7"/>
        <v>1.6666666666666669E-4</v>
      </c>
      <c r="I30" s="190">
        <v>1.2500000000000001E-5</v>
      </c>
      <c r="J30" s="278" t="str">
        <f>VLOOKUP($B30,RBC!$B$5:$J$269,5,FALSE)</f>
        <v>--</v>
      </c>
      <c r="K30" s="530" t="str">
        <f t="shared" si="2"/>
        <v>--</v>
      </c>
      <c r="L30" s="278">
        <f>VLOOKUP($B30,RBC!$B$5:$J$269,6,FALSE)</f>
        <v>0.66</v>
      </c>
      <c r="M30" s="531">
        <f t="shared" si="3"/>
        <v>1.8939393939393939E-5</v>
      </c>
      <c r="N30" s="190">
        <v>4.1666666666666665E-5</v>
      </c>
      <c r="O30" s="278" t="str">
        <f>VLOOKUP($B30,RBC!$B$5:$J$269,7,FALSE)</f>
        <v>--</v>
      </c>
      <c r="P30" s="530" t="str">
        <f t="shared" si="4"/>
        <v>--</v>
      </c>
      <c r="Q30" s="278">
        <f>VLOOKUP($B30,RBC!$B$5:$J$269,8,FALSE)</f>
        <v>0.66</v>
      </c>
      <c r="R30" s="531">
        <f t="shared" si="5"/>
        <v>6.3131313131313131E-5</v>
      </c>
      <c r="S30" s="190">
        <v>8.3333333333333331E-5</v>
      </c>
      <c r="T30" s="278">
        <f>VLOOKUP($B30,RBC!$B$5:$J$269,9,FALSE)</f>
        <v>0.15</v>
      </c>
      <c r="U30" s="531">
        <f t="shared" si="6"/>
        <v>5.5555555555555556E-4</v>
      </c>
    </row>
    <row r="31" spans="1:21">
      <c r="A31" s="682"/>
      <c r="B31" s="34" t="s">
        <v>346</v>
      </c>
      <c r="C31" s="45" t="s">
        <v>347</v>
      </c>
      <c r="D31" s="185">
        <v>1.9000000000000001E-5</v>
      </c>
      <c r="E31" s="278" t="str">
        <f>VLOOKUP($B31,RBC!$B$5:$J$269,3,FALSE)</f>
        <v>--</v>
      </c>
      <c r="F31" s="530" t="str">
        <f t="shared" si="8"/>
        <v>--</v>
      </c>
      <c r="G31" s="278">
        <f>VLOOKUP($B31,RBC!$B$5:$J$269,4,FALSE)</f>
        <v>0.09</v>
      </c>
      <c r="H31" s="531">
        <f t="shared" si="7"/>
        <v>2.1111111111111113E-4</v>
      </c>
      <c r="I31" s="190">
        <v>9.5000000000000005E-6</v>
      </c>
      <c r="J31" s="278" t="str">
        <f>VLOOKUP($B31,RBC!$B$5:$J$269,5,FALSE)</f>
        <v>--</v>
      </c>
      <c r="K31" s="530" t="str">
        <f t="shared" si="2"/>
        <v>--</v>
      </c>
      <c r="L31" s="278">
        <f>VLOOKUP($B31,RBC!$B$5:$J$269,6,FALSE)</f>
        <v>0.4</v>
      </c>
      <c r="M31" s="531">
        <f t="shared" si="3"/>
        <v>2.3750000000000001E-5</v>
      </c>
      <c r="N31" s="190">
        <v>3.1666666666666666E-5</v>
      </c>
      <c r="O31" s="278" t="str">
        <f>VLOOKUP($B31,RBC!$B$5:$J$269,7,FALSE)</f>
        <v>--</v>
      </c>
      <c r="P31" s="530" t="str">
        <f t="shared" si="4"/>
        <v>--</v>
      </c>
      <c r="Q31" s="278">
        <f>VLOOKUP($B31,RBC!$B$5:$J$269,8,FALSE)</f>
        <v>0.4</v>
      </c>
      <c r="R31" s="531">
        <f t="shared" si="5"/>
        <v>7.9166666666666662E-5</v>
      </c>
      <c r="S31" s="190">
        <v>6.3333333333333332E-5</v>
      </c>
      <c r="T31" s="278">
        <f>VLOOKUP($B31,RBC!$B$5:$J$269,9,FALSE)</f>
        <v>0.3</v>
      </c>
      <c r="U31" s="531">
        <f t="shared" si="6"/>
        <v>2.1111111111111111E-4</v>
      </c>
    </row>
    <row r="32" spans="1:21">
      <c r="A32" s="682"/>
      <c r="B32" s="34" t="s">
        <v>348</v>
      </c>
      <c r="C32" s="45" t="s">
        <v>349</v>
      </c>
      <c r="D32" s="185">
        <v>1.2999999999999999E-5</v>
      </c>
      <c r="E32" s="278" t="str">
        <f>VLOOKUP($B32,RBC!$B$5:$J$269,3,FALSE)</f>
        <v>--</v>
      </c>
      <c r="F32" s="530" t="str">
        <f t="shared" si="8"/>
        <v>--</v>
      </c>
      <c r="G32" s="278">
        <f>VLOOKUP($B32,RBC!$B$5:$J$269,4,FALSE)</f>
        <v>7.6999999999999999E-2</v>
      </c>
      <c r="H32" s="531">
        <f t="shared" si="7"/>
        <v>1.6883116883116884E-4</v>
      </c>
      <c r="I32" s="190">
        <v>6.4999999999999996E-6</v>
      </c>
      <c r="J32" s="278" t="str">
        <f>VLOOKUP($B32,RBC!$B$5:$J$269,5,FALSE)</f>
        <v>--</v>
      </c>
      <c r="K32" s="530" t="str">
        <f t="shared" si="2"/>
        <v>--</v>
      </c>
      <c r="L32" s="278">
        <f>VLOOKUP($B32,RBC!$B$5:$J$269,6,FALSE)</f>
        <v>0.63</v>
      </c>
      <c r="M32" s="531">
        <f t="shared" si="3"/>
        <v>1.0317460317460317E-5</v>
      </c>
      <c r="N32" s="190">
        <v>2.1666666666666664E-5</v>
      </c>
      <c r="O32" s="278" t="str">
        <f>VLOOKUP($B32,RBC!$B$5:$J$269,7,FALSE)</f>
        <v>--</v>
      </c>
      <c r="P32" s="530" t="str">
        <f t="shared" si="4"/>
        <v>--</v>
      </c>
      <c r="Q32" s="278">
        <f>VLOOKUP($B32,RBC!$B$5:$J$269,8,FALSE)</f>
        <v>0.63</v>
      </c>
      <c r="R32" s="531">
        <f t="shared" si="5"/>
        <v>3.4391534391534384E-5</v>
      </c>
      <c r="S32" s="190">
        <v>4.3333333333333327E-5</v>
      </c>
      <c r="T32" s="278">
        <f>VLOOKUP($B32,RBC!$B$5:$J$269,9,FALSE)</f>
        <v>0.6</v>
      </c>
      <c r="U32" s="531">
        <f t="shared" si="6"/>
        <v>7.2222222222222219E-5</v>
      </c>
    </row>
    <row r="33" spans="1:21">
      <c r="A33" s="682"/>
      <c r="B33" s="34" t="s">
        <v>370</v>
      </c>
      <c r="C33" s="45" t="s">
        <v>652</v>
      </c>
      <c r="D33" s="185">
        <v>1.0499999999999999E-4</v>
      </c>
      <c r="E33" s="278">
        <f>VLOOKUP($B33,RBC!$B$5:$J$269,3,FALSE)</f>
        <v>3.8E-3</v>
      </c>
      <c r="F33" s="530">
        <f t="shared" si="8"/>
        <v>2.763157894736842E-2</v>
      </c>
      <c r="G33" s="278">
        <f>VLOOKUP($B33,RBC!$B$5:$J$269,4,FALSE)</f>
        <v>1.4E-2</v>
      </c>
      <c r="H33" s="531">
        <f t="shared" si="7"/>
        <v>7.4999999999999989E-3</v>
      </c>
      <c r="I33" s="190">
        <v>5.2499999999999995E-5</v>
      </c>
      <c r="J33" s="278">
        <f>VLOOKUP($B33,RBC!$B$5:$J$269,5,FALSE)</f>
        <v>0.1</v>
      </c>
      <c r="K33" s="530">
        <f t="shared" si="2"/>
        <v>5.2499999999999997E-4</v>
      </c>
      <c r="L33" s="278">
        <f>VLOOKUP($B33,RBC!$B$5:$J$269,6,FALSE)</f>
        <v>6.2E-2</v>
      </c>
      <c r="M33" s="531">
        <f t="shared" si="3"/>
        <v>8.4677419354838707E-4</v>
      </c>
      <c r="N33" s="190">
        <v>1.75E-4</v>
      </c>
      <c r="O33" s="278">
        <f>VLOOKUP($B33,RBC!$B$5:$J$269,7,FALSE)</f>
        <v>4.5999999999999999E-2</v>
      </c>
      <c r="P33" s="530">
        <f t="shared" si="4"/>
        <v>3.8043478260869567E-3</v>
      </c>
      <c r="Q33" s="278">
        <f>VLOOKUP($B33,RBC!$B$5:$J$269,8,FALSE)</f>
        <v>6.2E-2</v>
      </c>
      <c r="R33" s="531">
        <f t="shared" si="5"/>
        <v>2.8225806451612902E-3</v>
      </c>
      <c r="S33" s="190">
        <v>3.5E-4</v>
      </c>
      <c r="T33" s="278">
        <f>VLOOKUP($B33,RBC!$B$5:$J$269,9,FALSE)</f>
        <v>0.2</v>
      </c>
      <c r="U33" s="531">
        <f t="shared" si="6"/>
        <v>1.7499999999999998E-3</v>
      </c>
    </row>
    <row r="34" spans="1:21">
      <c r="A34" s="682"/>
      <c r="B34" s="34" t="s">
        <v>542</v>
      </c>
      <c r="C34" s="45" t="s">
        <v>543</v>
      </c>
      <c r="D34" s="185">
        <v>1.1999999999999999E-6</v>
      </c>
      <c r="E34" s="278" t="str">
        <f>VLOOKUP($B34,RBC!$B$5:$J$269,3,FALSE)</f>
        <v>--</v>
      </c>
      <c r="F34" s="530" t="str">
        <f t="shared" si="8"/>
        <v>--</v>
      </c>
      <c r="G34" s="278" t="str">
        <f>VLOOKUP($B34,RBC!$B$5:$J$269,4,FALSE)</f>
        <v>--</v>
      </c>
      <c r="H34" s="531" t="str">
        <f t="shared" si="7"/>
        <v>--</v>
      </c>
      <c r="I34" s="190">
        <v>5.9999999999999997E-7</v>
      </c>
      <c r="J34" s="278" t="str">
        <f>VLOOKUP($B34,RBC!$B$5:$J$269,5,FALSE)</f>
        <v>--</v>
      </c>
      <c r="K34" s="530" t="str">
        <f t="shared" si="2"/>
        <v>--</v>
      </c>
      <c r="L34" s="278" t="str">
        <f>VLOOKUP($B34,RBC!$B$5:$J$269,6,FALSE)</f>
        <v>--</v>
      </c>
      <c r="M34" s="531" t="str">
        <f t="shared" si="3"/>
        <v>--</v>
      </c>
      <c r="N34" s="190">
        <v>1.9999999999999999E-6</v>
      </c>
      <c r="O34" s="278" t="str">
        <f>VLOOKUP($B34,RBC!$B$5:$J$269,7,FALSE)</f>
        <v>--</v>
      </c>
      <c r="P34" s="530" t="str">
        <f t="shared" si="4"/>
        <v>--</v>
      </c>
      <c r="Q34" s="278" t="str">
        <f>VLOOKUP($B34,RBC!$B$5:$J$269,8,FALSE)</f>
        <v>--</v>
      </c>
      <c r="R34" s="531" t="str">
        <f t="shared" si="5"/>
        <v>--</v>
      </c>
      <c r="S34" s="190">
        <v>3.9999999999999998E-6</v>
      </c>
      <c r="T34" s="278">
        <f>VLOOKUP($B34,RBC!$B$5:$J$269,9,FALSE)</f>
        <v>2</v>
      </c>
      <c r="U34" s="531">
        <f t="shared" si="6"/>
        <v>1.9999999999999999E-6</v>
      </c>
    </row>
    <row r="35" spans="1:21">
      <c r="A35" s="682"/>
      <c r="B35" s="34" t="s">
        <v>567</v>
      </c>
      <c r="C35" s="45" t="s">
        <v>568</v>
      </c>
      <c r="D35" s="185">
        <v>1.325E-3</v>
      </c>
      <c r="E35" s="278" t="str">
        <f>VLOOKUP($B35,RBC!$B$5:$J$269,3,FALSE)</f>
        <v>--</v>
      </c>
      <c r="F35" s="530" t="str">
        <f t="shared" si="8"/>
        <v>--</v>
      </c>
      <c r="G35" s="278">
        <f>VLOOKUP($B35,RBC!$B$5:$J$269,4,FALSE)</f>
        <v>5000</v>
      </c>
      <c r="H35" s="531">
        <f t="shared" si="7"/>
        <v>2.65E-7</v>
      </c>
      <c r="I35" s="190">
        <v>6.625E-4</v>
      </c>
      <c r="J35" s="278" t="str">
        <f>VLOOKUP($B35,RBC!$B$5:$J$269,5,FALSE)</f>
        <v>--</v>
      </c>
      <c r="K35" s="530" t="str">
        <f t="shared" si="2"/>
        <v>--</v>
      </c>
      <c r="L35" s="370">
        <f>VLOOKUP($B35,RBC!$B$5:$J$269,6,FALSE)</f>
        <v>22000</v>
      </c>
      <c r="M35" s="531">
        <f t="shared" si="3"/>
        <v>3.0113636363636363E-8</v>
      </c>
      <c r="N35" s="190">
        <v>2.2083333333333334E-3</v>
      </c>
      <c r="O35" s="278" t="str">
        <f>VLOOKUP($B35,RBC!$B$5:$J$269,7,FALSE)</f>
        <v>--</v>
      </c>
      <c r="P35" s="530" t="str">
        <f t="shared" si="4"/>
        <v>--</v>
      </c>
      <c r="Q35" s="370">
        <f>VLOOKUP($B35,RBC!$B$5:$J$269,8,FALSE)</f>
        <v>22000</v>
      </c>
      <c r="R35" s="531">
        <f t="shared" si="5"/>
        <v>1.0037878787878788E-7</v>
      </c>
      <c r="S35" s="190">
        <v>4.4166666666666668E-3</v>
      </c>
      <c r="T35" s="278">
        <f>VLOOKUP($B35,RBC!$B$5:$J$269,9,FALSE)</f>
        <v>7500</v>
      </c>
      <c r="U35" s="531">
        <f t="shared" si="6"/>
        <v>5.8888888888888889E-7</v>
      </c>
    </row>
    <row r="36" spans="1:21">
      <c r="A36" s="682"/>
      <c r="B36" s="34" t="s">
        <v>593</v>
      </c>
      <c r="C36" s="45" t="s">
        <v>594</v>
      </c>
      <c r="D36" s="185">
        <v>1.15E-4</v>
      </c>
      <c r="E36" s="278" t="str">
        <f>VLOOKUP($B36,RBC!$B$5:$J$269,3,FALSE)</f>
        <v>--</v>
      </c>
      <c r="F36" s="530" t="str">
        <f t="shared" si="8"/>
        <v>--</v>
      </c>
      <c r="G36" s="278">
        <f>VLOOKUP($B36,RBC!$B$5:$J$269,4,FALSE)</f>
        <v>0.1</v>
      </c>
      <c r="H36" s="531">
        <f t="shared" si="7"/>
        <v>1.15E-3</v>
      </c>
      <c r="I36" s="190">
        <v>5.7500000000000002E-5</v>
      </c>
      <c r="J36" s="278" t="str">
        <f>VLOOKUP($B36,RBC!$B$5:$J$269,5,FALSE)</f>
        <v>--</v>
      </c>
      <c r="K36" s="530" t="str">
        <f t="shared" si="2"/>
        <v>--</v>
      </c>
      <c r="L36" s="278">
        <f>VLOOKUP($B36,RBC!$B$5:$J$269,6,FALSE)</f>
        <v>0.44</v>
      </c>
      <c r="M36" s="531">
        <f t="shared" si="3"/>
        <v>1.3068181818181817E-4</v>
      </c>
      <c r="N36" s="190">
        <v>1.9166666666666667E-4</v>
      </c>
      <c r="O36" s="278" t="str">
        <f>VLOOKUP($B36,RBC!$B$5:$J$269,7,FALSE)</f>
        <v>--</v>
      </c>
      <c r="P36" s="530" t="str">
        <f t="shared" si="4"/>
        <v>--</v>
      </c>
      <c r="Q36" s="278">
        <f>VLOOKUP($B36,RBC!$B$5:$J$269,8,FALSE)</f>
        <v>0.44</v>
      </c>
      <c r="R36" s="531">
        <f t="shared" si="5"/>
        <v>4.3560606060606059E-4</v>
      </c>
      <c r="S36" s="190">
        <v>3.8333333333333334E-4</v>
      </c>
      <c r="T36" s="278">
        <f>VLOOKUP($B36,RBC!$B$5:$J$269,9,FALSE)</f>
        <v>0.8</v>
      </c>
      <c r="U36" s="531">
        <f t="shared" si="6"/>
        <v>4.7916666666666664E-4</v>
      </c>
    </row>
    <row r="37" spans="1:21" ht="15" thickBot="1">
      <c r="A37" s="682"/>
      <c r="B37" s="34" t="s">
        <v>605</v>
      </c>
      <c r="C37" s="45" t="s">
        <v>653</v>
      </c>
      <c r="D37" s="185">
        <v>9.8499999999999998E-4</v>
      </c>
      <c r="E37" s="278" t="str">
        <f>VLOOKUP($B37,RBC!$B$5:$J$269,3,FALSE)</f>
        <v>--</v>
      </c>
      <c r="F37" s="530" t="str">
        <f t="shared" si="8"/>
        <v>--</v>
      </c>
      <c r="G37" s="278">
        <f>VLOOKUP($B37,RBC!$B$5:$J$269,4,FALSE)</f>
        <v>220</v>
      </c>
      <c r="H37" s="531">
        <f t="shared" si="7"/>
        <v>4.477272727272727E-6</v>
      </c>
      <c r="I37" s="190">
        <v>4.9249999999999999E-4</v>
      </c>
      <c r="J37" s="278" t="str">
        <f>VLOOKUP($B37,RBC!$B$5:$J$269,5,FALSE)</f>
        <v>--</v>
      </c>
      <c r="K37" s="530" t="str">
        <f t="shared" si="2"/>
        <v>--</v>
      </c>
      <c r="L37" s="278">
        <f>VLOOKUP($B37,RBC!$B$5:$J$269,6,FALSE)</f>
        <v>970</v>
      </c>
      <c r="M37" s="531">
        <f t="shared" si="3"/>
        <v>5.0773195876288659E-7</v>
      </c>
      <c r="N37" s="190">
        <v>1.6416666666666665E-3</v>
      </c>
      <c r="O37" s="278" t="str">
        <f>VLOOKUP($B37,RBC!$B$5:$J$269,7,FALSE)</f>
        <v>--</v>
      </c>
      <c r="P37" s="530" t="str">
        <f t="shared" si="4"/>
        <v>--</v>
      </c>
      <c r="Q37" s="278">
        <f>VLOOKUP($B37,RBC!$B$5:$J$269,8,FALSE)</f>
        <v>970</v>
      </c>
      <c r="R37" s="531">
        <f t="shared" si="5"/>
        <v>1.6924398625429552E-6</v>
      </c>
      <c r="S37" s="190">
        <v>3.283333333333333E-3</v>
      </c>
      <c r="T37" s="278">
        <f>VLOOKUP($B37,RBC!$B$5:$J$269,9,FALSE)</f>
        <v>8700</v>
      </c>
      <c r="U37" s="531">
        <f t="shared" si="6"/>
        <v>3.7739463601532563E-7</v>
      </c>
    </row>
    <row r="38" spans="1:21" ht="15.75" thickBot="1">
      <c r="A38" s="683"/>
      <c r="B38" s="532" t="s">
        <v>37</v>
      </c>
      <c r="C38" s="533"/>
      <c r="D38" s="539"/>
      <c r="E38" s="395"/>
      <c r="F38" s="540">
        <f>SUM(F14:F37)</f>
        <v>2.925857290766714</v>
      </c>
      <c r="G38" s="395"/>
      <c r="H38" s="541">
        <f>SUM(H14:H37)</f>
        <v>8.2383499387922068E-2</v>
      </c>
      <c r="I38" s="414"/>
      <c r="J38" s="395"/>
      <c r="K38" s="542">
        <f>SUM(K14:K37)</f>
        <v>7.5381932371636928E-2</v>
      </c>
      <c r="L38" s="395"/>
      <c r="M38" s="543">
        <f>SUM(M14:M37)</f>
        <v>4.1843837186234601E-3</v>
      </c>
      <c r="N38" s="414"/>
      <c r="O38" s="395"/>
      <c r="P38" s="541">
        <f>SUM(P14:P37)</f>
        <v>0.16508501689772709</v>
      </c>
      <c r="Q38" s="395"/>
      <c r="R38" s="538">
        <f>SUM(R14:R37)</f>
        <v>1.3947945728744868E-2</v>
      </c>
      <c r="S38" s="414"/>
      <c r="T38" s="395"/>
      <c r="U38" s="538">
        <f>SUM(U14:U37)</f>
        <v>1.2969783084141656E-2</v>
      </c>
    </row>
    <row r="39" spans="1:21" ht="15">
      <c r="B39" s="10"/>
    </row>
    <row r="41" spans="1:21" ht="15">
      <c r="A41" s="12" t="s">
        <v>13</v>
      </c>
    </row>
    <row r="42" spans="1:21" s="10" customFormat="1" ht="15">
      <c r="A42" s="13" t="s">
        <v>722</v>
      </c>
      <c r="B42" s="37"/>
      <c r="C42" s="27"/>
      <c r="D42" s="27"/>
    </row>
    <row r="43" spans="1:21" ht="16.5">
      <c r="A43" s="13" t="s">
        <v>723</v>
      </c>
    </row>
    <row r="44" spans="1:21" ht="16.5">
      <c r="A44" s="13" t="s">
        <v>724</v>
      </c>
    </row>
    <row r="45" spans="1:21" ht="16.5">
      <c r="A45" s="13" t="s">
        <v>725</v>
      </c>
    </row>
    <row r="46" spans="1:21">
      <c r="A46" s="37" t="s">
        <v>821</v>
      </c>
    </row>
    <row r="48" spans="1:21" ht="15">
      <c r="A48" s="14" t="s">
        <v>697</v>
      </c>
    </row>
    <row r="49" spans="1:1">
      <c r="A49" s="37" t="s">
        <v>696</v>
      </c>
    </row>
  </sheetData>
  <mergeCells count="10">
    <mergeCell ref="A7:A10"/>
    <mergeCell ref="A14:A38"/>
    <mergeCell ref="A11:A13"/>
    <mergeCell ref="B7:B10"/>
    <mergeCell ref="C7:C10"/>
    <mergeCell ref="B5:U5"/>
    <mergeCell ref="D7:H7"/>
    <mergeCell ref="I7:M7"/>
    <mergeCell ref="N7:Q7"/>
    <mergeCell ref="S7:U7"/>
  </mergeCells>
  <pageMargins left="0.7" right="0.7" top="0.75" bottom="0.75" header="0.3" footer="0.3"/>
  <pageSetup paperSize="3" scale="43" orientation="landscape" r:id="rId1"/>
  <headerFooter>
    <oddHeader>&amp;C&amp;G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  <pageSetUpPr fitToPage="1"/>
  </sheetPr>
  <dimension ref="A5:Y51"/>
  <sheetViews>
    <sheetView view="pageBreakPreview" zoomScale="90" zoomScaleNormal="90" zoomScaleSheetLayoutView="90" workbookViewId="0">
      <selection activeCell="A44" sqref="A44"/>
    </sheetView>
  </sheetViews>
  <sheetFormatPr defaultColWidth="9.140625" defaultRowHeight="15"/>
  <cols>
    <col min="1" max="1" width="11" style="10" customWidth="1"/>
    <col min="2" max="2" width="12.5703125" style="10" customWidth="1"/>
    <col min="3" max="3" width="34.5703125" style="10" customWidth="1"/>
    <col min="4" max="4" width="11.42578125" style="10" customWidth="1"/>
    <col min="5" max="5" width="11.42578125" style="10" bestFit="1" customWidth="1"/>
    <col min="6" max="6" width="8.140625" style="10" bestFit="1" customWidth="1"/>
    <col min="7" max="7" width="12.5703125" style="10" bestFit="1" customWidth="1"/>
    <col min="8" max="8" width="10.5703125" style="10" bestFit="1" customWidth="1"/>
    <col min="9" max="9" width="14.5703125" style="10" bestFit="1" customWidth="1"/>
    <col min="10" max="10" width="15.5703125" style="10" bestFit="1" customWidth="1"/>
    <col min="11" max="11" width="8.140625" style="10" bestFit="1" customWidth="1"/>
    <col min="12" max="12" width="8.5703125" style="10" bestFit="1" customWidth="1"/>
    <col min="13" max="13" width="10.5703125" style="10" bestFit="1" customWidth="1"/>
    <col min="14" max="14" width="10.85546875" style="10" customWidth="1"/>
    <col min="15" max="15" width="15.5703125" style="10" bestFit="1" customWidth="1"/>
    <col min="16" max="16" width="8.140625" style="10" bestFit="1" customWidth="1"/>
    <col min="17" max="17" width="7.42578125" style="10" bestFit="1" customWidth="1"/>
    <col min="18" max="18" width="10.5703125" style="10" bestFit="1" customWidth="1"/>
    <col min="19" max="19" width="11.140625" style="10" customWidth="1"/>
    <col min="20" max="20" width="16.140625" style="10" bestFit="1" customWidth="1"/>
    <col min="21" max="21" width="8.140625" style="10" bestFit="1" customWidth="1"/>
    <col min="22" max="22" width="13.5703125" style="10" bestFit="1" customWidth="1"/>
    <col min="23" max="16384" width="9.140625" style="10"/>
  </cols>
  <sheetData>
    <row r="5" spans="1:22" ht="19.5">
      <c r="B5" s="831" t="s">
        <v>663</v>
      </c>
      <c r="C5" s="831"/>
      <c r="D5" s="831"/>
      <c r="E5" s="831"/>
      <c r="F5" s="831"/>
      <c r="G5" s="831"/>
      <c r="H5" s="831"/>
      <c r="I5" s="831"/>
      <c r="J5" s="831"/>
      <c r="K5" s="831"/>
      <c r="L5" s="831"/>
      <c r="M5" s="831"/>
      <c r="N5" s="831"/>
      <c r="O5" s="831"/>
      <c r="P5" s="831"/>
      <c r="Q5" s="831"/>
      <c r="R5" s="831"/>
      <c r="S5" s="831"/>
      <c r="T5" s="831"/>
      <c r="U5" s="831"/>
      <c r="V5" s="831"/>
    </row>
    <row r="6" spans="1:22" ht="15.75" thickBot="1"/>
    <row r="7" spans="1:22" ht="15.75" customHeight="1" thickBot="1">
      <c r="A7" s="670" t="s">
        <v>678</v>
      </c>
      <c r="B7" s="689" t="s">
        <v>816</v>
      </c>
      <c r="C7" s="667" t="s">
        <v>3</v>
      </c>
      <c r="D7" s="926" t="s">
        <v>642</v>
      </c>
      <c r="E7" s="674" t="s">
        <v>14</v>
      </c>
      <c r="F7" s="666"/>
      <c r="G7" s="666"/>
      <c r="H7" s="666"/>
      <c r="I7" s="667"/>
      <c r="J7" s="665" t="s">
        <v>15</v>
      </c>
      <c r="K7" s="665"/>
      <c r="L7" s="665"/>
      <c r="M7" s="665"/>
      <c r="N7" s="668"/>
      <c r="O7" s="673" t="s">
        <v>16</v>
      </c>
      <c r="P7" s="665"/>
      <c r="Q7" s="665"/>
      <c r="R7" s="665"/>
      <c r="S7" s="133"/>
      <c r="T7" s="664" t="s">
        <v>17</v>
      </c>
      <c r="U7" s="665"/>
      <c r="V7" s="669"/>
    </row>
    <row r="8" spans="1:22">
      <c r="A8" s="671"/>
      <c r="B8" s="690"/>
      <c r="C8" s="924"/>
      <c r="D8" s="690"/>
      <c r="E8" s="36" t="s">
        <v>18</v>
      </c>
      <c r="F8" s="90" t="s">
        <v>19</v>
      </c>
      <c r="G8" s="90" t="s">
        <v>20</v>
      </c>
      <c r="H8" s="90" t="s">
        <v>19</v>
      </c>
      <c r="I8" s="191" t="s">
        <v>27</v>
      </c>
      <c r="J8" s="30" t="s">
        <v>21</v>
      </c>
      <c r="K8" s="30" t="s">
        <v>19</v>
      </c>
      <c r="L8" s="30" t="s">
        <v>20</v>
      </c>
      <c r="M8" s="30" t="s">
        <v>19</v>
      </c>
      <c r="N8" s="191" t="s">
        <v>27</v>
      </c>
      <c r="O8" s="30" t="s">
        <v>21</v>
      </c>
      <c r="P8" s="30" t="s">
        <v>19</v>
      </c>
      <c r="Q8" s="30" t="s">
        <v>20</v>
      </c>
      <c r="R8" s="30" t="s">
        <v>19</v>
      </c>
      <c r="S8" s="191" t="s">
        <v>27</v>
      </c>
      <c r="T8" s="30" t="s">
        <v>22</v>
      </c>
      <c r="U8" s="30" t="s">
        <v>23</v>
      </c>
      <c r="V8" s="191" t="s">
        <v>27</v>
      </c>
    </row>
    <row r="9" spans="1:22">
      <c r="A9" s="671"/>
      <c r="B9" s="690"/>
      <c r="C9" s="924"/>
      <c r="D9" s="690"/>
      <c r="E9" s="21" t="s">
        <v>24</v>
      </c>
      <c r="F9" s="30" t="s">
        <v>25</v>
      </c>
      <c r="G9" s="30" t="s">
        <v>25</v>
      </c>
      <c r="H9" s="30" t="s">
        <v>26</v>
      </c>
      <c r="I9" s="186" t="s">
        <v>28</v>
      </c>
      <c r="J9" s="30" t="s">
        <v>24</v>
      </c>
      <c r="K9" s="30" t="s">
        <v>25</v>
      </c>
      <c r="L9" s="30" t="s">
        <v>25</v>
      </c>
      <c r="M9" s="30" t="s">
        <v>26</v>
      </c>
      <c r="N9" s="186" t="s">
        <v>28</v>
      </c>
      <c r="O9" s="30" t="s">
        <v>24</v>
      </c>
      <c r="P9" s="30" t="s">
        <v>25</v>
      </c>
      <c r="Q9" s="30" t="s">
        <v>25</v>
      </c>
      <c r="R9" s="30" t="s">
        <v>26</v>
      </c>
      <c r="S9" s="186" t="s">
        <v>28</v>
      </c>
      <c r="T9" s="30" t="s">
        <v>24</v>
      </c>
      <c r="U9" s="30" t="s">
        <v>19</v>
      </c>
      <c r="V9" s="186" t="s">
        <v>28</v>
      </c>
    </row>
    <row r="10" spans="1:22" ht="18" thickBot="1">
      <c r="A10" s="672"/>
      <c r="B10" s="691"/>
      <c r="C10" s="925"/>
      <c r="D10" s="691"/>
      <c r="E10" s="44" t="s">
        <v>701</v>
      </c>
      <c r="F10" s="44" t="s">
        <v>701</v>
      </c>
      <c r="G10" s="189" t="s">
        <v>691</v>
      </c>
      <c r="H10" s="44" t="s">
        <v>701</v>
      </c>
      <c r="I10" s="187" t="s">
        <v>824</v>
      </c>
      <c r="J10" s="44" t="s">
        <v>701</v>
      </c>
      <c r="K10" s="44" t="s">
        <v>701</v>
      </c>
      <c r="L10" s="189" t="s">
        <v>691</v>
      </c>
      <c r="M10" s="44" t="s">
        <v>701</v>
      </c>
      <c r="N10" s="187" t="s">
        <v>824</v>
      </c>
      <c r="O10" s="44" t="s">
        <v>701</v>
      </c>
      <c r="P10" s="44" t="s">
        <v>701</v>
      </c>
      <c r="Q10" s="189" t="s">
        <v>691</v>
      </c>
      <c r="R10" s="44" t="s">
        <v>701</v>
      </c>
      <c r="S10" s="187" t="s">
        <v>824</v>
      </c>
      <c r="T10" s="44" t="s">
        <v>701</v>
      </c>
      <c r="U10" s="44" t="s">
        <v>701</v>
      </c>
      <c r="V10" s="187" t="s">
        <v>825</v>
      </c>
    </row>
    <row r="11" spans="1:22">
      <c r="A11" s="865" t="s">
        <v>667</v>
      </c>
      <c r="B11" s="47" t="s">
        <v>153</v>
      </c>
      <c r="C11" s="405" t="s">
        <v>6</v>
      </c>
      <c r="D11" s="368" t="str">
        <f>VLOOKUP(B11,RBC!$B$8:$K$268,10,FALSE)</f>
        <v>HI3</v>
      </c>
      <c r="E11" s="596">
        <v>0.105</v>
      </c>
      <c r="F11" s="556">
        <f>VLOOKUP($B11,RBC!$B$5:$J$269,3,FALSE)</f>
        <v>5.5999999999999995E-4</v>
      </c>
      <c r="G11" s="557">
        <f>IF(F11="--","--",E11/F11)</f>
        <v>187.5</v>
      </c>
      <c r="H11" s="556">
        <f>VLOOKUP($B11,RBC!$B$5:$J$269,4,FALSE)</f>
        <v>5.0000000000000001E-3</v>
      </c>
      <c r="I11" s="597">
        <f>IF(H11="--","--",E11/H11)</f>
        <v>21</v>
      </c>
      <c r="J11" s="598">
        <v>4.6199999999999998E-2</v>
      </c>
      <c r="K11" s="556">
        <f>VLOOKUP($B11,RBC!$B$5:$J$269,5,FALSE)</f>
        <v>1.4E-2</v>
      </c>
      <c r="L11" s="572">
        <f>IF(K11="--","--",J11/K11)</f>
        <v>3.3</v>
      </c>
      <c r="M11" s="556">
        <f>VLOOKUP($B11,RBC!$B$5:$J$269,6,FALSE)</f>
        <v>3.6999999999999998E-2</v>
      </c>
      <c r="N11" s="599">
        <f>IF(M11="--","--",J11/M11)</f>
        <v>1.2486486486486486</v>
      </c>
      <c r="O11" s="600">
        <v>4.6199999999999998E-2</v>
      </c>
      <c r="P11" s="556">
        <f>VLOOKUP($B11,RBC!$B$5:$J$269,7,FALSE)</f>
        <v>6.7000000000000002E-3</v>
      </c>
      <c r="Q11" s="572">
        <f>IF(P11="--","--",O11/P11)</f>
        <v>6.8955223880597005</v>
      </c>
      <c r="R11" s="556">
        <f>VLOOKUP($B11,RBC!$B$5:$J$269,8,FALSE)</f>
        <v>3.6999999999999998E-2</v>
      </c>
      <c r="S11" s="599">
        <f>IF(R11="--","--",O11/R11)</f>
        <v>1.2486486486486486</v>
      </c>
      <c r="T11" s="601">
        <v>1.0356164383561643</v>
      </c>
      <c r="U11" s="556">
        <f>VLOOKUP($B11,RBC!$B$5:$J$269,9,FALSE)</f>
        <v>0.03</v>
      </c>
      <c r="V11" s="597">
        <f>IF(U11="--","--",T11/U11)</f>
        <v>34.520547945205479</v>
      </c>
    </row>
    <row r="12" spans="1:22">
      <c r="A12" s="927"/>
      <c r="B12" s="35" t="s">
        <v>346</v>
      </c>
      <c r="C12" s="89" t="s">
        <v>7</v>
      </c>
      <c r="D12" s="369" t="str">
        <f>VLOOKUP(B12,RBC!$B$8:$K$268,10,FALSE)</f>
        <v>HI3</v>
      </c>
      <c r="E12" s="97">
        <v>5.2499999999999998E-2</v>
      </c>
      <c r="F12" s="551" t="str">
        <f>VLOOKUP($B12,RBC!$B$5:$J$269,3,FALSE)</f>
        <v>--</v>
      </c>
      <c r="G12" s="552" t="str">
        <f>IF(F12="--","--",E12/F12)</f>
        <v>--</v>
      </c>
      <c r="H12" s="551">
        <f>VLOOKUP($B12,RBC!$B$5:$J$269,4,FALSE)</f>
        <v>0.09</v>
      </c>
      <c r="I12" s="553">
        <f t="shared" ref="I12:I13" si="0">IF(H12="--","--",E12/H12)</f>
        <v>0.58333333333333337</v>
      </c>
      <c r="J12" s="31">
        <v>2.3099999999999999E-2</v>
      </c>
      <c r="K12" s="551" t="str">
        <f>VLOOKUP($B12,RBC!$B$5:$J$269,5,FALSE)</f>
        <v>--</v>
      </c>
      <c r="L12" s="565" t="str">
        <f t="shared" ref="L12:L13" si="1">IF(K12="--","--",J12/K12)</f>
        <v>--</v>
      </c>
      <c r="M12" s="551">
        <f>VLOOKUP($B12,RBC!$B$5:$J$269,6,FALSE)</f>
        <v>0.4</v>
      </c>
      <c r="N12" s="567">
        <f t="shared" ref="N12:N13" si="2">IF(M12="--","--",J12/M12)</f>
        <v>5.7749999999999996E-2</v>
      </c>
      <c r="O12" s="28">
        <v>2.3099999999999999E-2</v>
      </c>
      <c r="P12" s="551" t="str">
        <f>VLOOKUP($B12,RBC!$B$5:$J$269,7,FALSE)</f>
        <v>--</v>
      </c>
      <c r="Q12" s="565" t="str">
        <f t="shared" ref="Q12:Q13" si="3">IF(P12="--","--",O12/P12)</f>
        <v>--</v>
      </c>
      <c r="R12" s="551">
        <f>VLOOKUP($B12,RBC!$B$5:$J$269,8,FALSE)</f>
        <v>0.4</v>
      </c>
      <c r="S12" s="567">
        <f t="shared" ref="S12:S13" si="4">IF(R12="--","--",O12/R12)</f>
        <v>5.7749999999999996E-2</v>
      </c>
      <c r="T12" s="29">
        <v>0.67500000000000004</v>
      </c>
      <c r="U12" s="551">
        <f>VLOOKUP($B12,RBC!$B$5:$J$269,9,FALSE)</f>
        <v>0.3</v>
      </c>
      <c r="V12" s="566">
        <f t="shared" ref="V12:V13" si="5">IF(U12="--","--",T12/U12)</f>
        <v>2.2500000000000004</v>
      </c>
    </row>
    <row r="13" spans="1:22" ht="15.75" thickBot="1">
      <c r="A13" s="927"/>
      <c r="B13" s="48" t="s">
        <v>370</v>
      </c>
      <c r="C13" s="435" t="s">
        <v>8</v>
      </c>
      <c r="D13" s="574" t="str">
        <f>VLOOKUP(B13,RBC!$B$8:$K$268,10,FALSE)</f>
        <v>HI3</v>
      </c>
      <c r="E13" s="602">
        <v>0.16500000000000001</v>
      </c>
      <c r="F13" s="603">
        <f>VLOOKUP($B13,RBC!$B$5:$J$269,3,FALSE)</f>
        <v>3.8E-3</v>
      </c>
      <c r="G13" s="604">
        <f>IF(F13="--","--",E13/F13)</f>
        <v>43.421052631578952</v>
      </c>
      <c r="H13" s="603">
        <f>VLOOKUP($B13,RBC!$B$5:$J$269,4,FALSE)</f>
        <v>1.4E-2</v>
      </c>
      <c r="I13" s="605">
        <f t="shared" si="0"/>
        <v>11.785714285714286</v>
      </c>
      <c r="J13" s="606">
        <v>7.2599999999999998E-2</v>
      </c>
      <c r="K13" s="603">
        <f>VLOOKUP($B13,RBC!$B$5:$J$269,5,FALSE)</f>
        <v>0.1</v>
      </c>
      <c r="L13" s="607">
        <f t="shared" si="1"/>
        <v>0.72599999999999998</v>
      </c>
      <c r="M13" s="603">
        <f>VLOOKUP($B13,RBC!$B$5:$J$269,6,FALSE)</f>
        <v>6.2E-2</v>
      </c>
      <c r="N13" s="608">
        <f t="shared" si="2"/>
        <v>1.1709677419354838</v>
      </c>
      <c r="O13" s="609">
        <v>7.2599999999999998E-2</v>
      </c>
      <c r="P13" s="603">
        <f>VLOOKUP($B13,RBC!$B$5:$J$269,7,FALSE)</f>
        <v>4.5999999999999999E-2</v>
      </c>
      <c r="Q13" s="607">
        <f t="shared" si="3"/>
        <v>1.5782608695652174</v>
      </c>
      <c r="R13" s="603">
        <f>VLOOKUP($B13,RBC!$B$5:$J$269,8,FALSE)</f>
        <v>6.2E-2</v>
      </c>
      <c r="S13" s="608">
        <f t="shared" si="4"/>
        <v>1.1709677419354838</v>
      </c>
      <c r="T13" s="610">
        <v>1.6273972602739726</v>
      </c>
      <c r="U13" s="603">
        <f>VLOOKUP($B13,RBC!$B$5:$J$269,9,FALSE)</f>
        <v>0.2</v>
      </c>
      <c r="V13" s="608">
        <f t="shared" si="5"/>
        <v>8.1369863013698627</v>
      </c>
    </row>
    <row r="14" spans="1:22" ht="15.75" thickBot="1">
      <c r="A14" s="866"/>
      <c r="B14" s="6" t="s">
        <v>29</v>
      </c>
      <c r="C14" s="7"/>
      <c r="D14" s="182"/>
      <c r="E14"/>
      <c r="F14" s="8"/>
      <c r="G14" s="554">
        <f>SUM(G11:G13)</f>
        <v>230.92105263157896</v>
      </c>
      <c r="H14" s="8"/>
      <c r="I14" s="555">
        <f>SUM(I11:I13)</f>
        <v>33.36904761904762</v>
      </c>
      <c r="J14" s="544"/>
      <c r="K14" s="8"/>
      <c r="L14" s="554">
        <f>SUM(L11:L13)</f>
        <v>4.0259999999999998</v>
      </c>
      <c r="M14" s="8"/>
      <c r="N14" s="555">
        <f>SUM(N11:N13)</f>
        <v>2.4773663905841321</v>
      </c>
      <c r="O14" s="545"/>
      <c r="P14" s="8"/>
      <c r="Q14" s="554">
        <f>SUM(Q11:Q13)</f>
        <v>8.4737832576249179</v>
      </c>
      <c r="R14" s="8"/>
      <c r="S14" s="555">
        <f>SUM(S11:S13)</f>
        <v>2.4773663905841321</v>
      </c>
      <c r="T14" s="545"/>
      <c r="U14" s="8"/>
      <c r="V14" s="415">
        <f>SUM(V11:V13)</f>
        <v>44.907534246575338</v>
      </c>
    </row>
    <row r="15" spans="1:22">
      <c r="A15" s="865" t="s">
        <v>668</v>
      </c>
      <c r="B15" s="47" t="s">
        <v>93</v>
      </c>
      <c r="C15" s="39" t="s">
        <v>9</v>
      </c>
      <c r="D15" s="368" t="str">
        <f>VLOOKUP(B15,RBC!$B$8:$K$268,10,FALSE)</f>
        <v>HI3</v>
      </c>
      <c r="E15" s="546">
        <v>17</v>
      </c>
      <c r="F15" s="556">
        <f>VLOOKUP($B15,RBC!$B$5:$J$269,3,FALSE)</f>
        <v>0.45</v>
      </c>
      <c r="G15" s="557">
        <f>IF(F15="--","--",E15/F15)</f>
        <v>37.777777777777779</v>
      </c>
      <c r="H15" s="556">
        <f>VLOOKUP($B15,RBC!$B$5:$J$269,4,FALSE)</f>
        <v>140</v>
      </c>
      <c r="I15" s="558">
        <f>IF(H15="--","--",E15/H15)</f>
        <v>0.12142857142857143</v>
      </c>
      <c r="J15" s="127">
        <v>10</v>
      </c>
      <c r="K15" s="556">
        <f>VLOOKUP($B15,RBC!$B$5:$J$269,5,FALSE)</f>
        <v>12</v>
      </c>
      <c r="L15" s="568">
        <f>IF(K15="--","--",J15/K15)</f>
        <v>0.83333333333333337</v>
      </c>
      <c r="M15" s="556">
        <f>VLOOKUP($B15,RBC!$B$5:$J$269,6,FALSE)</f>
        <v>620</v>
      </c>
      <c r="N15" s="569">
        <f>IF(M15="NA","--",J15/M15)</f>
        <v>1.6129032258064516E-2</v>
      </c>
      <c r="O15" s="128">
        <v>10</v>
      </c>
      <c r="P15" s="556">
        <f>VLOOKUP($B15,RBC!$B$5:$J$269,7,FALSE)</f>
        <v>5.5</v>
      </c>
      <c r="Q15" s="572">
        <f>IF(P15="--","--",O15/P15)</f>
        <v>1.8181818181818181</v>
      </c>
      <c r="R15" s="556">
        <f>VLOOKUP($B15,RBC!$B$5:$J$269,8,FALSE)</f>
        <v>620</v>
      </c>
      <c r="S15" s="569">
        <f>IF(R15="--","--",O15/R15)</f>
        <v>1.6129032258064516E-2</v>
      </c>
      <c r="T15" s="585">
        <v>190.5</v>
      </c>
      <c r="U15" s="556">
        <f>VLOOKUP($B15,RBC!$B$5:$J$269,9,FALSE)</f>
        <v>470</v>
      </c>
      <c r="V15" s="558">
        <f>IF(U15="--","--",T15/U15)</f>
        <v>0.40531914893617021</v>
      </c>
    </row>
    <row r="16" spans="1:22">
      <c r="A16" s="927"/>
      <c r="B16" s="35" t="s">
        <v>96</v>
      </c>
      <c r="C16" s="79" t="s">
        <v>10</v>
      </c>
      <c r="D16" s="369" t="str">
        <f>VLOOKUP(B16,RBC!$B$8:$K$268,10,FALSE)</f>
        <v>HI3</v>
      </c>
      <c r="E16" s="32">
        <v>13.600000000000001</v>
      </c>
      <c r="F16" s="551" t="str">
        <f>VLOOKUP($B16,RBC!$B$5:$J$269,3,FALSE)</f>
        <v>--</v>
      </c>
      <c r="G16" s="552" t="str">
        <f>IF(F16="--","--",E16/F16)</f>
        <v>--</v>
      </c>
      <c r="H16" s="559">
        <f>VLOOKUP($B16,RBC!$B$5:$J$269,4,FALSE)</f>
        <v>31000</v>
      </c>
      <c r="I16" s="560">
        <f t="shared" ref="I16:I17" si="6">IF(H16="--","--",E16/H16)</f>
        <v>4.3870967741935489E-4</v>
      </c>
      <c r="J16" s="225">
        <v>8</v>
      </c>
      <c r="K16" s="551" t="str">
        <f>VLOOKUP($B16,RBC!$B$5:$J$269,5,FALSE)</f>
        <v>--</v>
      </c>
      <c r="L16" s="570" t="str">
        <f>IF(K16="--","--",J16/K16)</f>
        <v>--</v>
      </c>
      <c r="M16" s="559">
        <f>VLOOKUP($B16,RBC!$B$5:$J$269,6,FALSE)</f>
        <v>140000</v>
      </c>
      <c r="N16" s="571">
        <f>IF(M16="NA","--",J16/M16)</f>
        <v>5.7142857142857142E-5</v>
      </c>
      <c r="O16" s="22">
        <v>8</v>
      </c>
      <c r="P16" s="551" t="str">
        <f>VLOOKUP($B16,RBC!$B$5:$J$269,7,FALSE)</f>
        <v>--</v>
      </c>
      <c r="Q16" s="565" t="str">
        <f t="shared" ref="Q16:Q17" si="7">IF(P16="--","--",O16/P16)</f>
        <v>--</v>
      </c>
      <c r="R16" s="559">
        <f>VLOOKUP($B16,RBC!$B$5:$J$269,8,FALSE)</f>
        <v>140000</v>
      </c>
      <c r="S16" s="571">
        <f t="shared" ref="S16:S17" si="8">IF(R16="--","--",O16/R16)</f>
        <v>5.7142857142857142E-5</v>
      </c>
      <c r="T16" s="586">
        <v>158.75</v>
      </c>
      <c r="U16" s="551">
        <f>VLOOKUP($B16,RBC!$B$5:$J$269,9,FALSE)</f>
        <v>62000</v>
      </c>
      <c r="V16" s="573">
        <f t="shared" ref="V16:V17" si="9">IF(U16="--","--",T16/U16)</f>
        <v>2.5604838709677421E-3</v>
      </c>
    </row>
    <row r="17" spans="1:25" ht="15.75" thickBot="1">
      <c r="A17" s="927"/>
      <c r="B17" s="48" t="s">
        <v>99</v>
      </c>
      <c r="C17" s="4" t="s">
        <v>11</v>
      </c>
      <c r="D17" s="574" t="str">
        <f>VLOOKUP(B17,RBC!$B$8:$K$268,10,FALSE)</f>
        <v>HI5</v>
      </c>
      <c r="E17" s="611">
        <v>1.7000000000000002</v>
      </c>
      <c r="F17" s="603" t="str">
        <f>VLOOKUP($B17,RBC!$B$5:$J$269,3,FALSE)</f>
        <v>--</v>
      </c>
      <c r="G17" s="604" t="str">
        <f>IF(F17="--","--",E17/F17)</f>
        <v>--</v>
      </c>
      <c r="H17" s="603">
        <f>VLOOKUP($B17,RBC!$B$5:$J$269,4,FALSE)</f>
        <v>0.35</v>
      </c>
      <c r="I17" s="612">
        <f t="shared" si="6"/>
        <v>4.8571428571428577</v>
      </c>
      <c r="J17" s="588">
        <v>1</v>
      </c>
      <c r="K17" s="603" t="str">
        <f>VLOOKUP($B17,RBC!$B$5:$J$269,5,FALSE)</f>
        <v>--</v>
      </c>
      <c r="L17" s="613" t="str">
        <f>IF(K17="--","--",J17/K17)</f>
        <v>--</v>
      </c>
      <c r="M17" s="603">
        <f>VLOOKUP($B17,RBC!$B$5:$J$269,6,FALSE)</f>
        <v>1.5</v>
      </c>
      <c r="N17" s="612">
        <f>IF(M17="NA","--",J17/M17)</f>
        <v>0.66666666666666663</v>
      </c>
      <c r="O17" s="110">
        <v>1</v>
      </c>
      <c r="P17" s="603" t="str">
        <f>VLOOKUP($B17,RBC!$B$5:$J$269,7,FALSE)</f>
        <v>--</v>
      </c>
      <c r="Q17" s="607" t="str">
        <f t="shared" si="7"/>
        <v>--</v>
      </c>
      <c r="R17" s="603">
        <f>VLOOKUP($B17,RBC!$B$5:$J$269,8,FALSE)</f>
        <v>1.5</v>
      </c>
      <c r="S17" s="612">
        <f t="shared" si="8"/>
        <v>0.66666666666666663</v>
      </c>
      <c r="T17" s="587">
        <v>31.75</v>
      </c>
      <c r="U17" s="603">
        <f>VLOOKUP($B17,RBC!$B$5:$J$269,9,FALSE)</f>
        <v>6.9</v>
      </c>
      <c r="V17" s="608">
        <f t="shared" si="9"/>
        <v>4.6014492753623184</v>
      </c>
    </row>
    <row r="18" spans="1:25" ht="15.75" thickBot="1">
      <c r="A18" s="866"/>
      <c r="B18" s="18" t="s">
        <v>30</v>
      </c>
      <c r="C18" s="26"/>
      <c r="D18" s="42"/>
      <c r="E18" s="91"/>
      <c r="F18" s="189"/>
      <c r="G18" s="561">
        <f>SUM(G15:G17)</f>
        <v>37.777777777777779</v>
      </c>
      <c r="H18" s="25"/>
      <c r="I18" s="562">
        <f>SUM(I15:I17)</f>
        <v>4.9790101382488485</v>
      </c>
      <c r="J18" s="189"/>
      <c r="K18" s="547"/>
      <c r="L18" s="561">
        <f>SUM(L15:L17)</f>
        <v>0.83333333333333337</v>
      </c>
      <c r="M18" s="25"/>
      <c r="N18" s="562">
        <f>SUM(N15:N17)</f>
        <v>0.682852841781874</v>
      </c>
      <c r="O18" s="23"/>
      <c r="P18" s="547"/>
      <c r="Q18" s="561">
        <f>SUM(Q15:Q17)</f>
        <v>1.8181818181818181</v>
      </c>
      <c r="R18" s="25"/>
      <c r="S18" s="562">
        <f>SUM(S15:S17)</f>
        <v>0.682852841781874</v>
      </c>
      <c r="T18" s="23"/>
      <c r="U18" s="189"/>
      <c r="V18" s="562">
        <f>SUM(V15:V17)</f>
        <v>5.0093289081694561</v>
      </c>
    </row>
    <row r="19" spans="1:25">
      <c r="A19" s="927" t="s">
        <v>685</v>
      </c>
      <c r="B19" s="47" t="s">
        <v>622</v>
      </c>
      <c r="C19" s="19"/>
      <c r="D19" s="19"/>
      <c r="E19" s="92"/>
      <c r="F19" s="90"/>
      <c r="G19" s="93"/>
      <c r="H19" s="90"/>
      <c r="I19" s="558">
        <f>SUMIF($D$11:$D$17,"HI3",I11:I17)</f>
        <v>33.490914900153612</v>
      </c>
      <c r="J19" s="90"/>
      <c r="K19" s="94"/>
      <c r="L19" s="95"/>
      <c r="M19" s="90"/>
      <c r="N19" s="558">
        <f>SUMIF($D$11:$D$17,"HI3",N11:N17)</f>
        <v>2.4935525656993396</v>
      </c>
      <c r="O19" s="36"/>
      <c r="P19" s="94"/>
      <c r="Q19" s="96"/>
      <c r="R19" s="90"/>
      <c r="S19" s="558">
        <f>SUMIF($D$11:$D$17,"HI3",S11:S17)</f>
        <v>2.4935525656993396</v>
      </c>
      <c r="T19" s="36"/>
      <c r="U19" s="90"/>
      <c r="V19" s="558">
        <f>SUMIF($D$11:$D$17,"HI3",V11:V17)</f>
        <v>45.315413879382476</v>
      </c>
    </row>
    <row r="20" spans="1:25">
      <c r="A20" s="927"/>
      <c r="B20" s="35" t="s">
        <v>623</v>
      </c>
      <c r="C20" s="7"/>
      <c r="D20" s="7"/>
      <c r="E20"/>
      <c r="F20" s="30"/>
      <c r="G20" s="129"/>
      <c r="H20" s="30"/>
      <c r="I20" s="553">
        <f>SUMIF($D$11:$D$17,"HI5",I11:I17)</f>
        <v>4.8571428571428577</v>
      </c>
      <c r="J20" s="30"/>
      <c r="K20" s="130"/>
      <c r="L20" s="131"/>
      <c r="M20" s="30"/>
      <c r="N20" s="553">
        <f>SUMIF($D$11:$D$17,"HI5",N11:N17)</f>
        <v>0.66666666666666663</v>
      </c>
      <c r="O20" s="21"/>
      <c r="P20" s="130"/>
      <c r="Q20" s="132"/>
      <c r="R20" s="30"/>
      <c r="S20" s="553">
        <f>SUMIF($D$11:$D$17,"HI5",S11:S17)</f>
        <v>0.66666666666666663</v>
      </c>
      <c r="T20" s="21"/>
      <c r="U20" s="30"/>
      <c r="V20" s="553">
        <f>SUMIF($D$11:$D$17,"HI5",V11:V17)</f>
        <v>4.6014492753623184</v>
      </c>
    </row>
    <row r="21" spans="1:25">
      <c r="A21" s="927"/>
      <c r="B21" s="35" t="s">
        <v>626</v>
      </c>
      <c r="C21" s="7"/>
      <c r="D21" s="7"/>
      <c r="E21"/>
      <c r="F21" s="30"/>
      <c r="G21" s="129"/>
      <c r="H21" s="30"/>
      <c r="I21" s="553">
        <f>I19+I20</f>
        <v>38.348057757296473</v>
      </c>
      <c r="J21" s="30"/>
      <c r="K21" s="130"/>
      <c r="L21" s="131"/>
      <c r="M21" s="30"/>
      <c r="N21" s="553">
        <f>N19+N20</f>
        <v>3.1602192323660061</v>
      </c>
      <c r="O21" s="21"/>
      <c r="P21" s="130"/>
      <c r="Q21" s="132"/>
      <c r="R21" s="30"/>
      <c r="S21" s="553">
        <f>S19+S20</f>
        <v>3.1602192323660061</v>
      </c>
      <c r="T21" s="21"/>
      <c r="U21" s="30"/>
      <c r="V21" s="566">
        <f>V19+V20</f>
        <v>49.916863154744796</v>
      </c>
    </row>
    <row r="22" spans="1:25" ht="15.75" thickBot="1">
      <c r="A22" s="927"/>
      <c r="B22" s="548" t="s">
        <v>826</v>
      </c>
      <c r="C22" s="91"/>
      <c r="D22" s="91"/>
      <c r="E22" s="25"/>
      <c r="F22" s="25"/>
      <c r="G22" s="549"/>
      <c r="H22" s="25"/>
      <c r="I22" s="562">
        <f>IF(I19="--","n/a",IF(I20="--","n/a",(I19/3)+(I20/5)))</f>
        <v>12.135066871479776</v>
      </c>
      <c r="J22" s="25"/>
      <c r="K22" s="25"/>
      <c r="L22" s="549"/>
      <c r="M22" s="25"/>
      <c r="N22" s="562">
        <f>IF(N19="--",N20,IF(N20="--",N19,(N19/3)+(N20/5)))</f>
        <v>0.9645175218997798</v>
      </c>
      <c r="O22" s="550"/>
      <c r="P22" s="25"/>
      <c r="Q22" s="549"/>
      <c r="R22" s="25"/>
      <c r="S22" s="562">
        <f>IF(S19="--",S20,IF(S20="--",S19,(S19/3)+(S20/5)))</f>
        <v>0.9645175218997798</v>
      </c>
      <c r="T22" s="550"/>
      <c r="U22" s="25"/>
      <c r="V22" s="562">
        <f>IF(V19="--",V20,IF(V20="--",V19,(V19/3)+(V20/5)))</f>
        <v>16.025427814866621</v>
      </c>
    </row>
    <row r="23" spans="1:25">
      <c r="A23" s="927"/>
      <c r="B23" s="6" t="s">
        <v>822</v>
      </c>
      <c r="C23"/>
      <c r="D23"/>
      <c r="E23" s="8"/>
      <c r="F23" s="8"/>
      <c r="G23" s="563">
        <f>SUM(G14+G18)</f>
        <v>268.69883040935673</v>
      </c>
      <c r="H23" s="8"/>
      <c r="I23" s="192"/>
      <c r="J23" s="8"/>
      <c r="K23" s="8"/>
      <c r="L23" s="563">
        <f>L14+L18</f>
        <v>4.8593333333333328</v>
      </c>
      <c r="M23" s="8"/>
      <c r="N23" s="192"/>
      <c r="O23" s="24"/>
      <c r="P23" s="8"/>
      <c r="Q23" s="563">
        <f>Q14+Q18</f>
        <v>10.291965075806736</v>
      </c>
      <c r="R23" s="8"/>
      <c r="S23" s="192"/>
      <c r="T23" s="24"/>
      <c r="U23" s="8"/>
      <c r="V23" s="192"/>
    </row>
    <row r="24" spans="1:25" ht="15.75" thickBot="1">
      <c r="A24" s="866"/>
      <c r="B24" s="18" t="s">
        <v>823</v>
      </c>
      <c r="C24" s="91"/>
      <c r="D24" s="183"/>
      <c r="E24" s="56"/>
      <c r="F24" s="56"/>
      <c r="G24" s="138"/>
      <c r="H24" s="25"/>
      <c r="I24" s="564">
        <f>I22</f>
        <v>12.135066871479776</v>
      </c>
      <c r="J24" s="25"/>
      <c r="K24" s="25"/>
      <c r="L24" s="138"/>
      <c r="M24" s="25"/>
      <c r="N24" s="564">
        <f>N22</f>
        <v>0.9645175218997798</v>
      </c>
      <c r="O24" s="80"/>
      <c r="P24" s="25"/>
      <c r="Q24" s="138"/>
      <c r="R24" s="25"/>
      <c r="S24" s="564">
        <f>S22</f>
        <v>0.9645175218997798</v>
      </c>
      <c r="T24" s="23"/>
      <c r="U24" s="25"/>
      <c r="V24" s="564">
        <f>V22</f>
        <v>16.025427814866621</v>
      </c>
    </row>
    <row r="25" spans="1:25" ht="15.75" thickBot="1">
      <c r="D25" s="750"/>
      <c r="E25" s="750"/>
      <c r="F25" s="750"/>
      <c r="G25" s="750"/>
      <c r="H25" s="75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0"/>
    </row>
    <row r="26" spans="1:25" ht="17.25">
      <c r="C26" s="847" t="s">
        <v>665</v>
      </c>
      <c r="D26" s="848"/>
      <c r="E26" s="719" t="s">
        <v>664</v>
      </c>
      <c r="F26" s="716" t="s">
        <v>729</v>
      </c>
      <c r="G26" s="717"/>
      <c r="H26" s="718"/>
      <c r="J26" s="12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ht="18" thickBot="1">
      <c r="C27" s="849"/>
      <c r="D27" s="850"/>
      <c r="E27" s="720"/>
      <c r="F27" s="209" t="s">
        <v>679</v>
      </c>
      <c r="G27" s="233" t="s">
        <v>680</v>
      </c>
      <c r="H27" s="232" t="s">
        <v>730</v>
      </c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</row>
    <row r="28" spans="1:25">
      <c r="C28" s="703" t="s">
        <v>84</v>
      </c>
      <c r="D28" s="851"/>
      <c r="E28" s="254">
        <v>0.5</v>
      </c>
      <c r="F28" s="703">
        <v>0.5</v>
      </c>
      <c r="G28" s="704"/>
      <c r="H28" s="4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</row>
    <row r="29" spans="1:25">
      <c r="C29" s="705" t="s">
        <v>77</v>
      </c>
      <c r="D29" s="844"/>
      <c r="E29" s="196">
        <v>25</v>
      </c>
      <c r="F29" s="705">
        <v>1</v>
      </c>
      <c r="G29" s="706"/>
      <c r="H29" s="404"/>
      <c r="J29" s="203"/>
      <c r="K29" s="204"/>
      <c r="L29" s="203"/>
      <c r="M29" s="203"/>
      <c r="N29" s="203"/>
      <c r="O29" s="203"/>
      <c r="P29" s="204"/>
      <c r="Q29" s="203"/>
      <c r="R29" s="203"/>
      <c r="S29" s="203"/>
      <c r="T29" s="203"/>
      <c r="U29" s="204"/>
      <c r="V29" s="204"/>
      <c r="W29" s="203"/>
      <c r="X29" s="203"/>
      <c r="Y29" s="204"/>
    </row>
    <row r="30" spans="1:25">
      <c r="C30" s="705" t="s">
        <v>78</v>
      </c>
      <c r="D30" s="844"/>
      <c r="E30" s="196">
        <v>50</v>
      </c>
      <c r="F30" s="252" t="s">
        <v>681</v>
      </c>
      <c r="G30" s="234">
        <v>5</v>
      </c>
      <c r="H30" s="235">
        <v>1</v>
      </c>
      <c r="J30" s="203"/>
      <c r="K30" s="204"/>
      <c r="L30" s="203"/>
      <c r="M30" s="203"/>
      <c r="N30" s="203"/>
      <c r="O30" s="203"/>
      <c r="P30" s="204"/>
      <c r="Q30" s="203"/>
      <c r="R30" s="203"/>
      <c r="S30" s="203"/>
      <c r="T30" s="203"/>
      <c r="U30" s="204"/>
      <c r="V30" s="204"/>
      <c r="W30" s="203"/>
      <c r="X30" s="203"/>
      <c r="Y30" s="204"/>
    </row>
    <row r="31" spans="1:25">
      <c r="C31" s="705" t="s">
        <v>79</v>
      </c>
      <c r="D31" s="844"/>
      <c r="E31" s="196">
        <v>200</v>
      </c>
      <c r="F31" s="252" t="s">
        <v>682</v>
      </c>
      <c r="G31" s="234">
        <v>10</v>
      </c>
      <c r="H31" s="235">
        <v>2</v>
      </c>
      <c r="J31" s="203"/>
      <c r="K31" s="204"/>
      <c r="L31" s="203"/>
      <c r="M31" s="203"/>
      <c r="N31" s="203"/>
      <c r="O31" s="203"/>
      <c r="P31" s="204"/>
      <c r="Q31" s="203"/>
      <c r="R31" s="203"/>
      <c r="S31" s="203"/>
      <c r="T31" s="203"/>
      <c r="U31" s="204"/>
      <c r="V31" s="204"/>
      <c r="W31" s="203"/>
      <c r="X31" s="203"/>
      <c r="Y31" s="204"/>
    </row>
    <row r="32" spans="1:25" ht="15.75" thickBot="1">
      <c r="C32" s="845" t="s">
        <v>80</v>
      </c>
      <c r="D32" s="846"/>
      <c r="E32" s="255">
        <v>500</v>
      </c>
      <c r="F32" s="253" t="s">
        <v>683</v>
      </c>
      <c r="G32" s="236">
        <v>20</v>
      </c>
      <c r="H32" s="237">
        <v>4</v>
      </c>
    </row>
    <row r="34" spans="1:6">
      <c r="A34" s="12" t="s">
        <v>13</v>
      </c>
      <c r="E34" s="723"/>
      <c r="F34" s="723"/>
    </row>
    <row r="35" spans="1:6" s="37" customFormat="1" ht="14.25">
      <c r="A35" s="13" t="s">
        <v>722</v>
      </c>
      <c r="D35" s="193"/>
      <c r="E35" s="193"/>
    </row>
    <row r="36" spans="1:6" s="37" customFormat="1" ht="16.5">
      <c r="A36" s="13" t="s">
        <v>723</v>
      </c>
      <c r="D36" s="13"/>
      <c r="E36" s="13"/>
    </row>
    <row r="37" spans="1:6" s="37" customFormat="1" ht="16.5">
      <c r="A37" s="13" t="s">
        <v>724</v>
      </c>
      <c r="D37" s="13"/>
      <c r="E37" s="13"/>
    </row>
    <row r="38" spans="1:6" s="37" customFormat="1" ht="16.5">
      <c r="A38" s="13" t="s">
        <v>725</v>
      </c>
      <c r="D38" s="13"/>
    </row>
    <row r="39" spans="1:6" s="37" customFormat="1" ht="14.25">
      <c r="A39" s="13" t="s">
        <v>726</v>
      </c>
      <c r="D39" s="13"/>
    </row>
    <row r="40" spans="1:6" s="13" customFormat="1" ht="14.25">
      <c r="A40" s="13" t="s">
        <v>727</v>
      </c>
    </row>
    <row r="41" spans="1:6" s="13" customFormat="1" ht="14.25">
      <c r="A41" s="13" t="s">
        <v>698</v>
      </c>
    </row>
    <row r="42" spans="1:6" s="13" customFormat="1" ht="14.25">
      <c r="A42" s="13" t="s">
        <v>699</v>
      </c>
    </row>
    <row r="43" spans="1:6" s="13" customFormat="1" ht="14.25">
      <c r="A43" s="13" t="s">
        <v>700</v>
      </c>
    </row>
    <row r="44" spans="1:6" s="37" customFormat="1" ht="14.25">
      <c r="A44" s="13" t="s">
        <v>866</v>
      </c>
      <c r="D44" s="13"/>
    </row>
    <row r="46" spans="1:6">
      <c r="A46" s="13" t="s">
        <v>640</v>
      </c>
    </row>
    <row r="47" spans="1:6">
      <c r="A47" s="13" t="s">
        <v>632</v>
      </c>
    </row>
    <row r="48" spans="1:6">
      <c r="A48" s="13" t="s">
        <v>641</v>
      </c>
    </row>
    <row r="50" spans="1:1">
      <c r="A50" s="14" t="s">
        <v>697</v>
      </c>
    </row>
    <row r="51" spans="1:1">
      <c r="A51" s="37" t="s">
        <v>696</v>
      </c>
    </row>
  </sheetData>
  <mergeCells count="24">
    <mergeCell ref="F29:G29"/>
    <mergeCell ref="C30:D30"/>
    <mergeCell ref="C31:D31"/>
    <mergeCell ref="C32:D32"/>
    <mergeCell ref="A7:A10"/>
    <mergeCell ref="A11:A14"/>
    <mergeCell ref="A15:A18"/>
    <mergeCell ref="A19:A24"/>
    <mergeCell ref="E34:F34"/>
    <mergeCell ref="B5:V5"/>
    <mergeCell ref="B7:B10"/>
    <mergeCell ref="C7:C10"/>
    <mergeCell ref="D7:D10"/>
    <mergeCell ref="E7:I7"/>
    <mergeCell ref="J7:N7"/>
    <mergeCell ref="O7:R7"/>
    <mergeCell ref="T7:V7"/>
    <mergeCell ref="D25:H25"/>
    <mergeCell ref="C26:D27"/>
    <mergeCell ref="E26:E27"/>
    <mergeCell ref="F26:H26"/>
    <mergeCell ref="C28:D28"/>
    <mergeCell ref="F28:G28"/>
    <mergeCell ref="C29:D29"/>
  </mergeCells>
  <pageMargins left="0.7" right="0.7" top="0.75" bottom="0.75" header="0.3" footer="0.3"/>
  <pageSetup paperSize="3" scale="45" orientation="landscape" r:id="rId1"/>
  <headerFooter>
    <oddHeader>&amp;C&amp;G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59999389629810485"/>
    <pageSetUpPr fitToPage="1"/>
  </sheetPr>
  <dimension ref="A3:U53"/>
  <sheetViews>
    <sheetView view="pageBreakPreview" topLeftCell="A11" zoomScale="80" zoomScaleNormal="100" zoomScaleSheetLayoutView="80" workbookViewId="0">
      <selection activeCell="A45" sqref="A45"/>
    </sheetView>
  </sheetViews>
  <sheetFormatPr defaultColWidth="9.140625" defaultRowHeight="15"/>
  <cols>
    <col min="1" max="1" width="13.42578125" style="10" customWidth="1"/>
    <col min="2" max="2" width="19.140625" style="10" customWidth="1"/>
    <col min="3" max="3" width="20.140625" style="10" customWidth="1"/>
    <col min="4" max="4" width="14.140625" style="10" customWidth="1"/>
    <col min="5" max="5" width="18.5703125" style="10" customWidth="1"/>
    <col min="6" max="6" width="12.5703125" style="10" customWidth="1"/>
    <col min="7" max="7" width="11.140625" style="10" customWidth="1"/>
    <col min="8" max="8" width="13.85546875" style="10" customWidth="1"/>
    <col min="9" max="9" width="10.5703125" style="10" customWidth="1"/>
    <col min="10" max="10" width="12.5703125" style="10" customWidth="1"/>
    <col min="11" max="11" width="11.85546875" style="10" bestFit="1" customWidth="1"/>
    <col min="12" max="12" width="10.85546875" style="10" customWidth="1"/>
    <col min="13" max="13" width="21.7109375" style="10" customWidth="1"/>
    <col min="14" max="16384" width="9.140625" style="10"/>
  </cols>
  <sheetData>
    <row r="3" spans="1:13">
      <c r="L3" s="55"/>
    </row>
    <row r="5" spans="1:13" ht="19.5">
      <c r="B5" s="891" t="s">
        <v>840</v>
      </c>
      <c r="C5" s="891"/>
      <c r="D5" s="891"/>
      <c r="E5" s="891"/>
      <c r="F5" s="891"/>
      <c r="G5" s="891"/>
      <c r="H5" s="891"/>
      <c r="I5" s="891"/>
      <c r="J5" s="891"/>
      <c r="K5" s="891"/>
      <c r="L5" s="891"/>
      <c r="M5" s="891"/>
    </row>
    <row r="6" spans="1:13" ht="19.5">
      <c r="B6" s="928" t="s">
        <v>76</v>
      </c>
      <c r="C6" s="928"/>
      <c r="D6" s="928"/>
      <c r="E6" s="928"/>
      <c r="F6" s="928"/>
      <c r="G6" s="928"/>
      <c r="H6" s="928"/>
      <c r="I6" s="928"/>
      <c r="J6" s="928"/>
      <c r="K6" s="928"/>
      <c r="L6" s="928"/>
      <c r="M6" s="928"/>
    </row>
    <row r="7" spans="1:13" ht="15.75" customHeight="1" thickBot="1">
      <c r="B7" s="578"/>
      <c r="C7" s="578"/>
      <c r="D7" s="578"/>
      <c r="E7" s="877"/>
      <c r="F7" s="877"/>
      <c r="G7" s="877"/>
      <c r="H7" s="877"/>
      <c r="I7" s="877"/>
      <c r="J7" s="877"/>
      <c r="K7" s="877"/>
      <c r="L7" s="877"/>
      <c r="M7" s="877"/>
    </row>
    <row r="8" spans="1:13" ht="18" thickBot="1">
      <c r="A8" s="681" t="s">
        <v>678</v>
      </c>
      <c r="B8" s="839" t="s">
        <v>828</v>
      </c>
      <c r="C8" s="725" t="s">
        <v>3</v>
      </c>
      <c r="D8" s="671" t="s">
        <v>642</v>
      </c>
      <c r="E8" s="506" t="s">
        <v>756</v>
      </c>
      <c r="F8" s="833" t="s">
        <v>54</v>
      </c>
      <c r="G8" s="835"/>
      <c r="H8" s="833" t="s">
        <v>55</v>
      </c>
      <c r="I8" s="835"/>
      <c r="J8" s="833" t="s">
        <v>56</v>
      </c>
      <c r="K8" s="835"/>
      <c r="L8" s="833" t="s">
        <v>57</v>
      </c>
      <c r="M8" s="835"/>
    </row>
    <row r="9" spans="1:13" ht="15" customHeight="1">
      <c r="A9" s="682"/>
      <c r="B9" s="839"/>
      <c r="C9" s="725"/>
      <c r="D9" s="671"/>
      <c r="E9" s="852" t="s">
        <v>827</v>
      </c>
      <c r="F9" s="832" t="s">
        <v>753</v>
      </c>
      <c r="G9" s="834" t="s">
        <v>755</v>
      </c>
      <c r="H9" s="832" t="s">
        <v>753</v>
      </c>
      <c r="I9" s="834" t="s">
        <v>755</v>
      </c>
      <c r="J9" s="832" t="s">
        <v>753</v>
      </c>
      <c r="K9" s="834" t="s">
        <v>755</v>
      </c>
      <c r="L9" s="832" t="s">
        <v>753</v>
      </c>
      <c r="M9" s="834" t="s">
        <v>755</v>
      </c>
    </row>
    <row r="10" spans="1:13">
      <c r="A10" s="682"/>
      <c r="B10" s="839"/>
      <c r="C10" s="725"/>
      <c r="D10" s="671"/>
      <c r="E10" s="852"/>
      <c r="F10" s="832"/>
      <c r="G10" s="834"/>
      <c r="H10" s="832"/>
      <c r="I10" s="834"/>
      <c r="J10" s="832"/>
      <c r="K10" s="834"/>
      <c r="L10" s="832"/>
      <c r="M10" s="834"/>
    </row>
    <row r="11" spans="1:13">
      <c r="A11" s="682"/>
      <c r="B11" s="839"/>
      <c r="C11" s="725"/>
      <c r="D11" s="671"/>
      <c r="E11" s="852"/>
      <c r="F11" s="832"/>
      <c r="G11" s="834"/>
      <c r="H11" s="832"/>
      <c r="I11" s="834"/>
      <c r="J11" s="832"/>
      <c r="K11" s="834"/>
      <c r="L11" s="832"/>
      <c r="M11" s="834"/>
    </row>
    <row r="12" spans="1:13" ht="15.75" thickBot="1">
      <c r="A12" s="683"/>
      <c r="B12" s="839"/>
      <c r="C12" s="725"/>
      <c r="D12" s="671"/>
      <c r="E12" s="852"/>
      <c r="F12" s="832"/>
      <c r="G12" s="834"/>
      <c r="H12" s="832"/>
      <c r="I12" s="834"/>
      <c r="J12" s="832"/>
      <c r="K12" s="834"/>
      <c r="L12" s="832"/>
      <c r="M12" s="834"/>
    </row>
    <row r="13" spans="1:13">
      <c r="A13" s="681" t="s">
        <v>667</v>
      </c>
      <c r="B13" s="47" t="s">
        <v>153</v>
      </c>
      <c r="C13" s="361" t="s">
        <v>6</v>
      </c>
      <c r="D13" s="368" t="str">
        <f>VLOOKUP(B13,RBC!$B$8:$K$268,10,FALSE)</f>
        <v>HI3</v>
      </c>
      <c r="E13" s="406">
        <v>3.2000000000000001E-2</v>
      </c>
      <c r="F13" s="285">
        <f>VLOOKUP($B13,RBC!$B$5:$J$269,4,FALSE)</f>
        <v>5.0000000000000001E-3</v>
      </c>
      <c r="G13" s="368">
        <f>IFERROR($E13/F13,"")</f>
        <v>6.4</v>
      </c>
      <c r="H13" s="128"/>
      <c r="I13" s="407" t="str">
        <f>IFERROR($E13/H13,"")</f>
        <v/>
      </c>
      <c r="J13" s="128"/>
      <c r="K13" s="407" t="str">
        <f>IFERROR($E13/J13,"")</f>
        <v/>
      </c>
      <c r="L13" s="128"/>
      <c r="M13" s="407" t="str">
        <f>IFERROR($E13/L13,"")</f>
        <v/>
      </c>
    </row>
    <row r="14" spans="1:13">
      <c r="A14" s="682"/>
      <c r="B14" s="35" t="s">
        <v>346</v>
      </c>
      <c r="C14" s="98" t="s">
        <v>7</v>
      </c>
      <c r="D14" s="369" t="str">
        <f>VLOOKUP(B14,RBC!$B$8:$K$268,10,FALSE)</f>
        <v>HI3</v>
      </c>
      <c r="E14" s="106">
        <v>1.6E-2</v>
      </c>
      <c r="F14" s="9"/>
      <c r="G14" s="9" t="str">
        <f t="shared" ref="G14:I15" si="0">IFERROR($E14/F14,"")</f>
        <v/>
      </c>
      <c r="H14" s="424">
        <f>VLOOKUP($B14,RBC!$B$5:$J$269,4,FALSE)</f>
        <v>0.09</v>
      </c>
      <c r="I14" s="431">
        <f t="shared" si="0"/>
        <v>0.17777777777777778</v>
      </c>
      <c r="J14" s="22"/>
      <c r="K14" s="58" t="str">
        <f t="shared" ref="K14:M15" si="1">IFERROR($E14/J14,"")</f>
        <v/>
      </c>
      <c r="L14" s="22"/>
      <c r="M14" s="58" t="str">
        <f t="shared" si="1"/>
        <v/>
      </c>
    </row>
    <row r="15" spans="1:13" ht="15.75" thickBot="1">
      <c r="A15" s="682"/>
      <c r="B15" s="48" t="s">
        <v>370</v>
      </c>
      <c r="C15" s="441" t="s">
        <v>8</v>
      </c>
      <c r="D15" s="574" t="str">
        <f>VLOOKUP(B15,RBC!$B$8:$K$268,10,FALSE)</f>
        <v>HI3</v>
      </c>
      <c r="E15" s="107">
        <v>0.05</v>
      </c>
      <c r="F15" s="165"/>
      <c r="G15" s="165" t="str">
        <f t="shared" si="0"/>
        <v/>
      </c>
      <c r="H15" s="110"/>
      <c r="I15" s="436" t="str">
        <f t="shared" si="0"/>
        <v/>
      </c>
      <c r="J15" s="437">
        <f>VLOOKUP($B15,RBC!$B$5:$J$269,4,FALSE)</f>
        <v>1.4E-2</v>
      </c>
      <c r="K15" s="438">
        <f t="shared" si="1"/>
        <v>3.5714285714285716</v>
      </c>
      <c r="L15" s="437">
        <f>VLOOKUP($B15,RBC!$B$5:$J$269,4,FALSE)</f>
        <v>1.4E-2</v>
      </c>
      <c r="M15" s="438">
        <f>IFERROR($E15/L15,"")</f>
        <v>3.5714285714285716</v>
      </c>
    </row>
    <row r="16" spans="1:13" ht="15.75" thickBot="1">
      <c r="A16" s="683"/>
      <c r="B16" s="785" t="s">
        <v>29</v>
      </c>
      <c r="C16" s="860"/>
      <c r="D16" s="860"/>
      <c r="E16" s="786"/>
      <c r="F16" s="59"/>
      <c r="G16" s="432">
        <f>SUM(G13:G15)</f>
        <v>6.4</v>
      </c>
      <c r="H16" s="103"/>
      <c r="I16" s="430">
        <f>SUM(I13:I15)</f>
        <v>0.17777777777777778</v>
      </c>
      <c r="J16" s="103"/>
      <c r="K16" s="420">
        <f>SUM(K13:K15)</f>
        <v>3.5714285714285716</v>
      </c>
      <c r="L16" s="103"/>
      <c r="M16" s="420">
        <f>SUM(M13:M15)</f>
        <v>3.5714285714285716</v>
      </c>
    </row>
    <row r="17" spans="1:13">
      <c r="A17" s="681" t="s">
        <v>668</v>
      </c>
      <c r="B17" s="47" t="s">
        <v>93</v>
      </c>
      <c r="C17" s="361" t="s">
        <v>9</v>
      </c>
      <c r="D17" s="368" t="str">
        <f>VLOOKUP(B17,RBC!$B$8:$K$268,10,FALSE)</f>
        <v>HI3</v>
      </c>
      <c r="E17" s="406">
        <v>5</v>
      </c>
      <c r="F17" s="128"/>
      <c r="G17" s="407" t="str">
        <f>IFERROR($E17/F17,"")</f>
        <v/>
      </c>
      <c r="H17" s="128"/>
      <c r="I17" s="407" t="str">
        <f>IFERROR($E17/H17,"")</f>
        <v/>
      </c>
      <c r="J17" s="128"/>
      <c r="K17" s="407" t="str">
        <f>IFERROR($E17/J17,"")</f>
        <v/>
      </c>
      <c r="L17" s="285">
        <f>VLOOKUP($B17,RBC!$B$5:$J$269,4,FALSE)</f>
        <v>140</v>
      </c>
      <c r="M17" s="423">
        <f>IFERROR($E17/L17,"")</f>
        <v>3.5714285714285712E-2</v>
      </c>
    </row>
    <row r="18" spans="1:13">
      <c r="A18" s="682"/>
      <c r="B18" s="35" t="s">
        <v>96</v>
      </c>
      <c r="C18" s="98" t="s">
        <v>10</v>
      </c>
      <c r="D18" s="369" t="str">
        <f>VLOOKUP(B18,RBC!$B$8:$K$268,10,FALSE)</f>
        <v>HI3</v>
      </c>
      <c r="E18" s="106">
        <v>4</v>
      </c>
      <c r="F18" s="22"/>
      <c r="G18" s="58" t="str">
        <f t="shared" ref="G18:G19" si="2">IFERROR($E18/F18,"")</f>
        <v/>
      </c>
      <c r="H18" s="429">
        <f>VLOOKUP($B18,RBC!$B$5:$J$269,4,FALSE)</f>
        <v>31000</v>
      </c>
      <c r="I18" s="428">
        <f t="shared" ref="I18:I19" si="3">IFERROR($E18/H18,"")</f>
        <v>1.2903225806451613E-4</v>
      </c>
      <c r="J18" s="22"/>
      <c r="K18" s="58" t="str">
        <f t="shared" ref="K18:M19" si="4">IFERROR($E18/J18,"")</f>
        <v/>
      </c>
      <c r="L18" s="9"/>
      <c r="M18" s="58" t="str">
        <f t="shared" si="4"/>
        <v/>
      </c>
    </row>
    <row r="19" spans="1:13" ht="15.75" thickBot="1">
      <c r="A19" s="682"/>
      <c r="B19" s="48" t="s">
        <v>99</v>
      </c>
      <c r="C19" s="441" t="s">
        <v>11</v>
      </c>
      <c r="D19" s="574" t="str">
        <f>VLOOKUP(B19,RBC!$B$8:$K$268,10,FALSE)</f>
        <v>HI5</v>
      </c>
      <c r="E19" s="107">
        <v>0.5</v>
      </c>
      <c r="F19" s="110"/>
      <c r="G19" s="439" t="str">
        <f t="shared" si="2"/>
        <v/>
      </c>
      <c r="H19" s="110"/>
      <c r="I19" s="440" t="str">
        <f t="shared" si="3"/>
        <v/>
      </c>
      <c r="J19" s="110"/>
      <c r="K19" s="439" t="str">
        <f t="shared" si="4"/>
        <v/>
      </c>
      <c r="L19" s="290">
        <f>VLOOKUP($B19,RBC!$B$5:$J$269,4,FALSE)</f>
        <v>0.35</v>
      </c>
      <c r="M19" s="438">
        <f t="shared" si="4"/>
        <v>1.4285714285714286</v>
      </c>
    </row>
    <row r="20" spans="1:13" ht="15.75" thickBot="1">
      <c r="A20" s="683"/>
      <c r="B20" s="785" t="s">
        <v>30</v>
      </c>
      <c r="C20" s="860"/>
      <c r="D20" s="860"/>
      <c r="E20" s="786"/>
      <c r="F20" s="109"/>
      <c r="G20" s="416"/>
      <c r="H20" s="103"/>
      <c r="I20" s="425">
        <f>SUM(I17:I19)</f>
        <v>1.2903225806451613E-4</v>
      </c>
      <c r="J20" s="103"/>
      <c r="K20" s="67"/>
      <c r="L20" s="43"/>
      <c r="M20" s="420">
        <f>SUM(M17:M19)</f>
        <v>1.4642857142857144</v>
      </c>
    </row>
    <row r="21" spans="1:13">
      <c r="A21" s="681" t="s">
        <v>685</v>
      </c>
      <c r="B21" s="867" t="s">
        <v>622</v>
      </c>
      <c r="C21" s="868"/>
      <c r="D21" s="868"/>
      <c r="E21" s="869"/>
      <c r="F21" s="78"/>
      <c r="G21" s="287">
        <f>IF(SUMIF($D$13:$D$19,"HI3",G13:G19)=0,"--",SUMIF($D$13:$D$19,"HI3",G13:G19))</f>
        <v>6.4</v>
      </c>
      <c r="H21" s="78"/>
      <c r="I21" s="287">
        <f>IF(SUMIF($D$13:$D$19,"HI3",I13:I19)=0,"--",SUMIF($D$13:$D$19,"HI3",I13:I19))</f>
        <v>0.1779068100358423</v>
      </c>
      <c r="J21" s="78"/>
      <c r="K21" s="287">
        <f>IF(SUMIF($D$13:$D$19,"HI3",K13:K19)=0,"--",SUMIF($D$13:$D$19,"HI3",K13:K19))</f>
        <v>3.5714285714285716</v>
      </c>
      <c r="L21" s="78"/>
      <c r="M21" s="287">
        <f>IF(SUMIF($D$13:$D$19,"HI3",M13:M19)=0,"--",SUMIF($D$13:$D$19,"HI3",M13:M19))</f>
        <v>3.6071428571428572</v>
      </c>
    </row>
    <row r="22" spans="1:13">
      <c r="A22" s="682"/>
      <c r="B22" s="929" t="s">
        <v>623</v>
      </c>
      <c r="C22" s="930"/>
      <c r="D22" s="930"/>
      <c r="E22" s="931"/>
      <c r="F22" s="72"/>
      <c r="G22" s="281" t="str">
        <f>IF(SUMIF($D$13:$D$19,"HI5",G13:G19)=0,"--",SUMIF($D$13:$D$19,"HI5",G13:G19))</f>
        <v>--</v>
      </c>
      <c r="H22" s="64"/>
      <c r="I22" s="281" t="str">
        <f>IF(SUMIF($D$13:$D$19,"HI5",I13:I19)=0,"--",SUMIF($D$13:$D$19,"HI5",I13:I19))</f>
        <v>--</v>
      </c>
      <c r="J22" s="64"/>
      <c r="K22" s="281" t="str">
        <f>IF(SUMIF($D$13:$D$19,"HI5",K13:K19)=0,"--",SUMIF($D$13:$D$19,"HI5",K13:K19))</f>
        <v>--</v>
      </c>
      <c r="L22" s="72"/>
      <c r="M22" s="281">
        <f>IF(SUMIF($D$13:$D$19,"HI5",M13:M19)=0,"--",SUMIF($D$13:$D$19,"HI5",M13:M19))</f>
        <v>1.4285714285714286</v>
      </c>
    </row>
    <row r="23" spans="1:13">
      <c r="A23" s="682"/>
      <c r="B23" s="929" t="s">
        <v>626</v>
      </c>
      <c r="C23" s="930"/>
      <c r="D23" s="930"/>
      <c r="E23" s="931"/>
      <c r="F23" s="72"/>
      <c r="G23" s="281">
        <f>IF(G21="--",G22,IF(G22="--",G21,G21+G22))</f>
        <v>6.4</v>
      </c>
      <c r="H23" s="64"/>
      <c r="I23" s="281">
        <f>IF(I21="--",I22,IF(I22="--",I21,I21+I22))</f>
        <v>0.1779068100358423</v>
      </c>
      <c r="J23" s="64"/>
      <c r="K23" s="281">
        <f>IF(K21="--",K22,IF(K22="--",K21,K21+K22))</f>
        <v>3.5714285714285716</v>
      </c>
      <c r="L23" s="72"/>
      <c r="M23" s="281">
        <f>IF(M21="--",M22,IF(M22="--",M21,M21+M22))</f>
        <v>5.0357142857142856</v>
      </c>
    </row>
    <row r="24" spans="1:13" ht="15.75" thickBot="1">
      <c r="A24" s="682"/>
      <c r="B24" s="932" t="s">
        <v>650</v>
      </c>
      <c r="C24" s="933"/>
      <c r="D24" s="933"/>
      <c r="E24" s="934"/>
      <c r="F24" s="73"/>
      <c r="G24" s="575">
        <f>IF(G21="--",G22/5,IF(G22="--",G21/3,(G21/3)+(G22/5)))</f>
        <v>2.1333333333333333</v>
      </c>
      <c r="H24" s="62"/>
      <c r="I24" s="575">
        <f>IF(I21="--",I22/5,IF(I22="--",I21/3,(I21/3)+(I22/5)))</f>
        <v>5.9302270011947433E-2</v>
      </c>
      <c r="J24" s="62"/>
      <c r="K24" s="575">
        <f>IF(K21="--",K22/5,IF(K22="--",K21/3,(K21/3)+(K22/5)))</f>
        <v>1.1904761904761905</v>
      </c>
      <c r="L24" s="73"/>
      <c r="M24" s="575">
        <f>IF(M21="--",M22/5,IF(M22="--",M21/3,(M21/3)+(M22/5)))</f>
        <v>1.4880952380952381</v>
      </c>
    </row>
    <row r="25" spans="1:13" ht="15.75" customHeight="1" thickBot="1">
      <c r="A25" s="683"/>
      <c r="B25" s="748" t="s">
        <v>829</v>
      </c>
      <c r="C25" s="749"/>
      <c r="D25" s="749"/>
      <c r="E25" s="878"/>
      <c r="F25" s="73"/>
      <c r="G25" s="576">
        <f>G24</f>
        <v>2.1333333333333333</v>
      </c>
      <c r="H25" s="62"/>
      <c r="I25" s="576">
        <f>I24</f>
        <v>5.9302270011947433E-2</v>
      </c>
      <c r="J25" s="62"/>
      <c r="K25" s="576">
        <f>K24</f>
        <v>1.1904761904761905</v>
      </c>
      <c r="L25" s="73"/>
      <c r="M25" s="576">
        <f>M24</f>
        <v>1.4880952380952381</v>
      </c>
    </row>
    <row r="26" spans="1:13" ht="15.75" thickBot="1">
      <c r="D26" s="750"/>
      <c r="E26" s="750"/>
      <c r="F26" s="750"/>
      <c r="G26" s="750"/>
      <c r="H26" s="750"/>
      <c r="I26" s="360"/>
      <c r="J26" s="360"/>
      <c r="K26" s="360"/>
      <c r="L26" s="360"/>
    </row>
    <row r="27" spans="1:13" ht="17.25" customHeight="1">
      <c r="B27" s="847" t="s">
        <v>665</v>
      </c>
      <c r="C27" s="848"/>
      <c r="D27" s="412" t="s">
        <v>664</v>
      </c>
      <c r="E27" s="409" t="s">
        <v>763</v>
      </c>
      <c r="F27" s="410"/>
      <c r="G27" s="411"/>
      <c r="J27" s="12"/>
      <c r="K27" s="12"/>
      <c r="L27" s="13"/>
    </row>
    <row r="28" spans="1:13" ht="18" thickBot="1">
      <c r="B28" s="849"/>
      <c r="C28" s="850"/>
      <c r="D28" s="413"/>
      <c r="E28" s="209" t="s">
        <v>679</v>
      </c>
      <c r="F28" s="233" t="s">
        <v>680</v>
      </c>
      <c r="G28" s="232" t="s">
        <v>764</v>
      </c>
      <c r="J28" s="203"/>
      <c r="K28" s="203"/>
      <c r="L28" s="203"/>
    </row>
    <row r="29" spans="1:13">
      <c r="B29" s="703" t="s">
        <v>84</v>
      </c>
      <c r="C29" s="851"/>
      <c r="D29" s="254">
        <v>0.5</v>
      </c>
      <c r="E29" s="703">
        <v>0.5</v>
      </c>
      <c r="F29" s="704"/>
      <c r="G29" s="403"/>
      <c r="J29" s="203"/>
      <c r="K29" s="203"/>
      <c r="L29" s="203"/>
    </row>
    <row r="30" spans="1:13">
      <c r="B30" s="705" t="s">
        <v>77</v>
      </c>
      <c r="C30" s="844"/>
      <c r="D30" s="196">
        <v>25</v>
      </c>
      <c r="E30" s="705">
        <v>1</v>
      </c>
      <c r="F30" s="706"/>
      <c r="G30" s="404"/>
      <c r="J30" s="203"/>
      <c r="K30" s="204"/>
      <c r="L30" s="203"/>
    </row>
    <row r="31" spans="1:13">
      <c r="B31" s="705" t="s">
        <v>78</v>
      </c>
      <c r="C31" s="844"/>
      <c r="D31" s="196">
        <v>50</v>
      </c>
      <c r="E31" s="252" t="s">
        <v>681</v>
      </c>
      <c r="F31" s="234">
        <v>5</v>
      </c>
      <c r="G31" s="235">
        <v>1</v>
      </c>
      <c r="J31" s="203"/>
      <c r="K31" s="204"/>
      <c r="L31" s="203"/>
    </row>
    <row r="32" spans="1:13">
      <c r="B32" s="705" t="s">
        <v>79</v>
      </c>
      <c r="C32" s="844"/>
      <c r="D32" s="196">
        <v>200</v>
      </c>
      <c r="E32" s="252" t="s">
        <v>682</v>
      </c>
      <c r="F32" s="234">
        <v>10</v>
      </c>
      <c r="G32" s="235">
        <v>2</v>
      </c>
      <c r="J32" s="203"/>
      <c r="K32" s="204"/>
      <c r="L32" s="203"/>
    </row>
    <row r="33" spans="1:21" ht="15.75" thickBot="1">
      <c r="B33" s="845" t="s">
        <v>80</v>
      </c>
      <c r="C33" s="846"/>
      <c r="D33" s="255">
        <v>500</v>
      </c>
      <c r="E33" s="253" t="s">
        <v>683</v>
      </c>
      <c r="F33" s="236">
        <v>20</v>
      </c>
      <c r="G33" s="237">
        <v>4</v>
      </c>
    </row>
    <row r="35" spans="1:21">
      <c r="A35" s="63" t="s">
        <v>58</v>
      </c>
    </row>
    <row r="36" spans="1:21" s="37" customFormat="1" ht="14.25">
      <c r="A36" s="13" t="s">
        <v>722</v>
      </c>
      <c r="D36" s="193"/>
      <c r="E36" s="193"/>
    </row>
    <row r="37" spans="1:21" s="37" customFormat="1" ht="14.25">
      <c r="A37" s="13" t="s">
        <v>757</v>
      </c>
      <c r="D37" s="193"/>
      <c r="E37" s="193"/>
    </row>
    <row r="38" spans="1:21" ht="16.5">
      <c r="A38" s="13" t="s">
        <v>724</v>
      </c>
      <c r="B38" s="15"/>
      <c r="C38" s="15"/>
      <c r="D38" s="15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U38" s="17"/>
    </row>
    <row r="39" spans="1:21">
      <c r="A39" s="13" t="s">
        <v>760</v>
      </c>
      <c r="B39" s="15"/>
      <c r="C39" s="15"/>
      <c r="D39" s="15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U39" s="17"/>
    </row>
    <row r="40" spans="1:21">
      <c r="A40" s="13" t="s">
        <v>761</v>
      </c>
      <c r="C40" s="15"/>
      <c r="D40" s="15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U40" s="17"/>
    </row>
    <row r="41" spans="1:21" ht="15" customHeight="1">
      <c r="A41" s="13" t="s">
        <v>698</v>
      </c>
      <c r="C41" s="15"/>
      <c r="D41" s="15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U41" s="17"/>
    </row>
    <row r="42" spans="1:21">
      <c r="A42" s="13" t="s">
        <v>699</v>
      </c>
      <c r="C42" s="15"/>
      <c r="D42" s="15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>
      <c r="A43" s="13" t="s">
        <v>700</v>
      </c>
      <c r="C43" s="15"/>
      <c r="D43" s="15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>
      <c r="A44" s="13" t="s">
        <v>860</v>
      </c>
      <c r="C44" s="15"/>
      <c r="D44" s="15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>
      <c r="A45" s="13" t="s">
        <v>868</v>
      </c>
      <c r="C45" s="15"/>
      <c r="D45" s="15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>
      <c r="A46" s="13"/>
    </row>
    <row r="47" spans="1:21">
      <c r="A47" s="13" t="s">
        <v>640</v>
      </c>
    </row>
    <row r="48" spans="1:21">
      <c r="A48" s="13" t="s">
        <v>632</v>
      </c>
    </row>
    <row r="49" spans="1:1">
      <c r="A49" s="13" t="s">
        <v>641</v>
      </c>
    </row>
    <row r="50" spans="1:1">
      <c r="A50" s="11" t="s">
        <v>59</v>
      </c>
    </row>
    <row r="52" spans="1:1">
      <c r="A52" s="14" t="s">
        <v>697</v>
      </c>
    </row>
    <row r="53" spans="1:1">
      <c r="A53" s="37" t="s">
        <v>696</v>
      </c>
    </row>
  </sheetData>
  <mergeCells count="39">
    <mergeCell ref="A13:A16"/>
    <mergeCell ref="E29:F29"/>
    <mergeCell ref="E30:F30"/>
    <mergeCell ref="B8:B12"/>
    <mergeCell ref="E7:M7"/>
    <mergeCell ref="B27:C28"/>
    <mergeCell ref="B29:C29"/>
    <mergeCell ref="B30:C30"/>
    <mergeCell ref="J8:K8"/>
    <mergeCell ref="L8:M8"/>
    <mergeCell ref="J9:J12"/>
    <mergeCell ref="K9:K12"/>
    <mergeCell ref="L9:L12"/>
    <mergeCell ref="M9:M12"/>
    <mergeCell ref="A17:A20"/>
    <mergeCell ref="A21:A25"/>
    <mergeCell ref="A8:A12"/>
    <mergeCell ref="C8:C12"/>
    <mergeCell ref="F8:G8"/>
    <mergeCell ref="H8:I8"/>
    <mergeCell ref="E9:E12"/>
    <mergeCell ref="F9:F12"/>
    <mergeCell ref="G9:G12"/>
    <mergeCell ref="H9:H12"/>
    <mergeCell ref="I9:I12"/>
    <mergeCell ref="D8:D12"/>
    <mergeCell ref="B5:M5"/>
    <mergeCell ref="B6:M6"/>
    <mergeCell ref="B31:C31"/>
    <mergeCell ref="B32:C32"/>
    <mergeCell ref="B33:C33"/>
    <mergeCell ref="D26:H26"/>
    <mergeCell ref="B20:E20"/>
    <mergeCell ref="B16:E16"/>
    <mergeCell ref="B21:E21"/>
    <mergeCell ref="B22:E22"/>
    <mergeCell ref="B23:E23"/>
    <mergeCell ref="B24:E24"/>
    <mergeCell ref="B25:E25"/>
  </mergeCells>
  <pageMargins left="0.7" right="0.7" top="0.75" bottom="0.75" header="0.3" footer="0.3"/>
  <pageSetup paperSize="3" scale="63" orientation="landscape" r:id="rId1"/>
  <headerFooter>
    <oddHeader>&amp;C&amp;G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K268"/>
  <sheetViews>
    <sheetView zoomScale="110" zoomScaleNormal="110" workbookViewId="0">
      <selection activeCell="N14" sqref="N14"/>
    </sheetView>
  </sheetViews>
  <sheetFormatPr defaultColWidth="9.140625" defaultRowHeight="15"/>
  <cols>
    <col min="1" max="1" width="2.140625" style="10" customWidth="1"/>
    <col min="2" max="2" width="11.42578125" style="10" bestFit="1" customWidth="1"/>
    <col min="3" max="3" width="47.42578125" style="10" customWidth="1"/>
    <col min="4" max="10" width="12.140625" style="10" customWidth="1"/>
    <col min="11" max="11" width="19.5703125" style="175" customWidth="1"/>
    <col min="12" max="16384" width="9.140625" style="10"/>
  </cols>
  <sheetData>
    <row r="2" spans="2:11" ht="19.5">
      <c r="B2" s="928" t="s">
        <v>844</v>
      </c>
      <c r="C2" s="928"/>
      <c r="D2" s="928"/>
      <c r="E2" s="928"/>
      <c r="F2" s="928"/>
      <c r="G2" s="928"/>
      <c r="H2" s="928"/>
      <c r="I2" s="928"/>
      <c r="J2" s="928"/>
      <c r="K2" s="928"/>
    </row>
    <row r="3" spans="2:11" ht="19.5">
      <c r="B3" s="577"/>
      <c r="C3" s="577"/>
      <c r="D3" s="577"/>
      <c r="E3" s="577"/>
      <c r="F3" s="577"/>
      <c r="G3" s="577"/>
      <c r="H3" s="577"/>
      <c r="I3" s="577"/>
      <c r="J3" s="577"/>
      <c r="K3" s="577"/>
    </row>
    <row r="4" spans="2:11">
      <c r="B4" s="935" t="s">
        <v>85</v>
      </c>
      <c r="C4" s="936" t="s">
        <v>32</v>
      </c>
      <c r="D4" s="935" t="s">
        <v>830</v>
      </c>
      <c r="E4" s="935"/>
      <c r="F4" s="935"/>
      <c r="G4" s="935"/>
      <c r="H4" s="935"/>
      <c r="I4" s="935"/>
      <c r="J4" s="935"/>
      <c r="K4" s="936" t="s">
        <v>624</v>
      </c>
    </row>
    <row r="5" spans="2:11" ht="15" customHeight="1">
      <c r="B5" s="935"/>
      <c r="C5" s="936"/>
      <c r="D5" s="935" t="s">
        <v>64</v>
      </c>
      <c r="E5" s="937"/>
      <c r="F5" s="935" t="s">
        <v>86</v>
      </c>
      <c r="G5" s="938"/>
      <c r="H5" s="938"/>
      <c r="I5" s="937"/>
      <c r="J5" s="936" t="s">
        <v>87</v>
      </c>
      <c r="K5" s="936"/>
    </row>
    <row r="6" spans="2:11" ht="30">
      <c r="B6" s="935"/>
      <c r="C6" s="936"/>
      <c r="D6" s="418" t="s">
        <v>25</v>
      </c>
      <c r="E6" s="418" t="s">
        <v>26</v>
      </c>
      <c r="F6" s="418" t="s">
        <v>88</v>
      </c>
      <c r="G6" s="418" t="s">
        <v>89</v>
      </c>
      <c r="H6" s="418" t="s">
        <v>90</v>
      </c>
      <c r="I6" s="418" t="s">
        <v>91</v>
      </c>
      <c r="J6" s="936"/>
      <c r="K6" s="936"/>
    </row>
    <row r="7" spans="2:11" ht="17.25">
      <c r="B7" s="935"/>
      <c r="C7" s="936"/>
      <c r="D7" s="81" t="s">
        <v>92</v>
      </c>
      <c r="E7" s="81" t="s">
        <v>92</v>
      </c>
      <c r="F7" s="81" t="s">
        <v>92</v>
      </c>
      <c r="G7" s="81" t="s">
        <v>92</v>
      </c>
      <c r="H7" s="81" t="s">
        <v>92</v>
      </c>
      <c r="I7" s="81" t="s">
        <v>92</v>
      </c>
      <c r="J7" s="82" t="s">
        <v>92</v>
      </c>
      <c r="K7" s="936"/>
    </row>
    <row r="8" spans="2:11">
      <c r="B8" s="83" t="s">
        <v>93</v>
      </c>
      <c r="C8" s="84" t="s">
        <v>9</v>
      </c>
      <c r="D8" s="85">
        <v>0.45</v>
      </c>
      <c r="E8" s="86">
        <v>140</v>
      </c>
      <c r="F8" s="85">
        <v>12</v>
      </c>
      <c r="G8" s="86">
        <v>620</v>
      </c>
      <c r="H8" s="85">
        <v>5.5</v>
      </c>
      <c r="I8" s="86">
        <v>620</v>
      </c>
      <c r="J8" s="87">
        <v>470</v>
      </c>
      <c r="K8" s="174" t="s">
        <v>636</v>
      </c>
    </row>
    <row r="9" spans="2:11">
      <c r="B9" s="83" t="s">
        <v>94</v>
      </c>
      <c r="C9" s="84" t="s">
        <v>95</v>
      </c>
      <c r="D9" s="85">
        <v>0.05</v>
      </c>
      <c r="E9" s="86" t="s">
        <v>83</v>
      </c>
      <c r="F9" s="85">
        <v>1.3</v>
      </c>
      <c r="G9" s="86" t="s">
        <v>83</v>
      </c>
      <c r="H9" s="85">
        <v>0.6</v>
      </c>
      <c r="I9" s="86" t="s">
        <v>83</v>
      </c>
      <c r="J9" s="87" t="s">
        <v>83</v>
      </c>
      <c r="K9" s="174" t="s">
        <v>83</v>
      </c>
    </row>
    <row r="10" spans="2:11">
      <c r="B10" s="83" t="s">
        <v>96</v>
      </c>
      <c r="C10" s="84" t="s">
        <v>10</v>
      </c>
      <c r="D10" s="85" t="s">
        <v>83</v>
      </c>
      <c r="E10" s="86">
        <v>31000</v>
      </c>
      <c r="F10" s="85" t="s">
        <v>83</v>
      </c>
      <c r="G10" s="86">
        <v>140000</v>
      </c>
      <c r="H10" s="85" t="s">
        <v>83</v>
      </c>
      <c r="I10" s="86">
        <v>140000</v>
      </c>
      <c r="J10" s="87">
        <v>62000</v>
      </c>
      <c r="K10" s="174" t="s">
        <v>636</v>
      </c>
    </row>
    <row r="11" spans="2:11">
      <c r="B11" s="83" t="s">
        <v>97</v>
      </c>
      <c r="C11" s="84" t="s">
        <v>98</v>
      </c>
      <c r="D11" s="85" t="s">
        <v>83</v>
      </c>
      <c r="E11" s="86">
        <v>60</v>
      </c>
      <c r="F11" s="85" t="s">
        <v>83</v>
      </c>
      <c r="G11" s="86">
        <v>260</v>
      </c>
      <c r="H11" s="85" t="s">
        <v>83</v>
      </c>
      <c r="I11" s="86">
        <v>260</v>
      </c>
      <c r="J11" s="87" t="s">
        <v>83</v>
      </c>
      <c r="K11" s="174" t="s">
        <v>636</v>
      </c>
    </row>
    <row r="12" spans="2:11">
      <c r="B12" s="83" t="s">
        <v>99</v>
      </c>
      <c r="C12" s="84" t="s">
        <v>11</v>
      </c>
      <c r="D12" s="85" t="s">
        <v>83</v>
      </c>
      <c r="E12" s="86">
        <v>0.35</v>
      </c>
      <c r="F12" s="85" t="s">
        <v>83</v>
      </c>
      <c r="G12" s="86">
        <v>1.5</v>
      </c>
      <c r="H12" s="85" t="s">
        <v>83</v>
      </c>
      <c r="I12" s="86">
        <v>1.5</v>
      </c>
      <c r="J12" s="87">
        <v>6.9</v>
      </c>
      <c r="K12" s="174" t="s">
        <v>637</v>
      </c>
    </row>
    <row r="13" spans="2:11">
      <c r="B13" s="83" t="s">
        <v>100</v>
      </c>
      <c r="C13" s="84" t="s">
        <v>101</v>
      </c>
      <c r="D13" s="85">
        <v>5.8999999999999999E-3</v>
      </c>
      <c r="E13" s="86">
        <v>6</v>
      </c>
      <c r="F13" s="85">
        <v>6.2E-2</v>
      </c>
      <c r="G13" s="86">
        <v>26</v>
      </c>
      <c r="H13" s="85">
        <v>0.12</v>
      </c>
      <c r="I13" s="86">
        <v>26</v>
      </c>
      <c r="J13" s="87" t="s">
        <v>83</v>
      </c>
      <c r="K13" s="174" t="s">
        <v>636</v>
      </c>
    </row>
    <row r="14" spans="2:11">
      <c r="B14" s="83" t="s">
        <v>102</v>
      </c>
      <c r="C14" s="84" t="s">
        <v>103</v>
      </c>
      <c r="D14" s="85" t="s">
        <v>83</v>
      </c>
      <c r="E14" s="86">
        <v>1</v>
      </c>
      <c r="F14" s="85" t="s">
        <v>83</v>
      </c>
      <c r="G14" s="86">
        <v>4.4000000000000004</v>
      </c>
      <c r="H14" s="85" t="s">
        <v>83</v>
      </c>
      <c r="I14" s="86">
        <v>4.4000000000000004</v>
      </c>
      <c r="J14" s="87">
        <v>6000</v>
      </c>
      <c r="K14" s="174" t="s">
        <v>636</v>
      </c>
    </row>
    <row r="15" spans="2:11">
      <c r="B15" s="83" t="s">
        <v>104</v>
      </c>
      <c r="C15" s="84" t="s">
        <v>105</v>
      </c>
      <c r="D15" s="85">
        <v>1.4999999999999999E-2</v>
      </c>
      <c r="E15" s="86">
        <v>5</v>
      </c>
      <c r="F15" s="85">
        <v>0.38</v>
      </c>
      <c r="G15" s="86">
        <v>22</v>
      </c>
      <c r="H15" s="85">
        <v>0.18</v>
      </c>
      <c r="I15" s="86">
        <v>22</v>
      </c>
      <c r="J15" s="87">
        <v>220</v>
      </c>
      <c r="K15" s="174" t="s">
        <v>636</v>
      </c>
    </row>
    <row r="16" spans="2:11">
      <c r="B16" s="83" t="s">
        <v>106</v>
      </c>
      <c r="C16" s="84" t="s">
        <v>107</v>
      </c>
      <c r="D16" s="85">
        <v>2.0000000000000001E-4</v>
      </c>
      <c r="E16" s="86" t="s">
        <v>83</v>
      </c>
      <c r="F16" s="85">
        <v>5.3E-3</v>
      </c>
      <c r="G16" s="86" t="s">
        <v>83</v>
      </c>
      <c r="H16" s="85">
        <v>2.3999999999999998E-3</v>
      </c>
      <c r="I16" s="86" t="s">
        <v>83</v>
      </c>
      <c r="J16" s="87" t="s">
        <v>83</v>
      </c>
      <c r="K16" s="174" t="s">
        <v>83</v>
      </c>
    </row>
    <row r="17" spans="2:11">
      <c r="B17" s="83" t="s">
        <v>108</v>
      </c>
      <c r="C17" s="84" t="s">
        <v>109</v>
      </c>
      <c r="D17" s="85">
        <v>0.17</v>
      </c>
      <c r="E17" s="86">
        <v>1</v>
      </c>
      <c r="F17" s="85">
        <v>4.3</v>
      </c>
      <c r="G17" s="86">
        <v>4.4000000000000004</v>
      </c>
      <c r="H17" s="85">
        <v>2</v>
      </c>
      <c r="I17" s="86">
        <v>4.4000000000000004</v>
      </c>
      <c r="J17" s="87" t="s">
        <v>83</v>
      </c>
      <c r="K17" s="174" t="s">
        <v>636</v>
      </c>
    </row>
    <row r="18" spans="2:11">
      <c r="B18" s="83" t="s">
        <v>110</v>
      </c>
      <c r="C18" s="84" t="s">
        <v>111</v>
      </c>
      <c r="D18" s="85" t="s">
        <v>83</v>
      </c>
      <c r="E18" s="86">
        <v>5</v>
      </c>
      <c r="F18" s="85" t="s">
        <v>83</v>
      </c>
      <c r="G18" s="86">
        <v>22</v>
      </c>
      <c r="H18" s="85" t="s">
        <v>83</v>
      </c>
      <c r="I18" s="86">
        <v>22</v>
      </c>
      <c r="J18" s="87" t="s">
        <v>83</v>
      </c>
      <c r="K18" s="174" t="s">
        <v>637</v>
      </c>
    </row>
    <row r="19" spans="2:11">
      <c r="B19" s="83" t="s">
        <v>112</v>
      </c>
      <c r="C19" s="84" t="s">
        <v>113</v>
      </c>
      <c r="D19" s="85" t="s">
        <v>83</v>
      </c>
      <c r="E19" s="86">
        <v>500</v>
      </c>
      <c r="F19" s="85" t="s">
        <v>83</v>
      </c>
      <c r="G19" s="86">
        <v>2200</v>
      </c>
      <c r="H19" s="85" t="s">
        <v>83</v>
      </c>
      <c r="I19" s="86">
        <v>2200</v>
      </c>
      <c r="J19" s="87">
        <v>1200</v>
      </c>
      <c r="K19" s="174" t="s">
        <v>636</v>
      </c>
    </row>
    <row r="20" spans="2:11">
      <c r="B20" s="83" t="s">
        <v>114</v>
      </c>
      <c r="C20" s="84" t="s">
        <v>115</v>
      </c>
      <c r="D20" s="85">
        <v>0.63</v>
      </c>
      <c r="E20" s="86">
        <v>1</v>
      </c>
      <c r="F20" s="85">
        <v>16</v>
      </c>
      <c r="G20" s="86">
        <v>4.4000000000000004</v>
      </c>
      <c r="H20" s="85">
        <v>7.5</v>
      </c>
      <c r="I20" s="86">
        <v>4.4000000000000004</v>
      </c>
      <c r="J20" s="87" t="s">
        <v>83</v>
      </c>
      <c r="K20" s="174" t="s">
        <v>637</v>
      </c>
    </row>
    <row r="21" spans="2:11">
      <c r="B21" s="83" t="s">
        <v>116</v>
      </c>
      <c r="C21" s="84" t="s">
        <v>117</v>
      </c>
      <c r="D21" s="85" t="s">
        <v>83</v>
      </c>
      <c r="E21" s="86">
        <v>0.3</v>
      </c>
      <c r="F21" s="85" t="s">
        <v>83</v>
      </c>
      <c r="G21" s="86">
        <v>1.3</v>
      </c>
      <c r="H21" s="85" t="s">
        <v>83</v>
      </c>
      <c r="I21" s="86">
        <v>1.3</v>
      </c>
      <c r="J21" s="87">
        <v>1</v>
      </c>
      <c r="K21" s="174" t="s">
        <v>636</v>
      </c>
    </row>
    <row r="22" spans="2:11">
      <c r="B22" s="83" t="s">
        <v>118</v>
      </c>
      <c r="C22" s="84" t="s">
        <v>119</v>
      </c>
      <c r="D22" s="85">
        <v>0.14000000000000001</v>
      </c>
      <c r="E22" s="86" t="s">
        <v>83</v>
      </c>
      <c r="F22" s="85">
        <v>3.7</v>
      </c>
      <c r="G22" s="86" t="s">
        <v>83</v>
      </c>
      <c r="H22" s="85">
        <v>1.7</v>
      </c>
      <c r="I22" s="86" t="s">
        <v>83</v>
      </c>
      <c r="J22" s="87" t="s">
        <v>83</v>
      </c>
      <c r="K22" s="174" t="s">
        <v>83</v>
      </c>
    </row>
    <row r="23" spans="2:11">
      <c r="B23" s="83" t="s">
        <v>120</v>
      </c>
      <c r="C23" s="84" t="s">
        <v>121</v>
      </c>
      <c r="D23" s="85">
        <v>2.4000000000000001E-5</v>
      </c>
      <c r="E23" s="86">
        <v>1.7000000000000001E-4</v>
      </c>
      <c r="F23" s="85">
        <v>1.2999999999999999E-3</v>
      </c>
      <c r="G23" s="86">
        <v>2.3999999999999998E-3</v>
      </c>
      <c r="H23" s="85">
        <v>6.2E-4</v>
      </c>
      <c r="I23" s="86">
        <v>2.3999999999999998E-3</v>
      </c>
      <c r="J23" s="87">
        <v>0.2</v>
      </c>
      <c r="K23" s="174" t="s">
        <v>636</v>
      </c>
    </row>
    <row r="24" spans="2:11">
      <c r="B24" s="83" t="s">
        <v>122</v>
      </c>
      <c r="C24" s="84" t="s">
        <v>123</v>
      </c>
      <c r="D24" s="85" t="s">
        <v>83</v>
      </c>
      <c r="E24" s="86">
        <v>1.4999999999999999E-2</v>
      </c>
      <c r="F24" s="85" t="s">
        <v>83</v>
      </c>
      <c r="G24" s="86">
        <v>6.6000000000000003E-2</v>
      </c>
      <c r="H24" s="85" t="s">
        <v>83</v>
      </c>
      <c r="I24" s="86">
        <v>6.6000000000000003E-2</v>
      </c>
      <c r="J24" s="87">
        <v>0.2</v>
      </c>
      <c r="K24" s="174" t="s">
        <v>636</v>
      </c>
    </row>
    <row r="25" spans="2:11">
      <c r="B25" s="83" t="s">
        <v>124</v>
      </c>
      <c r="C25" s="84" t="s">
        <v>125</v>
      </c>
      <c r="D25" s="85">
        <v>4.3000000000000003E-6</v>
      </c>
      <c r="E25" s="86" t="s">
        <v>83</v>
      </c>
      <c r="F25" s="85">
        <v>1.1E-4</v>
      </c>
      <c r="G25" s="86" t="s">
        <v>83</v>
      </c>
      <c r="H25" s="85">
        <v>5.1999999999999997E-5</v>
      </c>
      <c r="I25" s="86" t="s">
        <v>83</v>
      </c>
      <c r="J25" s="87" t="s">
        <v>83</v>
      </c>
      <c r="K25" s="174" t="s">
        <v>83</v>
      </c>
    </row>
    <row r="26" spans="2:11">
      <c r="B26" s="83" t="s">
        <v>126</v>
      </c>
      <c r="C26" s="84" t="s">
        <v>127</v>
      </c>
      <c r="D26" s="85">
        <v>3.2000000000000001E-2</v>
      </c>
      <c r="E26" s="86" t="s">
        <v>83</v>
      </c>
      <c r="F26" s="85">
        <v>0.84</v>
      </c>
      <c r="G26" s="86" t="s">
        <v>83</v>
      </c>
      <c r="H26" s="85">
        <v>0.39</v>
      </c>
      <c r="I26" s="86" t="s">
        <v>83</v>
      </c>
      <c r="J26" s="87" t="s">
        <v>83</v>
      </c>
      <c r="K26" s="174" t="s">
        <v>83</v>
      </c>
    </row>
    <row r="27" spans="2:11">
      <c r="B27" s="83" t="s">
        <v>128</v>
      </c>
      <c r="C27" s="84" t="s">
        <v>129</v>
      </c>
      <c r="D27" s="85">
        <v>0.13</v>
      </c>
      <c r="E27" s="86">
        <v>3</v>
      </c>
      <c r="F27" s="85">
        <v>3.3</v>
      </c>
      <c r="G27" s="86">
        <v>13</v>
      </c>
      <c r="H27" s="85">
        <v>1.5</v>
      </c>
      <c r="I27" s="86">
        <v>13</v>
      </c>
      <c r="J27" s="87">
        <v>29</v>
      </c>
      <c r="K27" s="174" t="s">
        <v>636</v>
      </c>
    </row>
    <row r="28" spans="2:11">
      <c r="B28" s="83" t="s">
        <v>130</v>
      </c>
      <c r="C28" s="84" t="s">
        <v>131</v>
      </c>
      <c r="D28" s="85">
        <v>4.1999999999999996E-6</v>
      </c>
      <c r="E28" s="86" t="s">
        <v>83</v>
      </c>
      <c r="F28" s="85">
        <v>4.3999999999999999E-5</v>
      </c>
      <c r="G28" s="86" t="s">
        <v>83</v>
      </c>
      <c r="H28" s="85">
        <v>8.6000000000000003E-5</v>
      </c>
      <c r="I28" s="86" t="s">
        <v>83</v>
      </c>
      <c r="J28" s="87" t="s">
        <v>83</v>
      </c>
      <c r="K28" s="174" t="s">
        <v>83</v>
      </c>
    </row>
    <row r="29" spans="2:11">
      <c r="B29" s="83" t="s">
        <v>132</v>
      </c>
      <c r="C29" s="84" t="s">
        <v>133</v>
      </c>
      <c r="D29" s="85">
        <v>0.02</v>
      </c>
      <c r="E29" s="86">
        <v>1</v>
      </c>
      <c r="F29" s="85">
        <v>0.53</v>
      </c>
      <c r="G29" s="86">
        <v>4.4000000000000004</v>
      </c>
      <c r="H29" s="85">
        <v>0.24</v>
      </c>
      <c r="I29" s="86">
        <v>4.4000000000000004</v>
      </c>
      <c r="J29" s="87">
        <v>240</v>
      </c>
      <c r="K29" s="174" t="s">
        <v>636</v>
      </c>
    </row>
    <row r="30" spans="2:11">
      <c r="B30" s="83" t="s">
        <v>134</v>
      </c>
      <c r="C30" s="84" t="s">
        <v>135</v>
      </c>
      <c r="D30" s="85">
        <v>4.2000000000000002E-4</v>
      </c>
      <c r="E30" s="86">
        <v>7.0000000000000001E-3</v>
      </c>
      <c r="F30" s="85">
        <v>1.0999999999999999E-2</v>
      </c>
      <c r="G30" s="86">
        <v>3.1E-2</v>
      </c>
      <c r="H30" s="85">
        <v>5.0000000000000001E-3</v>
      </c>
      <c r="I30" s="86">
        <v>3.1E-2</v>
      </c>
      <c r="J30" s="87">
        <v>0.02</v>
      </c>
      <c r="K30" s="174" t="s">
        <v>636</v>
      </c>
    </row>
    <row r="31" spans="2:11">
      <c r="B31" s="83" t="s">
        <v>136</v>
      </c>
      <c r="C31" s="84" t="s">
        <v>654</v>
      </c>
      <c r="D31" s="85">
        <v>1.4E-3</v>
      </c>
      <c r="E31" s="86" t="s">
        <v>83</v>
      </c>
      <c r="F31" s="85">
        <v>3.6999999999999998E-2</v>
      </c>
      <c r="G31" s="86" t="s">
        <v>83</v>
      </c>
      <c r="H31" s="85">
        <v>1.7000000000000001E-2</v>
      </c>
      <c r="I31" s="86" t="s">
        <v>83</v>
      </c>
      <c r="J31" s="87">
        <v>120</v>
      </c>
      <c r="K31" s="174" t="s">
        <v>636</v>
      </c>
    </row>
    <row r="32" spans="2:11">
      <c r="B32" s="83" t="s">
        <v>137</v>
      </c>
      <c r="C32" s="84" t="s">
        <v>138</v>
      </c>
      <c r="D32" s="85">
        <v>7.7000000000000001E-5</v>
      </c>
      <c r="E32" s="86" t="s">
        <v>83</v>
      </c>
      <c r="F32" s="85">
        <v>2E-3</v>
      </c>
      <c r="G32" s="86" t="s">
        <v>83</v>
      </c>
      <c r="H32" s="85">
        <v>9.2000000000000003E-4</v>
      </c>
      <c r="I32" s="86" t="s">
        <v>83</v>
      </c>
      <c r="J32" s="87">
        <v>1.4</v>
      </c>
      <c r="K32" s="174" t="s">
        <v>637</v>
      </c>
    </row>
    <row r="33" spans="2:11">
      <c r="B33" s="83" t="s">
        <v>139</v>
      </c>
      <c r="C33" s="84" t="s">
        <v>140</v>
      </c>
      <c r="D33" s="85">
        <v>0.08</v>
      </c>
      <c r="E33" s="86" t="s">
        <v>83</v>
      </c>
      <c r="F33" s="85">
        <v>11</v>
      </c>
      <c r="G33" s="86" t="s">
        <v>83</v>
      </c>
      <c r="H33" s="85">
        <v>5</v>
      </c>
      <c r="I33" s="86" t="s">
        <v>83</v>
      </c>
      <c r="J33" s="87" t="s">
        <v>83</v>
      </c>
      <c r="K33" s="174" t="s">
        <v>83</v>
      </c>
    </row>
    <row r="34" spans="2:11">
      <c r="B34" s="83" t="s">
        <v>141</v>
      </c>
      <c r="C34" s="84" t="s">
        <v>142</v>
      </c>
      <c r="D34" s="85">
        <v>0.91</v>
      </c>
      <c r="E34" s="86" t="s">
        <v>83</v>
      </c>
      <c r="F34" s="85">
        <v>24</v>
      </c>
      <c r="G34" s="86" t="s">
        <v>83</v>
      </c>
      <c r="H34" s="85">
        <v>11</v>
      </c>
      <c r="I34" s="86" t="s">
        <v>83</v>
      </c>
      <c r="J34" s="87" t="s">
        <v>83</v>
      </c>
      <c r="K34" s="174" t="s">
        <v>83</v>
      </c>
    </row>
    <row r="35" spans="2:11">
      <c r="B35" s="83" t="s">
        <v>143</v>
      </c>
      <c r="C35" s="84" t="s">
        <v>144</v>
      </c>
      <c r="D35" s="85" t="s">
        <v>83</v>
      </c>
      <c r="E35" s="86">
        <v>5</v>
      </c>
      <c r="F35" s="85" t="s">
        <v>83</v>
      </c>
      <c r="G35" s="86">
        <v>22</v>
      </c>
      <c r="H35" s="85" t="s">
        <v>83</v>
      </c>
      <c r="I35" s="86">
        <v>22</v>
      </c>
      <c r="J35" s="87">
        <v>3900</v>
      </c>
      <c r="K35" s="174" t="s">
        <v>636</v>
      </c>
    </row>
    <row r="36" spans="2:11">
      <c r="B36" s="83" t="s">
        <v>145</v>
      </c>
      <c r="C36" s="84" t="s">
        <v>146</v>
      </c>
      <c r="D36" s="85">
        <v>0.48</v>
      </c>
      <c r="E36" s="86">
        <v>33</v>
      </c>
      <c r="F36" s="85">
        <v>12</v>
      </c>
      <c r="G36" s="86">
        <v>150</v>
      </c>
      <c r="H36" s="85">
        <v>5.7</v>
      </c>
      <c r="I36" s="86">
        <v>150</v>
      </c>
      <c r="J36" s="87">
        <v>1700</v>
      </c>
      <c r="K36" s="174" t="s">
        <v>636</v>
      </c>
    </row>
    <row r="37" spans="2:11">
      <c r="B37" s="83" t="s">
        <v>147</v>
      </c>
      <c r="C37" s="84" t="s">
        <v>148</v>
      </c>
      <c r="D37" s="85">
        <v>3.3000000000000002E-2</v>
      </c>
      <c r="E37" s="86">
        <v>2</v>
      </c>
      <c r="F37" s="85">
        <v>0.86</v>
      </c>
      <c r="G37" s="86">
        <v>8.8000000000000007</v>
      </c>
      <c r="H37" s="85">
        <v>0.4</v>
      </c>
      <c r="I37" s="86">
        <v>8.8000000000000007</v>
      </c>
      <c r="J37" s="87">
        <v>660</v>
      </c>
      <c r="K37" s="174" t="s">
        <v>636</v>
      </c>
    </row>
    <row r="38" spans="2:11">
      <c r="B38" s="83" t="s">
        <v>149</v>
      </c>
      <c r="C38" s="84" t="s">
        <v>150</v>
      </c>
      <c r="D38" s="85" t="s">
        <v>83</v>
      </c>
      <c r="E38" s="86">
        <v>5000</v>
      </c>
      <c r="F38" s="85" t="s">
        <v>83</v>
      </c>
      <c r="G38" s="86">
        <v>22000</v>
      </c>
      <c r="H38" s="85" t="s">
        <v>83</v>
      </c>
      <c r="I38" s="86">
        <v>22000</v>
      </c>
      <c r="J38" s="87">
        <v>5000</v>
      </c>
      <c r="K38" s="174" t="s">
        <v>636</v>
      </c>
    </row>
    <row r="39" spans="2:11">
      <c r="B39" s="83" t="s">
        <v>151</v>
      </c>
      <c r="C39" s="84" t="s">
        <v>152</v>
      </c>
      <c r="D39" s="85" t="s">
        <v>83</v>
      </c>
      <c r="E39" s="86">
        <v>30000</v>
      </c>
      <c r="F39" s="85" t="s">
        <v>83</v>
      </c>
      <c r="G39" s="86">
        <v>130000</v>
      </c>
      <c r="H39" s="85" t="s">
        <v>83</v>
      </c>
      <c r="I39" s="86">
        <v>130000</v>
      </c>
      <c r="J39" s="87" t="s">
        <v>83</v>
      </c>
      <c r="K39" s="174" t="s">
        <v>636</v>
      </c>
    </row>
    <row r="40" spans="2:11">
      <c r="B40" s="83" t="s">
        <v>153</v>
      </c>
      <c r="C40" s="84" t="s">
        <v>35</v>
      </c>
      <c r="D40" s="85">
        <v>5.5999999999999995E-4</v>
      </c>
      <c r="E40" s="86">
        <v>5.0000000000000001E-3</v>
      </c>
      <c r="F40" s="85">
        <v>1.4E-2</v>
      </c>
      <c r="G40" s="86">
        <v>3.6999999999999998E-2</v>
      </c>
      <c r="H40" s="85">
        <v>6.7000000000000002E-3</v>
      </c>
      <c r="I40" s="86">
        <v>3.6999999999999998E-2</v>
      </c>
      <c r="J40" s="87">
        <v>0.03</v>
      </c>
      <c r="K40" s="174" t="s">
        <v>636</v>
      </c>
    </row>
    <row r="41" spans="2:11">
      <c r="B41" s="83" t="s">
        <v>154</v>
      </c>
      <c r="C41" s="84" t="s">
        <v>155</v>
      </c>
      <c r="D41" s="85" t="s">
        <v>83</v>
      </c>
      <c r="E41" s="86">
        <v>2.2000000000000002</v>
      </c>
      <c r="F41" s="85" t="s">
        <v>83</v>
      </c>
      <c r="G41" s="86">
        <v>9.6999999999999993</v>
      </c>
      <c r="H41" s="85" t="s">
        <v>83</v>
      </c>
      <c r="I41" s="86">
        <v>9.6999999999999993</v>
      </c>
      <c r="J41" s="87">
        <v>50</v>
      </c>
      <c r="K41" s="174" t="s">
        <v>636</v>
      </c>
    </row>
    <row r="42" spans="2:11">
      <c r="B42" s="83" t="s">
        <v>156</v>
      </c>
      <c r="C42" s="84" t="s">
        <v>157</v>
      </c>
      <c r="D42" s="85" t="s">
        <v>83</v>
      </c>
      <c r="E42" s="86">
        <v>800</v>
      </c>
      <c r="F42" s="85" t="s">
        <v>83</v>
      </c>
      <c r="G42" s="86">
        <v>3500</v>
      </c>
      <c r="H42" s="85" t="s">
        <v>83</v>
      </c>
      <c r="I42" s="86">
        <v>3500</v>
      </c>
      <c r="J42" s="87">
        <v>6200</v>
      </c>
      <c r="K42" s="174" t="s">
        <v>636</v>
      </c>
    </row>
    <row r="43" spans="2:11">
      <c r="B43" s="83" t="s">
        <v>158</v>
      </c>
      <c r="C43" s="84" t="s">
        <v>159</v>
      </c>
      <c r="D43" s="85">
        <v>0.17</v>
      </c>
      <c r="E43" s="86">
        <v>100</v>
      </c>
      <c r="F43" s="85">
        <v>4.3</v>
      </c>
      <c r="G43" s="86">
        <v>440</v>
      </c>
      <c r="H43" s="85">
        <v>2</v>
      </c>
      <c r="I43" s="86">
        <v>440</v>
      </c>
      <c r="J43" s="87">
        <v>1900</v>
      </c>
      <c r="K43" s="174" t="s">
        <v>636</v>
      </c>
    </row>
    <row r="44" spans="2:11">
      <c r="B44" s="83" t="s">
        <v>160</v>
      </c>
      <c r="C44" s="84" t="s">
        <v>161</v>
      </c>
      <c r="D44" s="85" t="s">
        <v>83</v>
      </c>
      <c r="E44" s="86">
        <v>10</v>
      </c>
      <c r="F44" s="85" t="s">
        <v>83</v>
      </c>
      <c r="G44" s="86">
        <v>44</v>
      </c>
      <c r="H44" s="85" t="s">
        <v>83</v>
      </c>
      <c r="I44" s="86">
        <v>44</v>
      </c>
      <c r="J44" s="87">
        <v>660</v>
      </c>
      <c r="K44" s="174" t="s">
        <v>636</v>
      </c>
    </row>
    <row r="45" spans="2:11">
      <c r="B45" s="83" t="s">
        <v>162</v>
      </c>
      <c r="C45" s="84" t="s">
        <v>163</v>
      </c>
      <c r="D45" s="85">
        <v>0.01</v>
      </c>
      <c r="E45" s="86">
        <v>0.02</v>
      </c>
      <c r="F45" s="85">
        <v>0.26</v>
      </c>
      <c r="G45" s="86">
        <v>8.7999999999999995E-2</v>
      </c>
      <c r="H45" s="85">
        <v>0.12</v>
      </c>
      <c r="I45" s="86">
        <v>8.7999999999999995E-2</v>
      </c>
      <c r="J45" s="87">
        <v>0.2</v>
      </c>
      <c r="K45" s="174" t="s">
        <v>636</v>
      </c>
    </row>
    <row r="46" spans="2:11">
      <c r="B46" s="83" t="s">
        <v>164</v>
      </c>
      <c r="C46" s="84" t="s">
        <v>165</v>
      </c>
      <c r="D46" s="85">
        <v>0.04</v>
      </c>
      <c r="E46" s="86" t="s">
        <v>83</v>
      </c>
      <c r="F46" s="85">
        <v>1</v>
      </c>
      <c r="G46" s="86" t="s">
        <v>83</v>
      </c>
      <c r="H46" s="85">
        <v>0.48</v>
      </c>
      <c r="I46" s="86" t="s">
        <v>83</v>
      </c>
      <c r="J46" s="87" t="s">
        <v>83</v>
      </c>
      <c r="K46" s="174" t="s">
        <v>83</v>
      </c>
    </row>
    <row r="47" spans="2:11">
      <c r="B47" s="83" t="s">
        <v>166</v>
      </c>
      <c r="C47" s="84" t="s">
        <v>167</v>
      </c>
      <c r="D47" s="85" t="s">
        <v>83</v>
      </c>
      <c r="E47" s="86">
        <v>0.15</v>
      </c>
      <c r="F47" s="85" t="s">
        <v>83</v>
      </c>
      <c r="G47" s="86">
        <v>0.66</v>
      </c>
      <c r="H47" s="85" t="s">
        <v>83</v>
      </c>
      <c r="I47" s="86">
        <v>0.66</v>
      </c>
      <c r="J47" s="87">
        <v>170</v>
      </c>
      <c r="K47" s="174" t="s">
        <v>636</v>
      </c>
    </row>
    <row r="48" spans="2:11">
      <c r="B48" s="83" t="s">
        <v>168</v>
      </c>
      <c r="C48" s="84" t="s">
        <v>169</v>
      </c>
      <c r="D48" s="85" t="s">
        <v>83</v>
      </c>
      <c r="E48" s="86">
        <v>0.6</v>
      </c>
      <c r="F48" s="85" t="s">
        <v>83</v>
      </c>
      <c r="G48" s="86">
        <v>2.6</v>
      </c>
      <c r="H48" s="85" t="s">
        <v>83</v>
      </c>
      <c r="I48" s="86">
        <v>2.6</v>
      </c>
      <c r="J48" s="87">
        <v>2.8</v>
      </c>
      <c r="K48" s="174" t="s">
        <v>636</v>
      </c>
    </row>
    <row r="49" spans="2:11">
      <c r="B49" s="83" t="s">
        <v>170</v>
      </c>
      <c r="C49" s="84" t="s">
        <v>171</v>
      </c>
      <c r="D49" s="85" t="s">
        <v>83</v>
      </c>
      <c r="E49" s="86">
        <v>0.03</v>
      </c>
      <c r="F49" s="85" t="s">
        <v>83</v>
      </c>
      <c r="G49" s="86">
        <v>0.13</v>
      </c>
      <c r="H49" s="85" t="s">
        <v>83</v>
      </c>
      <c r="I49" s="86">
        <v>0.13</v>
      </c>
      <c r="J49" s="87" t="s">
        <v>83</v>
      </c>
      <c r="K49" s="174" t="s">
        <v>637</v>
      </c>
    </row>
    <row r="50" spans="2:11">
      <c r="B50" s="83" t="s">
        <v>172</v>
      </c>
      <c r="C50" s="84" t="s">
        <v>173</v>
      </c>
      <c r="D50" s="85" t="s">
        <v>83</v>
      </c>
      <c r="E50" s="86">
        <v>50</v>
      </c>
      <c r="F50" s="85" t="s">
        <v>83</v>
      </c>
      <c r="G50" s="86">
        <v>220</v>
      </c>
      <c r="H50" s="85" t="s">
        <v>83</v>
      </c>
      <c r="I50" s="86">
        <v>220</v>
      </c>
      <c r="J50" s="87" t="s">
        <v>83</v>
      </c>
      <c r="K50" s="174" t="s">
        <v>636</v>
      </c>
    </row>
    <row r="51" spans="2:11">
      <c r="B51" s="83" t="s">
        <v>174</v>
      </c>
      <c r="C51" s="84" t="s">
        <v>175</v>
      </c>
      <c r="D51" s="85" t="s">
        <v>83</v>
      </c>
      <c r="E51" s="86">
        <v>50000</v>
      </c>
      <c r="F51" s="85" t="s">
        <v>83</v>
      </c>
      <c r="G51" s="86">
        <v>220000</v>
      </c>
      <c r="H51" s="85" t="s">
        <v>83</v>
      </c>
      <c r="I51" s="86">
        <v>220000</v>
      </c>
      <c r="J51" s="87" t="s">
        <v>83</v>
      </c>
      <c r="K51" s="174" t="s">
        <v>636</v>
      </c>
    </row>
    <row r="52" spans="2:11">
      <c r="B52" s="83" t="s">
        <v>176</v>
      </c>
      <c r="C52" s="84" t="s">
        <v>177</v>
      </c>
      <c r="D52" s="85" t="s">
        <v>83</v>
      </c>
      <c r="E52" s="86">
        <v>50000</v>
      </c>
      <c r="F52" s="85" t="s">
        <v>83</v>
      </c>
      <c r="G52" s="86">
        <v>220000</v>
      </c>
      <c r="H52" s="85" t="s">
        <v>83</v>
      </c>
      <c r="I52" s="86">
        <v>220000</v>
      </c>
      <c r="J52" s="87" t="s">
        <v>83</v>
      </c>
      <c r="K52" s="174" t="s">
        <v>636</v>
      </c>
    </row>
    <row r="53" spans="2:11">
      <c r="B53" s="83" t="s">
        <v>178</v>
      </c>
      <c r="C53" s="84" t="s">
        <v>179</v>
      </c>
      <c r="D53" s="85" t="s">
        <v>83</v>
      </c>
      <c r="E53" s="86">
        <v>30000</v>
      </c>
      <c r="F53" s="85" t="s">
        <v>83</v>
      </c>
      <c r="G53" s="86">
        <v>130000</v>
      </c>
      <c r="H53" s="85" t="s">
        <v>83</v>
      </c>
      <c r="I53" s="86">
        <v>130000</v>
      </c>
      <c r="J53" s="87">
        <v>40000</v>
      </c>
      <c r="K53" s="174" t="s">
        <v>636</v>
      </c>
    </row>
    <row r="54" spans="2:11">
      <c r="B54" s="83" t="s">
        <v>180</v>
      </c>
      <c r="C54" s="84" t="s">
        <v>181</v>
      </c>
      <c r="D54" s="85" t="s">
        <v>83</v>
      </c>
      <c r="E54" s="86">
        <v>300</v>
      </c>
      <c r="F54" s="85" t="s">
        <v>83</v>
      </c>
      <c r="G54" s="86">
        <v>1300</v>
      </c>
      <c r="H54" s="85" t="s">
        <v>83</v>
      </c>
      <c r="I54" s="86">
        <v>1300</v>
      </c>
      <c r="J54" s="87">
        <v>490</v>
      </c>
      <c r="K54" s="174" t="s">
        <v>636</v>
      </c>
    </row>
    <row r="55" spans="2:11">
      <c r="B55" s="83" t="s">
        <v>182</v>
      </c>
      <c r="C55" s="84" t="s">
        <v>183</v>
      </c>
      <c r="D55" s="85" t="s">
        <v>83</v>
      </c>
      <c r="E55" s="86">
        <v>90</v>
      </c>
      <c r="F55" s="85" t="s">
        <v>83</v>
      </c>
      <c r="G55" s="86">
        <v>400</v>
      </c>
      <c r="H55" s="85" t="s">
        <v>83</v>
      </c>
      <c r="I55" s="86">
        <v>400</v>
      </c>
      <c r="J55" s="87">
        <v>1000</v>
      </c>
      <c r="K55" s="174" t="s">
        <v>636</v>
      </c>
    </row>
    <row r="56" spans="2:11">
      <c r="B56" s="83" t="s">
        <v>184</v>
      </c>
      <c r="C56" s="84" t="s">
        <v>185</v>
      </c>
      <c r="D56" s="85">
        <v>0.22</v>
      </c>
      <c r="E56" s="86" t="s">
        <v>83</v>
      </c>
      <c r="F56" s="85">
        <v>5.7</v>
      </c>
      <c r="G56" s="86" t="s">
        <v>83</v>
      </c>
      <c r="H56" s="85">
        <v>2.6</v>
      </c>
      <c r="I56" s="86" t="s">
        <v>83</v>
      </c>
      <c r="J56" s="87" t="s">
        <v>83</v>
      </c>
      <c r="K56" s="174" t="s">
        <v>83</v>
      </c>
    </row>
    <row r="57" spans="2:11">
      <c r="B57" s="83" t="s">
        <v>186</v>
      </c>
      <c r="C57" s="84" t="s">
        <v>187</v>
      </c>
      <c r="D57" s="85" t="s">
        <v>83</v>
      </c>
      <c r="E57" s="86">
        <v>0.4</v>
      </c>
      <c r="F57" s="85" t="s">
        <v>83</v>
      </c>
      <c r="G57" s="86">
        <v>1.8</v>
      </c>
      <c r="H57" s="85" t="s">
        <v>83</v>
      </c>
      <c r="I57" s="86">
        <v>1.8</v>
      </c>
      <c r="J57" s="87">
        <v>29</v>
      </c>
      <c r="K57" s="174" t="s">
        <v>636</v>
      </c>
    </row>
    <row r="58" spans="2:11">
      <c r="B58" s="83" t="s">
        <v>188</v>
      </c>
      <c r="C58" s="84" t="s">
        <v>189</v>
      </c>
      <c r="D58" s="85">
        <v>3.3E-3</v>
      </c>
      <c r="E58" s="86">
        <v>20</v>
      </c>
      <c r="F58" s="85">
        <v>8.6999999999999994E-2</v>
      </c>
      <c r="G58" s="86">
        <v>88</v>
      </c>
      <c r="H58" s="85">
        <v>0.04</v>
      </c>
      <c r="I58" s="86">
        <v>88</v>
      </c>
      <c r="J58" s="87" t="s">
        <v>83</v>
      </c>
      <c r="K58" s="174" t="s">
        <v>636</v>
      </c>
    </row>
    <row r="59" spans="2:11">
      <c r="B59" s="83" t="s">
        <v>190</v>
      </c>
      <c r="C59" s="84" t="s">
        <v>191</v>
      </c>
      <c r="D59" s="85">
        <v>1.2999999999999999E-2</v>
      </c>
      <c r="E59" s="86" t="s">
        <v>83</v>
      </c>
      <c r="F59" s="85">
        <v>0.34</v>
      </c>
      <c r="G59" s="86" t="s">
        <v>83</v>
      </c>
      <c r="H59" s="85">
        <v>0.16</v>
      </c>
      <c r="I59" s="86" t="s">
        <v>83</v>
      </c>
      <c r="J59" s="87" t="s">
        <v>83</v>
      </c>
      <c r="K59" s="174" t="s">
        <v>83</v>
      </c>
    </row>
    <row r="60" spans="2:11" ht="30">
      <c r="B60" s="88" t="s">
        <v>192</v>
      </c>
      <c r="C60" s="84" t="s">
        <v>193</v>
      </c>
      <c r="D60" s="85">
        <v>3.1000000000000001E-5</v>
      </c>
      <c r="E60" s="86">
        <v>8.3000000000000004E-2</v>
      </c>
      <c r="F60" s="85">
        <v>5.1999999999999995E-4</v>
      </c>
      <c r="G60" s="86">
        <v>0.88</v>
      </c>
      <c r="H60" s="85">
        <v>1E-3</v>
      </c>
      <c r="I60" s="86">
        <v>0.88</v>
      </c>
      <c r="J60" s="87">
        <v>0.3</v>
      </c>
      <c r="K60" s="174" t="s">
        <v>636</v>
      </c>
    </row>
    <row r="61" spans="2:11">
      <c r="B61" s="88" t="s">
        <v>194</v>
      </c>
      <c r="C61" s="84" t="s">
        <v>195</v>
      </c>
      <c r="D61" s="85">
        <v>3.1000000000000001E-5</v>
      </c>
      <c r="E61" s="86">
        <v>2.0999999999999999E-3</v>
      </c>
      <c r="F61" s="85">
        <v>5.1999999999999995E-4</v>
      </c>
      <c r="G61" s="86">
        <v>2.1999999999999999E-2</v>
      </c>
      <c r="H61" s="85">
        <v>1E-3</v>
      </c>
      <c r="I61" s="86">
        <v>2.1999999999999999E-2</v>
      </c>
      <c r="J61" s="87">
        <v>5.0000000000000001E-3</v>
      </c>
      <c r="K61" s="174" t="s">
        <v>636</v>
      </c>
    </row>
    <row r="62" spans="2:11">
      <c r="B62" s="83" t="s">
        <v>196</v>
      </c>
      <c r="C62" s="84" t="s">
        <v>197</v>
      </c>
      <c r="D62" s="85" t="s">
        <v>83</v>
      </c>
      <c r="E62" s="86">
        <v>0.1</v>
      </c>
      <c r="F62" s="85" t="s">
        <v>83</v>
      </c>
      <c r="G62" s="86">
        <v>0.44</v>
      </c>
      <c r="H62" s="85" t="s">
        <v>83</v>
      </c>
      <c r="I62" s="86">
        <v>0.44</v>
      </c>
      <c r="J62" s="87" t="s">
        <v>83</v>
      </c>
      <c r="K62" s="174" t="s">
        <v>636</v>
      </c>
    </row>
    <row r="63" spans="2:11">
      <c r="B63" s="83" t="s">
        <v>198</v>
      </c>
      <c r="C63" s="84" t="s">
        <v>199</v>
      </c>
      <c r="D63" s="85">
        <v>9.5E-4</v>
      </c>
      <c r="E63" s="86" t="s">
        <v>83</v>
      </c>
      <c r="F63" s="85">
        <v>0.01</v>
      </c>
      <c r="G63" s="86" t="s">
        <v>83</v>
      </c>
      <c r="H63" s="85">
        <v>1.9E-2</v>
      </c>
      <c r="I63" s="86" t="s">
        <v>83</v>
      </c>
      <c r="J63" s="87" t="s">
        <v>83</v>
      </c>
      <c r="K63" s="174" t="s">
        <v>83</v>
      </c>
    </row>
    <row r="64" spans="2:11">
      <c r="B64" s="83" t="s">
        <v>200</v>
      </c>
      <c r="C64" s="84" t="s">
        <v>201</v>
      </c>
      <c r="D64" s="85" t="s">
        <v>83</v>
      </c>
      <c r="E64" s="86" t="s">
        <v>83</v>
      </c>
      <c r="F64" s="85" t="s">
        <v>83</v>
      </c>
      <c r="G64" s="86" t="s">
        <v>83</v>
      </c>
      <c r="H64" s="85" t="s">
        <v>83</v>
      </c>
      <c r="I64" s="86" t="s">
        <v>83</v>
      </c>
      <c r="J64" s="87">
        <v>100</v>
      </c>
      <c r="K64" s="174" t="s">
        <v>636</v>
      </c>
    </row>
    <row r="65" spans="2:11">
      <c r="B65" s="83" t="s">
        <v>202</v>
      </c>
      <c r="C65" s="84" t="s">
        <v>203</v>
      </c>
      <c r="D65" s="85">
        <v>2.3E-2</v>
      </c>
      <c r="E65" s="86" t="s">
        <v>83</v>
      </c>
      <c r="F65" s="85">
        <v>0.6</v>
      </c>
      <c r="G65" s="86" t="s">
        <v>83</v>
      </c>
      <c r="H65" s="85">
        <v>0.28000000000000003</v>
      </c>
      <c r="I65" s="86" t="s">
        <v>83</v>
      </c>
      <c r="J65" s="87" t="s">
        <v>83</v>
      </c>
      <c r="K65" s="174" t="s">
        <v>83</v>
      </c>
    </row>
    <row r="66" spans="2:11" ht="30">
      <c r="B66" s="83" t="s">
        <v>204</v>
      </c>
      <c r="C66" s="84" t="s">
        <v>205</v>
      </c>
      <c r="D66" s="85" t="s">
        <v>83</v>
      </c>
      <c r="E66" s="86">
        <v>600</v>
      </c>
      <c r="F66" s="85" t="s">
        <v>83</v>
      </c>
      <c r="G66" s="86">
        <v>2600</v>
      </c>
      <c r="H66" s="85" t="s">
        <v>83</v>
      </c>
      <c r="I66" s="86">
        <v>2600</v>
      </c>
      <c r="J66" s="87" t="s">
        <v>83</v>
      </c>
      <c r="K66" s="174" t="s">
        <v>636</v>
      </c>
    </row>
    <row r="67" spans="2:11">
      <c r="B67" s="83" t="s">
        <v>206</v>
      </c>
      <c r="C67" s="84" t="s">
        <v>207</v>
      </c>
      <c r="D67" s="85">
        <v>1.6E-2</v>
      </c>
      <c r="E67" s="86" t="s">
        <v>83</v>
      </c>
      <c r="F67" s="85">
        <v>0.41</v>
      </c>
      <c r="G67" s="86" t="s">
        <v>83</v>
      </c>
      <c r="H67" s="85">
        <v>0.19</v>
      </c>
      <c r="I67" s="86" t="s">
        <v>83</v>
      </c>
      <c r="J67" s="87" t="s">
        <v>83</v>
      </c>
      <c r="K67" s="174" t="s">
        <v>83</v>
      </c>
    </row>
    <row r="68" spans="2:11">
      <c r="B68" s="83" t="s">
        <v>208</v>
      </c>
      <c r="C68" s="84" t="s">
        <v>209</v>
      </c>
      <c r="D68" s="85" t="s">
        <v>83</v>
      </c>
      <c r="E68" s="86">
        <v>0.8</v>
      </c>
      <c r="F68" s="85" t="s">
        <v>83</v>
      </c>
      <c r="G68" s="86">
        <v>3.5</v>
      </c>
      <c r="H68" s="85" t="s">
        <v>83</v>
      </c>
      <c r="I68" s="86">
        <v>3.5</v>
      </c>
      <c r="J68" s="87">
        <v>340</v>
      </c>
      <c r="K68" s="174" t="s">
        <v>636</v>
      </c>
    </row>
    <row r="69" spans="2:11">
      <c r="B69" s="83" t="s">
        <v>210</v>
      </c>
      <c r="C69" s="84" t="s">
        <v>211</v>
      </c>
      <c r="D69" s="85" t="s">
        <v>83</v>
      </c>
      <c r="E69" s="86">
        <v>6000</v>
      </c>
      <c r="F69" s="85" t="s">
        <v>83</v>
      </c>
      <c r="G69" s="86">
        <v>26000</v>
      </c>
      <c r="H69" s="85" t="s">
        <v>83</v>
      </c>
      <c r="I69" s="86">
        <v>26000</v>
      </c>
      <c r="J69" s="87" t="s">
        <v>83</v>
      </c>
      <c r="K69" s="174" t="s">
        <v>636</v>
      </c>
    </row>
    <row r="70" spans="2:11">
      <c r="B70" s="83" t="s">
        <v>212</v>
      </c>
      <c r="C70" s="84" t="s">
        <v>213</v>
      </c>
      <c r="D70" s="85">
        <v>0.01</v>
      </c>
      <c r="E70" s="86" t="s">
        <v>83</v>
      </c>
      <c r="F70" s="85">
        <v>0.27</v>
      </c>
      <c r="G70" s="86" t="s">
        <v>83</v>
      </c>
      <c r="H70" s="85">
        <v>0.12</v>
      </c>
      <c r="I70" s="86" t="s">
        <v>83</v>
      </c>
      <c r="J70" s="87" t="s">
        <v>83</v>
      </c>
      <c r="K70" s="174" t="s">
        <v>83</v>
      </c>
    </row>
    <row r="71" spans="2:11">
      <c r="B71" s="83" t="s">
        <v>214</v>
      </c>
      <c r="C71" s="84" t="s">
        <v>215</v>
      </c>
      <c r="D71" s="85">
        <v>0.15</v>
      </c>
      <c r="E71" s="86" t="s">
        <v>83</v>
      </c>
      <c r="F71" s="85">
        <v>3.9</v>
      </c>
      <c r="G71" s="86" t="s">
        <v>83</v>
      </c>
      <c r="H71" s="85">
        <v>1.8</v>
      </c>
      <c r="I71" s="86" t="s">
        <v>83</v>
      </c>
      <c r="J71" s="87" t="s">
        <v>83</v>
      </c>
      <c r="K71" s="174" t="s">
        <v>83</v>
      </c>
    </row>
    <row r="72" spans="2:11">
      <c r="B72" s="83" t="s">
        <v>216</v>
      </c>
      <c r="C72" s="84" t="s">
        <v>217</v>
      </c>
      <c r="D72" s="85">
        <v>9.1E-4</v>
      </c>
      <c r="E72" s="86" t="s">
        <v>83</v>
      </c>
      <c r="F72" s="85">
        <v>2.4E-2</v>
      </c>
      <c r="G72" s="86" t="s">
        <v>83</v>
      </c>
      <c r="H72" s="85">
        <v>1.0999999999999999E-2</v>
      </c>
      <c r="I72" s="86" t="s">
        <v>83</v>
      </c>
      <c r="J72" s="87" t="s">
        <v>83</v>
      </c>
      <c r="K72" s="174" t="s">
        <v>83</v>
      </c>
    </row>
    <row r="73" spans="2:11">
      <c r="B73" s="83" t="s">
        <v>218</v>
      </c>
      <c r="C73" s="84" t="s">
        <v>219</v>
      </c>
      <c r="D73" s="85" t="s">
        <v>83</v>
      </c>
      <c r="E73" s="86" t="s">
        <v>83</v>
      </c>
      <c r="F73" s="85" t="s">
        <v>83</v>
      </c>
      <c r="G73" s="86" t="s">
        <v>83</v>
      </c>
      <c r="H73" s="85" t="s">
        <v>83</v>
      </c>
      <c r="I73" s="86" t="s">
        <v>83</v>
      </c>
      <c r="J73" s="87">
        <v>10</v>
      </c>
      <c r="K73" s="174" t="s">
        <v>636</v>
      </c>
    </row>
    <row r="74" spans="2:11">
      <c r="B74" s="83" t="s">
        <v>220</v>
      </c>
      <c r="C74" s="84" t="s">
        <v>221</v>
      </c>
      <c r="D74" s="85">
        <v>9.7999999999999997E-5</v>
      </c>
      <c r="E74" s="86">
        <v>0.2</v>
      </c>
      <c r="F74" s="85">
        <v>1E-3</v>
      </c>
      <c r="G74" s="86">
        <v>0.88</v>
      </c>
      <c r="H74" s="85">
        <v>2E-3</v>
      </c>
      <c r="I74" s="86">
        <v>0.88</v>
      </c>
      <c r="J74" s="87">
        <v>1.9</v>
      </c>
      <c r="K74" s="174" t="s">
        <v>636</v>
      </c>
    </row>
    <row r="75" spans="2:11">
      <c r="B75" s="83" t="s">
        <v>222</v>
      </c>
      <c r="C75" s="84" t="s">
        <v>223</v>
      </c>
      <c r="D75" s="85">
        <v>9.0999999999999998E-2</v>
      </c>
      <c r="E75" s="86">
        <v>60</v>
      </c>
      <c r="F75" s="85">
        <v>2.4</v>
      </c>
      <c r="G75" s="86">
        <v>260</v>
      </c>
      <c r="H75" s="85">
        <v>1.1000000000000001</v>
      </c>
      <c r="I75" s="86">
        <v>260</v>
      </c>
      <c r="J75" s="87">
        <v>12000</v>
      </c>
      <c r="K75" s="174" t="s">
        <v>636</v>
      </c>
    </row>
    <row r="76" spans="2:11">
      <c r="B76" s="83" t="s">
        <v>224</v>
      </c>
      <c r="C76" s="84" t="s">
        <v>225</v>
      </c>
      <c r="D76" s="85">
        <v>2.8999999999999998E-3</v>
      </c>
      <c r="E76" s="86" t="s">
        <v>83</v>
      </c>
      <c r="F76" s="85">
        <v>7.5999999999999998E-2</v>
      </c>
      <c r="G76" s="86" t="s">
        <v>83</v>
      </c>
      <c r="H76" s="85">
        <v>3.5000000000000003E-2</v>
      </c>
      <c r="I76" s="86" t="s">
        <v>83</v>
      </c>
      <c r="J76" s="87" t="s">
        <v>83</v>
      </c>
      <c r="K76" s="174" t="s">
        <v>83</v>
      </c>
    </row>
    <row r="77" spans="2:11">
      <c r="B77" s="83" t="s">
        <v>226</v>
      </c>
      <c r="C77" s="84" t="s">
        <v>227</v>
      </c>
      <c r="D77" s="85">
        <v>0.63</v>
      </c>
      <c r="E77" s="86" t="s">
        <v>83</v>
      </c>
      <c r="F77" s="85">
        <v>16</v>
      </c>
      <c r="G77" s="86" t="s">
        <v>83</v>
      </c>
      <c r="H77" s="85">
        <v>7.5</v>
      </c>
      <c r="I77" s="86" t="s">
        <v>83</v>
      </c>
      <c r="J77" s="87" t="s">
        <v>83</v>
      </c>
      <c r="K77" s="174" t="s">
        <v>83</v>
      </c>
    </row>
    <row r="78" spans="2:11">
      <c r="B78" s="83" t="s">
        <v>228</v>
      </c>
      <c r="C78" s="84" t="s">
        <v>229</v>
      </c>
      <c r="D78" s="85" t="s">
        <v>83</v>
      </c>
      <c r="E78" s="86" t="s">
        <v>83</v>
      </c>
      <c r="F78" s="85" t="s">
        <v>83</v>
      </c>
      <c r="G78" s="86" t="s">
        <v>83</v>
      </c>
      <c r="H78" s="85" t="s">
        <v>83</v>
      </c>
      <c r="I78" s="86" t="s">
        <v>83</v>
      </c>
      <c r="J78" s="87">
        <v>790</v>
      </c>
      <c r="K78" s="174" t="s">
        <v>636</v>
      </c>
    </row>
    <row r="79" spans="2:11">
      <c r="B79" s="83" t="s">
        <v>230</v>
      </c>
      <c r="C79" s="84" t="s">
        <v>231</v>
      </c>
      <c r="D79" s="85">
        <v>59</v>
      </c>
      <c r="E79" s="86">
        <v>600</v>
      </c>
      <c r="F79" s="85">
        <v>620</v>
      </c>
      <c r="G79" s="86">
        <v>2600</v>
      </c>
      <c r="H79" s="85">
        <v>1200</v>
      </c>
      <c r="I79" s="86">
        <v>2600</v>
      </c>
      <c r="J79" s="87">
        <v>2100</v>
      </c>
      <c r="K79" s="174" t="s">
        <v>636</v>
      </c>
    </row>
    <row r="80" spans="2:11">
      <c r="B80" s="83" t="s">
        <v>232</v>
      </c>
      <c r="C80" s="84" t="s">
        <v>233</v>
      </c>
      <c r="D80" s="85" t="s">
        <v>83</v>
      </c>
      <c r="E80" s="86">
        <v>4</v>
      </c>
      <c r="F80" s="85" t="s">
        <v>83</v>
      </c>
      <c r="G80" s="86">
        <v>18</v>
      </c>
      <c r="H80" s="85" t="s">
        <v>83</v>
      </c>
      <c r="I80" s="86">
        <v>18</v>
      </c>
      <c r="J80" s="87">
        <v>230</v>
      </c>
      <c r="K80" s="174" t="s">
        <v>636</v>
      </c>
    </row>
    <row r="81" spans="2:11">
      <c r="B81" s="83" t="s">
        <v>234</v>
      </c>
      <c r="C81" s="84" t="s">
        <v>235</v>
      </c>
      <c r="D81" s="85">
        <v>0.25</v>
      </c>
      <c r="E81" s="86">
        <v>32</v>
      </c>
      <c r="F81" s="85">
        <v>6.5</v>
      </c>
      <c r="G81" s="86">
        <v>140</v>
      </c>
      <c r="H81" s="85">
        <v>3</v>
      </c>
      <c r="I81" s="86">
        <v>140</v>
      </c>
      <c r="J81" s="87">
        <v>36</v>
      </c>
      <c r="K81" s="174" t="s">
        <v>636</v>
      </c>
    </row>
    <row r="82" spans="2:11">
      <c r="B82" s="83" t="s">
        <v>236</v>
      </c>
      <c r="C82" s="84" t="s">
        <v>846</v>
      </c>
      <c r="D82" s="85" t="s">
        <v>83</v>
      </c>
      <c r="E82" s="86">
        <v>0.54</v>
      </c>
      <c r="F82" s="85" t="s">
        <v>83</v>
      </c>
      <c r="G82" s="86">
        <v>2.4</v>
      </c>
      <c r="H82" s="85" t="s">
        <v>83</v>
      </c>
      <c r="I82" s="86">
        <v>2.4</v>
      </c>
      <c r="J82" s="87">
        <v>18</v>
      </c>
      <c r="K82" s="174" t="s">
        <v>637</v>
      </c>
    </row>
    <row r="83" spans="2:11">
      <c r="B83" s="83" t="s">
        <v>237</v>
      </c>
      <c r="C83" s="84" t="s">
        <v>238</v>
      </c>
      <c r="D83" s="85">
        <v>2.2000000000000001E-4</v>
      </c>
      <c r="E83" s="86" t="s">
        <v>83</v>
      </c>
      <c r="F83" s="85">
        <v>5.7000000000000002E-3</v>
      </c>
      <c r="G83" s="86" t="s">
        <v>83</v>
      </c>
      <c r="H83" s="85">
        <v>2.5999999999999999E-3</v>
      </c>
      <c r="I83" s="86" t="s">
        <v>83</v>
      </c>
      <c r="J83" s="87" t="s">
        <v>83</v>
      </c>
      <c r="K83" s="174" t="s">
        <v>83</v>
      </c>
    </row>
    <row r="84" spans="2:11">
      <c r="B84" s="83" t="s">
        <v>239</v>
      </c>
      <c r="C84" s="84" t="s">
        <v>240</v>
      </c>
      <c r="D84" s="85">
        <v>0.1</v>
      </c>
      <c r="E84" s="86">
        <v>5</v>
      </c>
      <c r="F84" s="85">
        <v>2.6</v>
      </c>
      <c r="G84" s="86">
        <v>22</v>
      </c>
      <c r="H84" s="85">
        <v>1.2</v>
      </c>
      <c r="I84" s="86">
        <v>22</v>
      </c>
      <c r="J84" s="87" t="s">
        <v>83</v>
      </c>
      <c r="K84" s="174" t="s">
        <v>636</v>
      </c>
    </row>
    <row r="85" spans="2:11">
      <c r="B85" s="83" t="s">
        <v>241</v>
      </c>
      <c r="C85" s="84" t="s">
        <v>242</v>
      </c>
      <c r="D85" s="85" t="s">
        <v>83</v>
      </c>
      <c r="E85" s="86">
        <v>0.2</v>
      </c>
      <c r="F85" s="85" t="s">
        <v>83</v>
      </c>
      <c r="G85" s="86">
        <v>0.88</v>
      </c>
      <c r="H85" s="85" t="s">
        <v>83</v>
      </c>
      <c r="I85" s="86">
        <v>0.88</v>
      </c>
      <c r="J85" s="87" t="s">
        <v>83</v>
      </c>
      <c r="K85" s="174" t="s">
        <v>636</v>
      </c>
    </row>
    <row r="86" spans="2:11">
      <c r="B86" s="83" t="s">
        <v>243</v>
      </c>
      <c r="C86" s="84" t="s">
        <v>244</v>
      </c>
      <c r="D86" s="85" t="s">
        <v>83</v>
      </c>
      <c r="E86" s="86">
        <v>0.1</v>
      </c>
      <c r="F86" s="85" t="s">
        <v>83</v>
      </c>
      <c r="G86" s="86">
        <v>0.44</v>
      </c>
      <c r="H86" s="85" t="s">
        <v>83</v>
      </c>
      <c r="I86" s="86">
        <v>0.44</v>
      </c>
      <c r="J86" s="87" t="s">
        <v>83</v>
      </c>
      <c r="K86" s="174" t="s">
        <v>636</v>
      </c>
    </row>
    <row r="87" spans="2:11">
      <c r="B87" s="83" t="s">
        <v>245</v>
      </c>
      <c r="C87" s="84" t="s">
        <v>246</v>
      </c>
      <c r="D87" s="85" t="s">
        <v>83</v>
      </c>
      <c r="E87" s="86">
        <v>0.3</v>
      </c>
      <c r="F87" s="85" t="s">
        <v>83</v>
      </c>
      <c r="G87" s="86">
        <v>1.3</v>
      </c>
      <c r="H87" s="85" t="s">
        <v>83</v>
      </c>
      <c r="I87" s="86">
        <v>1.3</v>
      </c>
      <c r="J87" s="87" t="s">
        <v>83</v>
      </c>
      <c r="K87" s="174" t="s">
        <v>637</v>
      </c>
    </row>
    <row r="88" spans="2:11">
      <c r="B88" s="83" t="s">
        <v>247</v>
      </c>
      <c r="C88" s="84" t="s">
        <v>248</v>
      </c>
      <c r="D88" s="85" t="s">
        <v>83</v>
      </c>
      <c r="E88" s="86">
        <v>40000</v>
      </c>
      <c r="F88" s="85" t="s">
        <v>83</v>
      </c>
      <c r="G88" s="86">
        <v>180000</v>
      </c>
      <c r="H88" s="85" t="s">
        <v>83</v>
      </c>
      <c r="I88" s="86">
        <v>180000</v>
      </c>
      <c r="J88" s="87" t="s">
        <v>83</v>
      </c>
      <c r="K88" s="174" t="s">
        <v>637</v>
      </c>
    </row>
    <row r="89" spans="2:11">
      <c r="B89" s="83" t="s">
        <v>249</v>
      </c>
      <c r="C89" s="84" t="s">
        <v>250</v>
      </c>
      <c r="D89" s="85">
        <v>7.6999999999999996E-4</v>
      </c>
      <c r="E89" s="86" t="s">
        <v>83</v>
      </c>
      <c r="F89" s="85">
        <v>0.02</v>
      </c>
      <c r="G89" s="86" t="s">
        <v>83</v>
      </c>
      <c r="H89" s="85">
        <v>9.1999999999999998E-3</v>
      </c>
      <c r="I89" s="86" t="s">
        <v>83</v>
      </c>
      <c r="J89" s="87" t="s">
        <v>83</v>
      </c>
      <c r="K89" s="174" t="s">
        <v>83</v>
      </c>
    </row>
    <row r="90" spans="2:11">
      <c r="B90" s="83" t="s">
        <v>251</v>
      </c>
      <c r="C90" s="84" t="s">
        <v>252</v>
      </c>
      <c r="D90" s="85" t="s">
        <v>83</v>
      </c>
      <c r="E90" s="86">
        <v>80</v>
      </c>
      <c r="F90" s="85" t="s">
        <v>83</v>
      </c>
      <c r="G90" s="86">
        <v>350</v>
      </c>
      <c r="H90" s="85" t="s">
        <v>83</v>
      </c>
      <c r="I90" s="86">
        <v>350</v>
      </c>
      <c r="J90" s="87" t="s">
        <v>83</v>
      </c>
      <c r="K90" s="174" t="s">
        <v>636</v>
      </c>
    </row>
    <row r="91" spans="2:11">
      <c r="B91" s="83" t="s">
        <v>253</v>
      </c>
      <c r="C91" s="84" t="s">
        <v>254</v>
      </c>
      <c r="D91" s="85" t="s">
        <v>83</v>
      </c>
      <c r="E91" s="86" t="s">
        <v>83</v>
      </c>
      <c r="F91" s="85" t="s">
        <v>83</v>
      </c>
      <c r="G91" s="86" t="s">
        <v>83</v>
      </c>
      <c r="H91" s="85" t="s">
        <v>83</v>
      </c>
      <c r="I91" s="86" t="s">
        <v>83</v>
      </c>
      <c r="J91" s="87">
        <v>0.49</v>
      </c>
      <c r="K91" s="174" t="s">
        <v>636</v>
      </c>
    </row>
    <row r="92" spans="2:11">
      <c r="B92" s="83" t="s">
        <v>255</v>
      </c>
      <c r="C92" s="84" t="s">
        <v>256</v>
      </c>
      <c r="D92" s="85">
        <v>1.0999999999999999E-2</v>
      </c>
      <c r="E92" s="86" t="s">
        <v>83</v>
      </c>
      <c r="F92" s="85">
        <v>0.28999999999999998</v>
      </c>
      <c r="G92" s="86" t="s">
        <v>83</v>
      </c>
      <c r="H92" s="85">
        <v>0.13</v>
      </c>
      <c r="I92" s="86" t="s">
        <v>83</v>
      </c>
      <c r="J92" s="87" t="s">
        <v>83</v>
      </c>
      <c r="K92" s="174" t="s">
        <v>83</v>
      </c>
    </row>
    <row r="93" spans="2:11">
      <c r="B93" s="83" t="s">
        <v>257</v>
      </c>
      <c r="C93" s="84" t="s">
        <v>258</v>
      </c>
      <c r="D93" s="85">
        <v>0.2</v>
      </c>
      <c r="E93" s="86">
        <v>30</v>
      </c>
      <c r="F93" s="85">
        <v>5.2</v>
      </c>
      <c r="G93" s="86">
        <v>130</v>
      </c>
      <c r="H93" s="85">
        <v>2.4</v>
      </c>
      <c r="I93" s="86">
        <v>130</v>
      </c>
      <c r="J93" s="87">
        <v>7200</v>
      </c>
      <c r="K93" s="174" t="s">
        <v>636</v>
      </c>
    </row>
    <row r="94" spans="2:11">
      <c r="B94" s="83" t="s">
        <v>259</v>
      </c>
      <c r="C94" s="84" t="s">
        <v>260</v>
      </c>
      <c r="D94" s="85">
        <v>4.4999999999999997E-3</v>
      </c>
      <c r="E94" s="86" t="s">
        <v>83</v>
      </c>
      <c r="F94" s="85">
        <v>0.12</v>
      </c>
      <c r="G94" s="86" t="s">
        <v>83</v>
      </c>
      <c r="H94" s="85">
        <v>5.5E-2</v>
      </c>
      <c r="I94" s="86" t="s">
        <v>83</v>
      </c>
      <c r="J94" s="87" t="s">
        <v>83</v>
      </c>
      <c r="K94" s="174" t="s">
        <v>83</v>
      </c>
    </row>
    <row r="95" spans="2:11">
      <c r="B95" s="83" t="s">
        <v>261</v>
      </c>
      <c r="C95" s="84" t="s">
        <v>262</v>
      </c>
      <c r="D95" s="85">
        <v>7.0999999999999998E-6</v>
      </c>
      <c r="E95" s="86" t="s">
        <v>83</v>
      </c>
      <c r="F95" s="85">
        <v>1.9000000000000001E-4</v>
      </c>
      <c r="G95" s="86" t="s">
        <v>83</v>
      </c>
      <c r="H95" s="85">
        <v>8.6000000000000003E-5</v>
      </c>
      <c r="I95" s="86" t="s">
        <v>83</v>
      </c>
      <c r="J95" s="87" t="s">
        <v>83</v>
      </c>
      <c r="K95" s="174" t="s">
        <v>83</v>
      </c>
    </row>
    <row r="96" spans="2:11">
      <c r="B96" s="83" t="s">
        <v>263</v>
      </c>
      <c r="C96" s="84" t="s">
        <v>264</v>
      </c>
      <c r="D96" s="85">
        <v>7.0999999999999998E-6</v>
      </c>
      <c r="E96" s="86" t="s">
        <v>83</v>
      </c>
      <c r="F96" s="85">
        <v>1.9000000000000001E-4</v>
      </c>
      <c r="G96" s="86" t="s">
        <v>83</v>
      </c>
      <c r="H96" s="85">
        <v>8.6000000000000003E-5</v>
      </c>
      <c r="I96" s="86" t="s">
        <v>83</v>
      </c>
      <c r="J96" s="87" t="s">
        <v>83</v>
      </c>
      <c r="K96" s="174" t="s">
        <v>83</v>
      </c>
    </row>
    <row r="97" spans="2:11">
      <c r="B97" s="83" t="s">
        <v>265</v>
      </c>
      <c r="C97" s="84" t="s">
        <v>266</v>
      </c>
      <c r="D97" s="85">
        <v>7.0999999999999998E-6</v>
      </c>
      <c r="E97" s="86" t="s">
        <v>83</v>
      </c>
      <c r="F97" s="85">
        <v>1.9000000000000001E-4</v>
      </c>
      <c r="G97" s="86" t="s">
        <v>83</v>
      </c>
      <c r="H97" s="85">
        <v>8.6000000000000003E-5</v>
      </c>
      <c r="I97" s="86" t="s">
        <v>83</v>
      </c>
      <c r="J97" s="87" t="s">
        <v>83</v>
      </c>
      <c r="K97" s="174" t="s">
        <v>83</v>
      </c>
    </row>
    <row r="98" spans="2:11">
      <c r="B98" s="83" t="s">
        <v>267</v>
      </c>
      <c r="C98" s="84" t="s">
        <v>268</v>
      </c>
      <c r="D98" s="85" t="s">
        <v>83</v>
      </c>
      <c r="E98" s="86" t="s">
        <v>83</v>
      </c>
      <c r="F98" s="85" t="s">
        <v>83</v>
      </c>
      <c r="G98" s="86" t="s">
        <v>83</v>
      </c>
      <c r="H98" s="85" t="s">
        <v>83</v>
      </c>
      <c r="I98" s="86" t="s">
        <v>83</v>
      </c>
      <c r="J98" s="87">
        <v>6</v>
      </c>
      <c r="K98" s="174" t="s">
        <v>636</v>
      </c>
    </row>
    <row r="99" spans="2:11">
      <c r="B99" s="83" t="s">
        <v>269</v>
      </c>
      <c r="C99" s="84" t="s">
        <v>270</v>
      </c>
      <c r="D99" s="85">
        <v>4.2999999999999997E-2</v>
      </c>
      <c r="E99" s="86">
        <v>3</v>
      </c>
      <c r="F99" s="85">
        <v>1.1000000000000001</v>
      </c>
      <c r="G99" s="86">
        <v>13</v>
      </c>
      <c r="H99" s="85">
        <v>0.52</v>
      </c>
      <c r="I99" s="86">
        <v>13</v>
      </c>
      <c r="J99" s="87">
        <v>1300</v>
      </c>
      <c r="K99" s="174" t="s">
        <v>636</v>
      </c>
    </row>
    <row r="100" spans="2:11">
      <c r="B100" s="83" t="s">
        <v>271</v>
      </c>
      <c r="C100" s="84" t="s">
        <v>272</v>
      </c>
      <c r="D100" s="85" t="s">
        <v>83</v>
      </c>
      <c r="E100" s="86">
        <v>20</v>
      </c>
      <c r="F100" s="85" t="s">
        <v>83</v>
      </c>
      <c r="G100" s="86">
        <v>88</v>
      </c>
      <c r="H100" s="85" t="s">
        <v>83</v>
      </c>
      <c r="I100" s="86">
        <v>88</v>
      </c>
      <c r="J100" s="87" t="s">
        <v>83</v>
      </c>
      <c r="K100" s="174" t="s">
        <v>637</v>
      </c>
    </row>
    <row r="101" spans="2:11">
      <c r="B101" s="83" t="s">
        <v>273</v>
      </c>
      <c r="C101" s="84" t="s">
        <v>274</v>
      </c>
      <c r="D101" s="85" t="s">
        <v>83</v>
      </c>
      <c r="E101" s="86">
        <v>8</v>
      </c>
      <c r="F101" s="85" t="s">
        <v>83</v>
      </c>
      <c r="G101" s="86">
        <v>35</v>
      </c>
      <c r="H101" s="85" t="s">
        <v>83</v>
      </c>
      <c r="I101" s="86">
        <v>35</v>
      </c>
      <c r="J101" s="87" t="s">
        <v>83</v>
      </c>
      <c r="K101" s="174" t="s">
        <v>636</v>
      </c>
    </row>
    <row r="102" spans="2:11">
      <c r="B102" s="83" t="s">
        <v>275</v>
      </c>
      <c r="C102" s="84" t="s">
        <v>276</v>
      </c>
      <c r="D102" s="85">
        <v>0.4</v>
      </c>
      <c r="E102" s="86">
        <v>260</v>
      </c>
      <c r="F102" s="85">
        <v>10</v>
      </c>
      <c r="G102" s="86">
        <v>1100</v>
      </c>
      <c r="H102" s="85">
        <v>4.8</v>
      </c>
      <c r="I102" s="86">
        <v>1100</v>
      </c>
      <c r="J102" s="87">
        <v>22000</v>
      </c>
      <c r="K102" s="174" t="s">
        <v>636</v>
      </c>
    </row>
    <row r="103" spans="2:11">
      <c r="B103" s="83" t="s">
        <v>277</v>
      </c>
      <c r="C103" s="84" t="s">
        <v>278</v>
      </c>
      <c r="D103" s="85">
        <v>1.6999999999999999E-3</v>
      </c>
      <c r="E103" s="86">
        <v>9</v>
      </c>
      <c r="F103" s="85">
        <v>4.2999999999999997E-2</v>
      </c>
      <c r="G103" s="86">
        <v>40</v>
      </c>
      <c r="H103" s="85">
        <v>0.02</v>
      </c>
      <c r="I103" s="86">
        <v>40</v>
      </c>
      <c r="J103" s="87" t="s">
        <v>83</v>
      </c>
      <c r="K103" s="174" t="s">
        <v>636</v>
      </c>
    </row>
    <row r="104" spans="2:11">
      <c r="B104" s="83" t="s">
        <v>279</v>
      </c>
      <c r="C104" s="84" t="s">
        <v>280</v>
      </c>
      <c r="D104" s="85">
        <v>3.7999999999999999E-2</v>
      </c>
      <c r="E104" s="86">
        <v>7</v>
      </c>
      <c r="F104" s="85">
        <v>1</v>
      </c>
      <c r="G104" s="86">
        <v>31</v>
      </c>
      <c r="H104" s="85">
        <v>0.46</v>
      </c>
      <c r="I104" s="86">
        <v>31</v>
      </c>
      <c r="J104" s="87" t="s">
        <v>83</v>
      </c>
      <c r="K104" s="174" t="s">
        <v>636</v>
      </c>
    </row>
    <row r="105" spans="2:11">
      <c r="B105" s="83" t="s">
        <v>281</v>
      </c>
      <c r="C105" s="84" t="s">
        <v>282</v>
      </c>
      <c r="D105" s="85" t="s">
        <v>83</v>
      </c>
      <c r="E105" s="86">
        <v>400</v>
      </c>
      <c r="F105" s="85" t="s">
        <v>83</v>
      </c>
      <c r="G105" s="86">
        <v>1800</v>
      </c>
      <c r="H105" s="85" t="s">
        <v>83</v>
      </c>
      <c r="I105" s="86">
        <v>1800</v>
      </c>
      <c r="J105" s="87">
        <v>2000</v>
      </c>
      <c r="K105" s="174" t="s">
        <v>636</v>
      </c>
    </row>
    <row r="106" spans="2:11">
      <c r="B106" s="83" t="s">
        <v>283</v>
      </c>
      <c r="C106" s="84" t="s">
        <v>284</v>
      </c>
      <c r="D106" s="85" t="s">
        <v>83</v>
      </c>
      <c r="E106" s="86">
        <v>82</v>
      </c>
      <c r="F106" s="85" t="s">
        <v>83</v>
      </c>
      <c r="G106" s="86">
        <v>360</v>
      </c>
      <c r="H106" s="85" t="s">
        <v>83</v>
      </c>
      <c r="I106" s="86">
        <v>360</v>
      </c>
      <c r="J106" s="87">
        <v>29000</v>
      </c>
      <c r="K106" s="174" t="s">
        <v>636</v>
      </c>
    </row>
    <row r="107" spans="2:11">
      <c r="B107" s="83" t="s">
        <v>285</v>
      </c>
      <c r="C107" s="84" t="s">
        <v>286</v>
      </c>
      <c r="D107" s="85" t="s">
        <v>83</v>
      </c>
      <c r="E107" s="86">
        <v>70</v>
      </c>
      <c r="F107" s="85" t="s">
        <v>83</v>
      </c>
      <c r="G107" s="86">
        <v>310</v>
      </c>
      <c r="H107" s="85" t="s">
        <v>83</v>
      </c>
      <c r="I107" s="86">
        <v>310</v>
      </c>
      <c r="J107" s="87">
        <v>370</v>
      </c>
      <c r="K107" s="174" t="s">
        <v>636</v>
      </c>
    </row>
    <row r="108" spans="2:11">
      <c r="B108" s="83" t="s">
        <v>287</v>
      </c>
      <c r="C108" s="84" t="s">
        <v>288</v>
      </c>
      <c r="D108" s="85" t="s">
        <v>83</v>
      </c>
      <c r="E108" s="86">
        <v>60</v>
      </c>
      <c r="F108" s="85" t="s">
        <v>83</v>
      </c>
      <c r="G108" s="86">
        <v>260</v>
      </c>
      <c r="H108" s="85" t="s">
        <v>83</v>
      </c>
      <c r="I108" s="86">
        <v>260</v>
      </c>
      <c r="J108" s="87">
        <v>140</v>
      </c>
      <c r="K108" s="174" t="s">
        <v>636</v>
      </c>
    </row>
    <row r="109" spans="2:11">
      <c r="B109" s="83" t="s">
        <v>289</v>
      </c>
      <c r="C109" s="84" t="s">
        <v>290</v>
      </c>
      <c r="D109" s="85" t="s">
        <v>83</v>
      </c>
      <c r="E109" s="86">
        <v>60</v>
      </c>
      <c r="F109" s="85" t="s">
        <v>83</v>
      </c>
      <c r="G109" s="86">
        <v>260</v>
      </c>
      <c r="H109" s="85" t="s">
        <v>83</v>
      </c>
      <c r="I109" s="86">
        <v>260</v>
      </c>
      <c r="J109" s="87">
        <v>93</v>
      </c>
      <c r="K109" s="174" t="s">
        <v>636</v>
      </c>
    </row>
    <row r="110" spans="2:11">
      <c r="B110" s="83" t="s">
        <v>291</v>
      </c>
      <c r="C110" s="84" t="s">
        <v>292</v>
      </c>
      <c r="D110" s="85" t="s">
        <v>83</v>
      </c>
      <c r="E110" s="86">
        <v>1</v>
      </c>
      <c r="F110" s="85" t="s">
        <v>83</v>
      </c>
      <c r="G110" s="86">
        <v>4.4000000000000004</v>
      </c>
      <c r="H110" s="85" t="s">
        <v>83</v>
      </c>
      <c r="I110" s="86">
        <v>4.4000000000000004</v>
      </c>
      <c r="J110" s="87" t="s">
        <v>83</v>
      </c>
      <c r="K110" s="174" t="s">
        <v>636</v>
      </c>
    </row>
    <row r="111" spans="2:11">
      <c r="B111" s="83" t="s">
        <v>293</v>
      </c>
      <c r="C111" s="84" t="s">
        <v>294</v>
      </c>
      <c r="D111" s="85">
        <v>2.0000000000000001E-4</v>
      </c>
      <c r="E111" s="86">
        <v>30</v>
      </c>
      <c r="F111" s="85">
        <v>2.0999999999999999E-3</v>
      </c>
      <c r="G111" s="86">
        <v>130</v>
      </c>
      <c r="H111" s="85">
        <v>4.0000000000000001E-3</v>
      </c>
      <c r="I111" s="86">
        <v>130</v>
      </c>
      <c r="J111" s="87">
        <v>160</v>
      </c>
      <c r="K111" s="174" t="s">
        <v>636</v>
      </c>
    </row>
    <row r="112" spans="2:11">
      <c r="B112" s="83" t="s">
        <v>295</v>
      </c>
      <c r="C112" s="84" t="s">
        <v>296</v>
      </c>
      <c r="D112" s="85">
        <v>7.6999999999999999E-2</v>
      </c>
      <c r="E112" s="86" t="s">
        <v>83</v>
      </c>
      <c r="F112" s="85">
        <v>2</v>
      </c>
      <c r="G112" s="86" t="s">
        <v>83</v>
      </c>
      <c r="H112" s="85">
        <v>0.92</v>
      </c>
      <c r="I112" s="86" t="s">
        <v>83</v>
      </c>
      <c r="J112" s="87" t="s">
        <v>83</v>
      </c>
      <c r="K112" s="174" t="s">
        <v>83</v>
      </c>
    </row>
    <row r="113" spans="2:11">
      <c r="B113" s="83" t="s">
        <v>297</v>
      </c>
      <c r="C113" s="84" t="s">
        <v>298</v>
      </c>
      <c r="D113" s="85" t="s">
        <v>83</v>
      </c>
      <c r="E113" s="86">
        <v>2.2999999999999998</v>
      </c>
      <c r="F113" s="85" t="s">
        <v>83</v>
      </c>
      <c r="G113" s="86">
        <v>20</v>
      </c>
      <c r="H113" s="85" t="s">
        <v>83</v>
      </c>
      <c r="I113" s="86">
        <v>20</v>
      </c>
      <c r="J113" s="87">
        <v>240</v>
      </c>
      <c r="K113" s="174" t="s">
        <v>636</v>
      </c>
    </row>
    <row r="114" spans="2:11">
      <c r="B114" s="83" t="s">
        <v>299</v>
      </c>
      <c r="C114" s="84" t="s">
        <v>300</v>
      </c>
      <c r="D114" s="85" t="s">
        <v>83</v>
      </c>
      <c r="E114" s="86" t="s">
        <v>83</v>
      </c>
      <c r="F114" s="85" t="s">
        <v>83</v>
      </c>
      <c r="G114" s="86" t="s">
        <v>83</v>
      </c>
      <c r="H114" s="85" t="s">
        <v>83</v>
      </c>
      <c r="I114" s="86" t="s">
        <v>83</v>
      </c>
      <c r="J114" s="87">
        <v>16</v>
      </c>
      <c r="K114" s="174" t="s">
        <v>636</v>
      </c>
    </row>
    <row r="115" spans="2:11">
      <c r="B115" s="83" t="s">
        <v>301</v>
      </c>
      <c r="C115" s="84" t="s">
        <v>302</v>
      </c>
      <c r="D115" s="85">
        <v>0.17</v>
      </c>
      <c r="E115" s="86">
        <v>9</v>
      </c>
      <c r="F115" s="85">
        <v>4.3</v>
      </c>
      <c r="G115" s="86">
        <v>40</v>
      </c>
      <c r="H115" s="85">
        <v>2</v>
      </c>
      <c r="I115" s="86">
        <v>40</v>
      </c>
      <c r="J115" s="87">
        <v>49</v>
      </c>
      <c r="K115" s="174" t="s">
        <v>636</v>
      </c>
    </row>
    <row r="116" spans="2:11">
      <c r="B116" s="83" t="s">
        <v>303</v>
      </c>
      <c r="C116" s="84" t="s">
        <v>304</v>
      </c>
      <c r="D116" s="85" t="s">
        <v>83</v>
      </c>
      <c r="E116" s="86">
        <v>0.08</v>
      </c>
      <c r="F116" s="85" t="s">
        <v>83</v>
      </c>
      <c r="G116" s="86">
        <v>0.35</v>
      </c>
      <c r="H116" s="85" t="s">
        <v>83</v>
      </c>
      <c r="I116" s="86">
        <v>0.35</v>
      </c>
      <c r="J116" s="87">
        <v>4.0999999999999996</v>
      </c>
      <c r="K116" s="174" t="s">
        <v>637</v>
      </c>
    </row>
    <row r="117" spans="2:11">
      <c r="B117" s="83" t="s">
        <v>305</v>
      </c>
      <c r="C117" s="84" t="s">
        <v>306</v>
      </c>
      <c r="D117" s="85">
        <v>7.6999999999999996E-4</v>
      </c>
      <c r="E117" s="86" t="s">
        <v>83</v>
      </c>
      <c r="F117" s="85">
        <v>0.02</v>
      </c>
      <c r="G117" s="86" t="s">
        <v>83</v>
      </c>
      <c r="H117" s="85">
        <v>9.1999999999999998E-3</v>
      </c>
      <c r="I117" s="86" t="s">
        <v>83</v>
      </c>
      <c r="J117" s="87" t="s">
        <v>83</v>
      </c>
      <c r="K117" s="174" t="s">
        <v>83</v>
      </c>
    </row>
    <row r="118" spans="2:11">
      <c r="B118" s="83" t="s">
        <v>307</v>
      </c>
      <c r="C118" s="84" t="s">
        <v>308</v>
      </c>
      <c r="D118" s="85">
        <v>3.8000000000000002E-4</v>
      </c>
      <c r="E118" s="86" t="s">
        <v>83</v>
      </c>
      <c r="F118" s="85">
        <v>0.01</v>
      </c>
      <c r="G118" s="86" t="s">
        <v>83</v>
      </c>
      <c r="H118" s="85">
        <v>4.5999999999999999E-3</v>
      </c>
      <c r="I118" s="86" t="s">
        <v>83</v>
      </c>
      <c r="J118" s="87" t="s">
        <v>83</v>
      </c>
      <c r="K118" s="174" t="s">
        <v>83</v>
      </c>
    </row>
    <row r="119" spans="2:11">
      <c r="B119" s="83" t="s">
        <v>309</v>
      </c>
      <c r="C119" s="84" t="s">
        <v>310</v>
      </c>
      <c r="D119" s="85">
        <v>2E-3</v>
      </c>
      <c r="E119" s="86" t="s">
        <v>83</v>
      </c>
      <c r="F119" s="85">
        <v>5.0999999999999997E-2</v>
      </c>
      <c r="G119" s="86" t="s">
        <v>83</v>
      </c>
      <c r="H119" s="85">
        <v>2.4E-2</v>
      </c>
      <c r="I119" s="86" t="s">
        <v>83</v>
      </c>
      <c r="J119" s="87" t="s">
        <v>83</v>
      </c>
      <c r="K119" s="174" t="s">
        <v>83</v>
      </c>
    </row>
    <row r="120" spans="2:11">
      <c r="B120" s="83" t="s">
        <v>311</v>
      </c>
      <c r="C120" s="84" t="s">
        <v>312</v>
      </c>
      <c r="D120" s="85">
        <v>4.4999999999999998E-2</v>
      </c>
      <c r="E120" s="86" t="s">
        <v>83</v>
      </c>
      <c r="F120" s="85">
        <v>1.2</v>
      </c>
      <c r="G120" s="86" t="s">
        <v>83</v>
      </c>
      <c r="H120" s="85">
        <v>0.55000000000000004</v>
      </c>
      <c r="I120" s="86" t="s">
        <v>83</v>
      </c>
      <c r="J120" s="87" t="s">
        <v>83</v>
      </c>
      <c r="K120" s="174" t="s">
        <v>83</v>
      </c>
    </row>
    <row r="121" spans="2:11" ht="30">
      <c r="B121" s="83" t="s">
        <v>313</v>
      </c>
      <c r="C121" s="84" t="s">
        <v>314</v>
      </c>
      <c r="D121" s="85">
        <v>1.7000000000000001E-4</v>
      </c>
      <c r="E121" s="86" t="s">
        <v>83</v>
      </c>
      <c r="F121" s="85">
        <v>1.7999999999999999E-2</v>
      </c>
      <c r="G121" s="86" t="s">
        <v>83</v>
      </c>
      <c r="H121" s="85">
        <v>8.3999999999999995E-3</v>
      </c>
      <c r="I121" s="86" t="s">
        <v>83</v>
      </c>
      <c r="J121" s="87" t="s">
        <v>83</v>
      </c>
      <c r="K121" s="174" t="s">
        <v>83</v>
      </c>
    </row>
    <row r="122" spans="2:11">
      <c r="B122" s="83" t="s">
        <v>315</v>
      </c>
      <c r="C122" s="84" t="s">
        <v>316</v>
      </c>
      <c r="D122" s="85">
        <v>1.7000000000000001E-4</v>
      </c>
      <c r="E122" s="86" t="s">
        <v>83</v>
      </c>
      <c r="F122" s="85">
        <v>1.7999999999999999E-2</v>
      </c>
      <c r="G122" s="86" t="s">
        <v>83</v>
      </c>
      <c r="H122" s="85">
        <v>8.3999999999999995E-3</v>
      </c>
      <c r="I122" s="86" t="s">
        <v>83</v>
      </c>
      <c r="J122" s="87" t="s">
        <v>83</v>
      </c>
      <c r="K122" s="174" t="s">
        <v>83</v>
      </c>
    </row>
    <row r="123" spans="2:11">
      <c r="B123" s="83" t="s">
        <v>317</v>
      </c>
      <c r="C123" s="84" t="s">
        <v>318</v>
      </c>
      <c r="D123" s="85">
        <v>1.7000000000000001E-4</v>
      </c>
      <c r="E123" s="86" t="s">
        <v>83</v>
      </c>
      <c r="F123" s="85">
        <v>1.7999999999999999E-2</v>
      </c>
      <c r="G123" s="86" t="s">
        <v>83</v>
      </c>
      <c r="H123" s="85">
        <v>8.3999999999999995E-3</v>
      </c>
      <c r="I123" s="86" t="s">
        <v>83</v>
      </c>
      <c r="J123" s="87" t="s">
        <v>83</v>
      </c>
      <c r="K123" s="174" t="s">
        <v>83</v>
      </c>
    </row>
    <row r="124" spans="2:11">
      <c r="B124" s="83" t="s">
        <v>319</v>
      </c>
      <c r="C124" s="84" t="s">
        <v>320</v>
      </c>
      <c r="D124" s="85">
        <v>5.9999999999999995E-4</v>
      </c>
      <c r="E124" s="86" t="s">
        <v>83</v>
      </c>
      <c r="F124" s="85">
        <v>6.5000000000000002E-2</v>
      </c>
      <c r="G124" s="86" t="s">
        <v>83</v>
      </c>
      <c r="H124" s="85">
        <v>0.03</v>
      </c>
      <c r="I124" s="86" t="s">
        <v>83</v>
      </c>
      <c r="J124" s="87" t="s">
        <v>83</v>
      </c>
      <c r="K124" s="174" t="s">
        <v>83</v>
      </c>
    </row>
    <row r="125" spans="2:11">
      <c r="B125" s="83" t="s">
        <v>321</v>
      </c>
      <c r="C125" s="84" t="s">
        <v>322</v>
      </c>
      <c r="D125" s="85" t="s">
        <v>83</v>
      </c>
      <c r="E125" s="86">
        <v>0.2</v>
      </c>
      <c r="F125" s="85" t="s">
        <v>83</v>
      </c>
      <c r="G125" s="86">
        <v>0.88</v>
      </c>
      <c r="H125" s="85" t="s">
        <v>83</v>
      </c>
      <c r="I125" s="86">
        <v>0.88</v>
      </c>
      <c r="J125" s="87">
        <v>110</v>
      </c>
      <c r="K125" s="174" t="s">
        <v>636</v>
      </c>
    </row>
    <row r="126" spans="2:11">
      <c r="B126" s="83" t="s">
        <v>323</v>
      </c>
      <c r="C126" s="84" t="s">
        <v>324</v>
      </c>
      <c r="D126" s="85" t="s">
        <v>83</v>
      </c>
      <c r="E126" s="86">
        <v>30</v>
      </c>
      <c r="F126" s="85" t="s">
        <v>83</v>
      </c>
      <c r="G126" s="86">
        <v>130</v>
      </c>
      <c r="H126" s="85" t="s">
        <v>83</v>
      </c>
      <c r="I126" s="86">
        <v>130</v>
      </c>
      <c r="J126" s="87">
        <v>58000</v>
      </c>
      <c r="K126" s="174" t="s">
        <v>636</v>
      </c>
    </row>
    <row r="127" spans="2:11">
      <c r="B127" s="83" t="s">
        <v>325</v>
      </c>
      <c r="C127" s="84" t="s">
        <v>326</v>
      </c>
      <c r="D127" s="85" t="s">
        <v>83</v>
      </c>
      <c r="E127" s="86">
        <v>6.9000000000000006E-2</v>
      </c>
      <c r="F127" s="85" t="s">
        <v>83</v>
      </c>
      <c r="G127" s="86">
        <v>0.3</v>
      </c>
      <c r="H127" s="85" t="s">
        <v>83</v>
      </c>
      <c r="I127" s="86">
        <v>0.3</v>
      </c>
      <c r="J127" s="87">
        <v>0.21</v>
      </c>
      <c r="K127" s="174" t="s">
        <v>637</v>
      </c>
    </row>
    <row r="128" spans="2:11">
      <c r="B128" s="83" t="s">
        <v>327</v>
      </c>
      <c r="C128" s="84" t="s">
        <v>328</v>
      </c>
      <c r="D128" s="85" t="s">
        <v>83</v>
      </c>
      <c r="E128" s="86">
        <v>700</v>
      </c>
      <c r="F128" s="85" t="s">
        <v>83</v>
      </c>
      <c r="G128" s="86">
        <v>3100</v>
      </c>
      <c r="H128" s="85" t="s">
        <v>83</v>
      </c>
      <c r="I128" s="86">
        <v>3100</v>
      </c>
      <c r="J128" s="87" t="s">
        <v>83</v>
      </c>
      <c r="K128" s="174" t="s">
        <v>636</v>
      </c>
    </row>
    <row r="129" spans="2:11">
      <c r="B129" s="83" t="s">
        <v>329</v>
      </c>
      <c r="C129" s="84" t="s">
        <v>330</v>
      </c>
      <c r="D129" s="85">
        <v>2.0000000000000001E-4</v>
      </c>
      <c r="E129" s="86">
        <v>0.03</v>
      </c>
      <c r="F129" s="85">
        <v>5.3E-3</v>
      </c>
      <c r="G129" s="86">
        <v>0.13</v>
      </c>
      <c r="H129" s="85">
        <v>2.3999999999999998E-3</v>
      </c>
      <c r="I129" s="86">
        <v>0.13</v>
      </c>
      <c r="J129" s="87">
        <v>5.2</v>
      </c>
      <c r="K129" s="174" t="s">
        <v>636</v>
      </c>
    </row>
    <row r="130" spans="2:11">
      <c r="B130" s="83" t="s">
        <v>331</v>
      </c>
      <c r="C130" s="84" t="s">
        <v>332</v>
      </c>
      <c r="D130" s="85" t="s">
        <v>83</v>
      </c>
      <c r="E130" s="86">
        <v>20</v>
      </c>
      <c r="F130" s="85" t="s">
        <v>83</v>
      </c>
      <c r="G130" s="86">
        <v>88</v>
      </c>
      <c r="H130" s="85" t="s">
        <v>83</v>
      </c>
      <c r="I130" s="86">
        <v>88</v>
      </c>
      <c r="J130" s="87">
        <v>2100</v>
      </c>
      <c r="K130" s="174" t="s">
        <v>636</v>
      </c>
    </row>
    <row r="131" spans="2:11">
      <c r="B131" s="83" t="s">
        <v>333</v>
      </c>
      <c r="C131" s="84" t="s">
        <v>334</v>
      </c>
      <c r="D131" s="85" t="s">
        <v>83</v>
      </c>
      <c r="E131" s="86">
        <v>2.1</v>
      </c>
      <c r="F131" s="85" t="s">
        <v>83</v>
      </c>
      <c r="G131" s="86">
        <v>19</v>
      </c>
      <c r="H131" s="85" t="s">
        <v>83</v>
      </c>
      <c r="I131" s="86">
        <v>19</v>
      </c>
      <c r="J131" s="87">
        <v>16</v>
      </c>
      <c r="K131" s="174" t="s">
        <v>636</v>
      </c>
    </row>
    <row r="132" spans="2:11">
      <c r="B132" s="83" t="s">
        <v>335</v>
      </c>
      <c r="C132" s="84" t="s">
        <v>336</v>
      </c>
      <c r="D132" s="85" t="s">
        <v>83</v>
      </c>
      <c r="E132" s="86">
        <v>2</v>
      </c>
      <c r="F132" s="85" t="s">
        <v>83</v>
      </c>
      <c r="G132" s="86">
        <v>8.8000000000000007</v>
      </c>
      <c r="H132" s="85" t="s">
        <v>83</v>
      </c>
      <c r="I132" s="86">
        <v>8.8000000000000007</v>
      </c>
      <c r="J132" s="87">
        <v>98</v>
      </c>
      <c r="K132" s="174" t="s">
        <v>636</v>
      </c>
    </row>
    <row r="133" spans="2:11">
      <c r="B133" s="83" t="s">
        <v>337</v>
      </c>
      <c r="C133" s="84" t="s">
        <v>338</v>
      </c>
      <c r="D133" s="85" t="s">
        <v>83</v>
      </c>
      <c r="E133" s="86">
        <v>2000</v>
      </c>
      <c r="F133" s="85" t="s">
        <v>83</v>
      </c>
      <c r="G133" s="86">
        <v>8800</v>
      </c>
      <c r="H133" s="85" t="s">
        <v>83</v>
      </c>
      <c r="I133" s="86">
        <v>8800</v>
      </c>
      <c r="J133" s="87" t="s">
        <v>83</v>
      </c>
      <c r="K133" s="174" t="s">
        <v>636</v>
      </c>
    </row>
    <row r="134" spans="2:11">
      <c r="B134" s="83" t="s">
        <v>339</v>
      </c>
      <c r="C134" s="84" t="s">
        <v>33</v>
      </c>
      <c r="D134" s="85" t="s">
        <v>83</v>
      </c>
      <c r="E134" s="86">
        <v>200</v>
      </c>
      <c r="F134" s="85" t="s">
        <v>83</v>
      </c>
      <c r="G134" s="86">
        <v>880</v>
      </c>
      <c r="H134" s="85" t="s">
        <v>83</v>
      </c>
      <c r="I134" s="86">
        <v>880</v>
      </c>
      <c r="J134" s="87">
        <v>3200</v>
      </c>
      <c r="K134" s="174" t="s">
        <v>636</v>
      </c>
    </row>
    <row r="135" spans="2:11">
      <c r="B135" s="83" t="s">
        <v>340</v>
      </c>
      <c r="C135" s="84" t="s">
        <v>341</v>
      </c>
      <c r="D135" s="85" t="s">
        <v>83</v>
      </c>
      <c r="E135" s="86">
        <v>400</v>
      </c>
      <c r="F135" s="85" t="s">
        <v>83</v>
      </c>
      <c r="G135" s="86">
        <v>1800</v>
      </c>
      <c r="H135" s="85" t="s">
        <v>83</v>
      </c>
      <c r="I135" s="86">
        <v>1800</v>
      </c>
      <c r="J135" s="87" t="s">
        <v>83</v>
      </c>
      <c r="K135" s="174" t="s">
        <v>636</v>
      </c>
    </row>
    <row r="136" spans="2:11">
      <c r="B136" s="83" t="s">
        <v>342</v>
      </c>
      <c r="C136" s="84" t="s">
        <v>343</v>
      </c>
      <c r="D136" s="85" t="s">
        <v>83</v>
      </c>
      <c r="E136" s="86">
        <v>0.15</v>
      </c>
      <c r="F136" s="85" t="s">
        <v>83</v>
      </c>
      <c r="G136" s="86">
        <v>0.66</v>
      </c>
      <c r="H136" s="85" t="s">
        <v>83</v>
      </c>
      <c r="I136" s="86">
        <v>0.66</v>
      </c>
      <c r="J136" s="87">
        <v>0.15</v>
      </c>
      <c r="K136" s="174" t="s">
        <v>636</v>
      </c>
    </row>
    <row r="137" spans="2:11">
      <c r="B137" s="83" t="s">
        <v>344</v>
      </c>
      <c r="C137" s="84" t="s">
        <v>345</v>
      </c>
      <c r="D137" s="85" t="s">
        <v>83</v>
      </c>
      <c r="E137" s="86">
        <v>0.7</v>
      </c>
      <c r="F137" s="85" t="s">
        <v>83</v>
      </c>
      <c r="G137" s="86">
        <v>3.1</v>
      </c>
      <c r="H137" s="85" t="s">
        <v>83</v>
      </c>
      <c r="I137" s="86">
        <v>3.1</v>
      </c>
      <c r="J137" s="87" t="s">
        <v>83</v>
      </c>
      <c r="K137" s="174" t="s">
        <v>637</v>
      </c>
    </row>
    <row r="138" spans="2:11">
      <c r="B138" s="83" t="s">
        <v>346</v>
      </c>
      <c r="C138" s="84" t="s">
        <v>347</v>
      </c>
      <c r="D138" s="85" t="s">
        <v>83</v>
      </c>
      <c r="E138" s="86">
        <v>0.09</v>
      </c>
      <c r="F138" s="85" t="s">
        <v>83</v>
      </c>
      <c r="G138" s="86">
        <v>0.4</v>
      </c>
      <c r="H138" s="85" t="s">
        <v>83</v>
      </c>
      <c r="I138" s="86">
        <v>0.4</v>
      </c>
      <c r="J138" s="87">
        <v>0.3</v>
      </c>
      <c r="K138" s="174" t="s">
        <v>636</v>
      </c>
    </row>
    <row r="139" spans="2:11">
      <c r="B139" s="83" t="s">
        <v>348</v>
      </c>
      <c r="C139" s="84" t="s">
        <v>349</v>
      </c>
      <c r="D139" s="85" t="s">
        <v>83</v>
      </c>
      <c r="E139" s="86">
        <v>7.6999999999999999E-2</v>
      </c>
      <c r="F139" s="85" t="s">
        <v>83</v>
      </c>
      <c r="G139" s="86">
        <v>0.63</v>
      </c>
      <c r="H139" s="85" t="s">
        <v>83</v>
      </c>
      <c r="I139" s="86">
        <v>0.63</v>
      </c>
      <c r="J139" s="87">
        <v>0.6</v>
      </c>
      <c r="K139" s="174" t="s">
        <v>636</v>
      </c>
    </row>
    <row r="140" spans="2:11">
      <c r="B140" s="83" t="s">
        <v>350</v>
      </c>
      <c r="C140" s="84" t="s">
        <v>351</v>
      </c>
      <c r="D140" s="85" t="s">
        <v>83</v>
      </c>
      <c r="E140" s="86">
        <v>4000</v>
      </c>
      <c r="F140" s="85" t="s">
        <v>83</v>
      </c>
      <c r="G140" s="86">
        <v>18000</v>
      </c>
      <c r="H140" s="85" t="s">
        <v>83</v>
      </c>
      <c r="I140" s="86">
        <v>18000</v>
      </c>
      <c r="J140" s="87">
        <v>28000</v>
      </c>
      <c r="K140" s="174" t="s">
        <v>636</v>
      </c>
    </row>
    <row r="141" spans="2:11">
      <c r="B141" s="83" t="s">
        <v>352</v>
      </c>
      <c r="C141" s="84" t="s">
        <v>353</v>
      </c>
      <c r="D141" s="85">
        <v>2.3E-3</v>
      </c>
      <c r="E141" s="86" t="s">
        <v>83</v>
      </c>
      <c r="F141" s="85">
        <v>0.06</v>
      </c>
      <c r="G141" s="86" t="s">
        <v>83</v>
      </c>
      <c r="H141" s="85">
        <v>2.8000000000000001E-2</v>
      </c>
      <c r="I141" s="86" t="s">
        <v>83</v>
      </c>
      <c r="J141" s="87" t="s">
        <v>83</v>
      </c>
      <c r="K141" s="174" t="s">
        <v>83</v>
      </c>
    </row>
    <row r="142" spans="2:11">
      <c r="B142" s="83" t="s">
        <v>354</v>
      </c>
      <c r="C142" s="84" t="s">
        <v>355</v>
      </c>
      <c r="D142" s="85">
        <v>2.9999999999999997E-4</v>
      </c>
      <c r="E142" s="86">
        <v>20</v>
      </c>
      <c r="F142" s="85">
        <v>2.3E-2</v>
      </c>
      <c r="G142" s="86">
        <v>88</v>
      </c>
      <c r="H142" s="85">
        <v>0.01</v>
      </c>
      <c r="I142" s="86">
        <v>88</v>
      </c>
      <c r="J142" s="87" t="s">
        <v>83</v>
      </c>
      <c r="K142" s="174" t="s">
        <v>637</v>
      </c>
    </row>
    <row r="143" spans="2:11">
      <c r="B143" s="83" t="s">
        <v>356</v>
      </c>
      <c r="C143" s="84" t="s">
        <v>357</v>
      </c>
      <c r="D143" s="85" t="s">
        <v>83</v>
      </c>
      <c r="E143" s="86">
        <v>0.08</v>
      </c>
      <c r="F143" s="85" t="s">
        <v>83</v>
      </c>
      <c r="G143" s="86">
        <v>0.35</v>
      </c>
      <c r="H143" s="85" t="s">
        <v>83</v>
      </c>
      <c r="I143" s="86">
        <v>0.35</v>
      </c>
      <c r="J143" s="87">
        <v>12</v>
      </c>
      <c r="K143" s="174" t="s">
        <v>636</v>
      </c>
    </row>
    <row r="144" spans="2:11">
      <c r="B144" s="83" t="s">
        <v>358</v>
      </c>
      <c r="C144" s="84" t="s">
        <v>359</v>
      </c>
      <c r="D144" s="85" t="s">
        <v>83</v>
      </c>
      <c r="E144" s="86">
        <v>3000</v>
      </c>
      <c r="F144" s="85" t="s">
        <v>83</v>
      </c>
      <c r="G144" s="86">
        <v>13000</v>
      </c>
      <c r="H144" s="85" t="s">
        <v>83</v>
      </c>
      <c r="I144" s="86">
        <v>13000</v>
      </c>
      <c r="J144" s="87" t="s">
        <v>83</v>
      </c>
      <c r="K144" s="174" t="s">
        <v>636</v>
      </c>
    </row>
    <row r="145" spans="2:11">
      <c r="B145" s="83" t="s">
        <v>360</v>
      </c>
      <c r="C145" s="84" t="s">
        <v>361</v>
      </c>
      <c r="D145" s="85" t="s">
        <v>83</v>
      </c>
      <c r="E145" s="86">
        <v>1</v>
      </c>
      <c r="F145" s="85" t="s">
        <v>83</v>
      </c>
      <c r="G145" s="86">
        <v>4.4000000000000004</v>
      </c>
      <c r="H145" s="85" t="s">
        <v>83</v>
      </c>
      <c r="I145" s="86">
        <v>4.4000000000000004</v>
      </c>
      <c r="J145" s="87" t="s">
        <v>83</v>
      </c>
      <c r="K145" s="174" t="s">
        <v>636</v>
      </c>
    </row>
    <row r="146" spans="2:11">
      <c r="B146" s="83" t="s">
        <v>362</v>
      </c>
      <c r="C146" s="84" t="s">
        <v>363</v>
      </c>
      <c r="D146" s="85" t="s">
        <v>83</v>
      </c>
      <c r="E146" s="86">
        <v>700</v>
      </c>
      <c r="F146" s="85" t="s">
        <v>83</v>
      </c>
      <c r="G146" s="86">
        <v>3100</v>
      </c>
      <c r="H146" s="85" t="s">
        <v>83</v>
      </c>
      <c r="I146" s="86">
        <v>3100</v>
      </c>
      <c r="J146" s="87" t="s">
        <v>83</v>
      </c>
      <c r="K146" s="174" t="s">
        <v>637</v>
      </c>
    </row>
    <row r="147" spans="2:11">
      <c r="B147" s="83" t="s">
        <v>364</v>
      </c>
      <c r="C147" s="84" t="s">
        <v>365</v>
      </c>
      <c r="D147" s="85">
        <v>3.8</v>
      </c>
      <c r="E147" s="86">
        <v>8000</v>
      </c>
      <c r="F147" s="85">
        <v>100</v>
      </c>
      <c r="G147" s="86">
        <v>35000</v>
      </c>
      <c r="H147" s="85">
        <v>46</v>
      </c>
      <c r="I147" s="86">
        <v>35000</v>
      </c>
      <c r="J147" s="87">
        <v>8000</v>
      </c>
      <c r="K147" s="174" t="s">
        <v>636</v>
      </c>
    </row>
    <row r="148" spans="2:11">
      <c r="B148" s="83" t="s">
        <v>366</v>
      </c>
      <c r="C148" s="84" t="s">
        <v>367</v>
      </c>
      <c r="D148" s="85">
        <v>4.0000000000000001E-3</v>
      </c>
      <c r="E148" s="86" t="s">
        <v>83</v>
      </c>
      <c r="F148" s="85">
        <v>0.1</v>
      </c>
      <c r="G148" s="86" t="s">
        <v>83</v>
      </c>
      <c r="H148" s="85">
        <v>4.8000000000000001E-2</v>
      </c>
      <c r="I148" s="86" t="s">
        <v>83</v>
      </c>
      <c r="J148" s="87" t="s">
        <v>83</v>
      </c>
      <c r="K148" s="174" t="s">
        <v>83</v>
      </c>
    </row>
    <row r="149" spans="2:11">
      <c r="B149" s="83" t="s">
        <v>368</v>
      </c>
      <c r="C149" s="84" t="s">
        <v>369</v>
      </c>
      <c r="D149" s="85">
        <v>2.9000000000000001E-2</v>
      </c>
      <c r="E149" s="86">
        <v>3.7</v>
      </c>
      <c r="F149" s="85">
        <v>0.76</v>
      </c>
      <c r="G149" s="86">
        <v>16</v>
      </c>
      <c r="H149" s="85">
        <v>0.35</v>
      </c>
      <c r="I149" s="86">
        <v>16</v>
      </c>
      <c r="J149" s="87">
        <v>200</v>
      </c>
      <c r="K149" s="174" t="s">
        <v>636</v>
      </c>
    </row>
    <row r="150" spans="2:11">
      <c r="B150" s="83" t="s">
        <v>370</v>
      </c>
      <c r="C150" s="84" t="s">
        <v>371</v>
      </c>
      <c r="D150" s="85">
        <v>3.8E-3</v>
      </c>
      <c r="E150" s="86">
        <v>1.4E-2</v>
      </c>
      <c r="F150" s="85">
        <v>0.1</v>
      </c>
      <c r="G150" s="86">
        <v>6.2E-2</v>
      </c>
      <c r="H150" s="85">
        <v>4.5999999999999999E-2</v>
      </c>
      <c r="I150" s="86">
        <v>6.2E-2</v>
      </c>
      <c r="J150" s="87">
        <v>0.2</v>
      </c>
      <c r="K150" s="174" t="s">
        <v>636</v>
      </c>
    </row>
    <row r="151" spans="2:11">
      <c r="B151" s="83" t="s">
        <v>372</v>
      </c>
      <c r="C151" s="84" t="s">
        <v>373</v>
      </c>
      <c r="D151" s="85" t="s">
        <v>83</v>
      </c>
      <c r="E151" s="86">
        <v>1.4E-2</v>
      </c>
      <c r="F151" s="85" t="s">
        <v>83</v>
      </c>
      <c r="G151" s="86">
        <v>6.2E-2</v>
      </c>
      <c r="H151" s="85" t="s">
        <v>83</v>
      </c>
      <c r="I151" s="86">
        <v>6.2E-2</v>
      </c>
      <c r="J151" s="87">
        <v>0.2</v>
      </c>
      <c r="K151" s="174" t="s">
        <v>636</v>
      </c>
    </row>
    <row r="152" spans="2:11">
      <c r="B152" s="83" t="s">
        <v>374</v>
      </c>
      <c r="C152" s="84" t="s">
        <v>375</v>
      </c>
      <c r="D152" s="85" t="s">
        <v>83</v>
      </c>
      <c r="E152" s="86" t="s">
        <v>83</v>
      </c>
      <c r="F152" s="85" t="s">
        <v>83</v>
      </c>
      <c r="G152" s="86" t="s">
        <v>83</v>
      </c>
      <c r="H152" s="85" t="s">
        <v>83</v>
      </c>
      <c r="I152" s="86" t="s">
        <v>83</v>
      </c>
      <c r="J152" s="87">
        <v>86</v>
      </c>
      <c r="K152" s="174" t="s">
        <v>637</v>
      </c>
    </row>
    <row r="153" spans="2:11">
      <c r="B153" s="83" t="s">
        <v>376</v>
      </c>
      <c r="C153" s="84" t="s">
        <v>377</v>
      </c>
      <c r="D153" s="85">
        <v>2.5000000000000001E-2</v>
      </c>
      <c r="E153" s="86">
        <v>9</v>
      </c>
      <c r="F153" s="85">
        <v>0.65</v>
      </c>
      <c r="G153" s="86">
        <v>40</v>
      </c>
      <c r="H153" s="85">
        <v>0.3</v>
      </c>
      <c r="I153" s="86">
        <v>40</v>
      </c>
      <c r="J153" s="87" t="s">
        <v>83</v>
      </c>
      <c r="K153" s="174" t="s">
        <v>636</v>
      </c>
    </row>
    <row r="154" spans="2:11">
      <c r="B154" s="83" t="s">
        <v>378</v>
      </c>
      <c r="C154" s="84" t="s">
        <v>379</v>
      </c>
      <c r="D154" s="85" t="s">
        <v>83</v>
      </c>
      <c r="E154" s="86">
        <v>20</v>
      </c>
      <c r="F154" s="85" t="s">
        <v>83</v>
      </c>
      <c r="G154" s="86">
        <v>88</v>
      </c>
      <c r="H154" s="85" t="s">
        <v>83</v>
      </c>
      <c r="I154" s="86">
        <v>88</v>
      </c>
      <c r="J154" s="87" t="s">
        <v>83</v>
      </c>
      <c r="K154" s="174" t="s">
        <v>636</v>
      </c>
    </row>
    <row r="155" spans="2:11">
      <c r="B155" s="83" t="s">
        <v>380</v>
      </c>
      <c r="C155" s="84" t="s">
        <v>381</v>
      </c>
      <c r="D155" s="85">
        <v>3.2000000000000003E-4</v>
      </c>
      <c r="E155" s="86" t="s">
        <v>83</v>
      </c>
      <c r="F155" s="85">
        <v>8.3999999999999995E-3</v>
      </c>
      <c r="G155" s="86" t="s">
        <v>83</v>
      </c>
      <c r="H155" s="85">
        <v>3.8999999999999998E-3</v>
      </c>
      <c r="I155" s="86" t="s">
        <v>83</v>
      </c>
      <c r="J155" s="87" t="s">
        <v>83</v>
      </c>
      <c r="K155" s="174" t="s">
        <v>83</v>
      </c>
    </row>
    <row r="156" spans="2:11">
      <c r="B156" s="83" t="s">
        <v>382</v>
      </c>
      <c r="C156" s="84" t="s">
        <v>383</v>
      </c>
      <c r="D156" s="85">
        <v>5.8999999999999998E-5</v>
      </c>
      <c r="E156" s="86" t="s">
        <v>83</v>
      </c>
      <c r="F156" s="85">
        <v>6.2E-4</v>
      </c>
      <c r="G156" s="86" t="s">
        <v>83</v>
      </c>
      <c r="H156" s="85">
        <v>1.1999999999999999E-3</v>
      </c>
      <c r="I156" s="86" t="s">
        <v>83</v>
      </c>
      <c r="J156" s="87" t="s">
        <v>83</v>
      </c>
      <c r="K156" s="174" t="s">
        <v>83</v>
      </c>
    </row>
    <row r="157" spans="2:11">
      <c r="B157" s="83" t="s">
        <v>384</v>
      </c>
      <c r="C157" s="84" t="s">
        <v>385</v>
      </c>
      <c r="D157" s="85">
        <v>1.2999999999999999E-4</v>
      </c>
      <c r="E157" s="86" t="s">
        <v>83</v>
      </c>
      <c r="F157" s="85">
        <v>1.2999999999999999E-3</v>
      </c>
      <c r="G157" s="86" t="s">
        <v>83</v>
      </c>
      <c r="H157" s="85">
        <v>2.5999999999999999E-3</v>
      </c>
      <c r="I157" s="86" t="s">
        <v>83</v>
      </c>
      <c r="J157" s="87" t="s">
        <v>83</v>
      </c>
      <c r="K157" s="174" t="s">
        <v>83</v>
      </c>
    </row>
    <row r="158" spans="2:11">
      <c r="B158" s="83" t="s">
        <v>386</v>
      </c>
      <c r="C158" s="84" t="s">
        <v>387</v>
      </c>
      <c r="D158" s="85">
        <v>0.38</v>
      </c>
      <c r="E158" s="86" t="s">
        <v>83</v>
      </c>
      <c r="F158" s="85">
        <v>10</v>
      </c>
      <c r="G158" s="86" t="s">
        <v>83</v>
      </c>
      <c r="H158" s="85">
        <v>4.5999999999999996</v>
      </c>
      <c r="I158" s="86" t="s">
        <v>83</v>
      </c>
      <c r="J158" s="87" t="s">
        <v>83</v>
      </c>
      <c r="K158" s="174" t="s">
        <v>83</v>
      </c>
    </row>
    <row r="159" spans="2:11">
      <c r="B159" s="83" t="s">
        <v>388</v>
      </c>
      <c r="C159" s="84" t="s">
        <v>389</v>
      </c>
      <c r="D159" s="85">
        <v>0.16</v>
      </c>
      <c r="E159" s="86" t="s">
        <v>83</v>
      </c>
      <c r="F159" s="85">
        <v>4.0999999999999996</v>
      </c>
      <c r="G159" s="86" t="s">
        <v>83</v>
      </c>
      <c r="H159" s="85">
        <v>1.9</v>
      </c>
      <c r="I159" s="86" t="s">
        <v>83</v>
      </c>
      <c r="J159" s="87" t="s">
        <v>83</v>
      </c>
      <c r="K159" s="174" t="s">
        <v>83</v>
      </c>
    </row>
    <row r="160" spans="2:11">
      <c r="B160" s="83" t="s">
        <v>390</v>
      </c>
      <c r="C160" s="84" t="s">
        <v>391</v>
      </c>
      <c r="D160" s="85">
        <v>5.0000000000000001E-4</v>
      </c>
      <c r="E160" s="86" t="s">
        <v>83</v>
      </c>
      <c r="F160" s="85">
        <v>1.2999999999999999E-2</v>
      </c>
      <c r="G160" s="86" t="s">
        <v>83</v>
      </c>
      <c r="H160" s="85">
        <v>6.0000000000000001E-3</v>
      </c>
      <c r="I160" s="86" t="s">
        <v>83</v>
      </c>
      <c r="J160" s="87" t="s">
        <v>83</v>
      </c>
      <c r="K160" s="174" t="s">
        <v>83</v>
      </c>
    </row>
    <row r="161" spans="2:11">
      <c r="B161" s="83" t="s">
        <v>392</v>
      </c>
      <c r="C161" s="84" t="s">
        <v>393</v>
      </c>
      <c r="D161" s="85">
        <v>1.6000000000000001E-4</v>
      </c>
      <c r="E161" s="86" t="s">
        <v>83</v>
      </c>
      <c r="F161" s="85">
        <v>4.1000000000000003E-3</v>
      </c>
      <c r="G161" s="86" t="s">
        <v>83</v>
      </c>
      <c r="H161" s="85">
        <v>1.9E-3</v>
      </c>
      <c r="I161" s="86" t="s">
        <v>83</v>
      </c>
      <c r="J161" s="87" t="s">
        <v>83</v>
      </c>
      <c r="K161" s="174" t="s">
        <v>83</v>
      </c>
    </row>
    <row r="162" spans="2:11">
      <c r="B162" s="83" t="s">
        <v>394</v>
      </c>
      <c r="C162" s="84" t="s">
        <v>395</v>
      </c>
      <c r="D162" s="85">
        <v>5.2999999999999998E-4</v>
      </c>
      <c r="E162" s="86" t="s">
        <v>83</v>
      </c>
      <c r="F162" s="85">
        <v>1.4E-2</v>
      </c>
      <c r="G162" s="86" t="s">
        <v>83</v>
      </c>
      <c r="H162" s="85">
        <v>6.3E-3</v>
      </c>
      <c r="I162" s="86" t="s">
        <v>83</v>
      </c>
      <c r="J162" s="87" t="s">
        <v>83</v>
      </c>
      <c r="K162" s="174" t="s">
        <v>83</v>
      </c>
    </row>
    <row r="163" spans="2:11">
      <c r="B163" s="83" t="s">
        <v>396</v>
      </c>
      <c r="C163" s="84" t="s">
        <v>397</v>
      </c>
      <c r="D163" s="85">
        <v>3.6999999999999999E-4</v>
      </c>
      <c r="E163" s="86" t="s">
        <v>83</v>
      </c>
      <c r="F163" s="85">
        <v>9.5999999999999992E-3</v>
      </c>
      <c r="G163" s="86" t="s">
        <v>83</v>
      </c>
      <c r="H163" s="85">
        <v>4.4000000000000003E-3</v>
      </c>
      <c r="I163" s="86" t="s">
        <v>83</v>
      </c>
      <c r="J163" s="87" t="s">
        <v>83</v>
      </c>
      <c r="K163" s="174" t="s">
        <v>83</v>
      </c>
    </row>
    <row r="164" spans="2:11">
      <c r="B164" s="83" t="s">
        <v>398</v>
      </c>
      <c r="C164" s="84" t="s">
        <v>399</v>
      </c>
      <c r="D164" s="85">
        <v>1.6999999999999999E-3</v>
      </c>
      <c r="E164" s="86" t="s">
        <v>83</v>
      </c>
      <c r="F164" s="85">
        <v>4.2999999999999997E-2</v>
      </c>
      <c r="G164" s="86" t="s">
        <v>83</v>
      </c>
      <c r="H164" s="85">
        <v>0.02</v>
      </c>
      <c r="I164" s="86" t="s">
        <v>83</v>
      </c>
      <c r="J164" s="87" t="s">
        <v>83</v>
      </c>
      <c r="K164" s="174" t="s">
        <v>83</v>
      </c>
    </row>
    <row r="165" spans="2:11">
      <c r="B165" s="83" t="s">
        <v>400</v>
      </c>
      <c r="C165" s="84" t="s">
        <v>401</v>
      </c>
      <c r="D165" s="85" t="s">
        <v>83</v>
      </c>
      <c r="E165" s="86" t="s">
        <v>83</v>
      </c>
      <c r="F165" s="85" t="s">
        <v>83</v>
      </c>
      <c r="G165" s="86" t="s">
        <v>83</v>
      </c>
      <c r="H165" s="85" t="s">
        <v>83</v>
      </c>
      <c r="I165" s="86" t="s">
        <v>83</v>
      </c>
      <c r="J165" s="87">
        <v>120</v>
      </c>
      <c r="K165" s="174" t="s">
        <v>636</v>
      </c>
    </row>
    <row r="166" spans="2:11">
      <c r="B166" s="83" t="s">
        <v>402</v>
      </c>
      <c r="C166" s="84" t="s">
        <v>403</v>
      </c>
      <c r="D166" s="85" t="s">
        <v>83</v>
      </c>
      <c r="E166" s="86" t="s">
        <v>83</v>
      </c>
      <c r="F166" s="85" t="s">
        <v>83</v>
      </c>
      <c r="G166" s="86" t="s">
        <v>83</v>
      </c>
      <c r="H166" s="85" t="s">
        <v>83</v>
      </c>
      <c r="I166" s="86" t="s">
        <v>83</v>
      </c>
      <c r="J166" s="87">
        <v>0.02</v>
      </c>
      <c r="K166" s="174" t="s">
        <v>636</v>
      </c>
    </row>
    <row r="167" spans="2:11">
      <c r="B167" s="83" t="s">
        <v>404</v>
      </c>
      <c r="C167" s="84" t="s">
        <v>405</v>
      </c>
      <c r="D167" s="85">
        <v>0.2</v>
      </c>
      <c r="E167" s="86" t="s">
        <v>83</v>
      </c>
      <c r="F167" s="85">
        <v>5.0999999999999996</v>
      </c>
      <c r="G167" s="86" t="s">
        <v>83</v>
      </c>
      <c r="H167" s="85">
        <v>2.4</v>
      </c>
      <c r="I167" s="86" t="s">
        <v>83</v>
      </c>
      <c r="J167" s="87" t="s">
        <v>83</v>
      </c>
      <c r="K167" s="174" t="s">
        <v>83</v>
      </c>
    </row>
    <row r="168" spans="2:11">
      <c r="B168" s="83" t="s">
        <v>406</v>
      </c>
      <c r="C168" s="84" t="s">
        <v>407</v>
      </c>
      <c r="D168" s="85" t="s">
        <v>83</v>
      </c>
      <c r="E168" s="86">
        <v>200</v>
      </c>
      <c r="F168" s="85" t="s">
        <v>83</v>
      </c>
      <c r="G168" s="86">
        <v>880</v>
      </c>
      <c r="H168" s="85" t="s">
        <v>83</v>
      </c>
      <c r="I168" s="86">
        <v>880</v>
      </c>
      <c r="J168" s="87">
        <v>5800</v>
      </c>
      <c r="K168" s="174" t="s">
        <v>636</v>
      </c>
    </row>
    <row r="169" spans="2:11">
      <c r="B169" s="83" t="s">
        <v>408</v>
      </c>
      <c r="C169" s="84" t="s">
        <v>409</v>
      </c>
      <c r="D169" s="85" t="s">
        <v>83</v>
      </c>
      <c r="E169" s="86">
        <v>0.3</v>
      </c>
      <c r="F169" s="85" t="s">
        <v>83</v>
      </c>
      <c r="G169" s="86">
        <v>1.3</v>
      </c>
      <c r="H169" s="85" t="s">
        <v>83</v>
      </c>
      <c r="I169" s="86">
        <v>1.3</v>
      </c>
      <c r="J169" s="87">
        <v>4</v>
      </c>
      <c r="K169" s="174" t="s">
        <v>636</v>
      </c>
    </row>
    <row r="170" spans="2:11">
      <c r="B170" s="83" t="s">
        <v>410</v>
      </c>
      <c r="C170" s="84" t="s">
        <v>411</v>
      </c>
      <c r="D170" s="85" t="s">
        <v>83</v>
      </c>
      <c r="E170" s="86">
        <v>0.8</v>
      </c>
      <c r="F170" s="85" t="s">
        <v>83</v>
      </c>
      <c r="G170" s="86">
        <v>3.5</v>
      </c>
      <c r="H170" s="85" t="s">
        <v>83</v>
      </c>
      <c r="I170" s="86">
        <v>3.5</v>
      </c>
      <c r="J170" s="87" t="s">
        <v>83</v>
      </c>
      <c r="K170" s="174" t="s">
        <v>636</v>
      </c>
    </row>
    <row r="171" spans="2:11">
      <c r="B171" s="83" t="s">
        <v>412</v>
      </c>
      <c r="C171" s="84" t="s">
        <v>413</v>
      </c>
      <c r="D171" s="85" t="s">
        <v>83</v>
      </c>
      <c r="E171" s="86">
        <v>10</v>
      </c>
      <c r="F171" s="85" t="s">
        <v>83</v>
      </c>
      <c r="G171" s="86">
        <v>44</v>
      </c>
      <c r="H171" s="85" t="s">
        <v>83</v>
      </c>
      <c r="I171" s="86">
        <v>44</v>
      </c>
      <c r="J171" s="87" t="s">
        <v>83</v>
      </c>
      <c r="K171" s="174" t="s">
        <v>636</v>
      </c>
    </row>
    <row r="172" spans="2:11">
      <c r="B172" s="83" t="s">
        <v>414</v>
      </c>
      <c r="C172" s="84" t="s">
        <v>415</v>
      </c>
      <c r="D172" s="85" t="s">
        <v>83</v>
      </c>
      <c r="E172" s="86">
        <v>9</v>
      </c>
      <c r="F172" s="85" t="s">
        <v>83</v>
      </c>
      <c r="G172" s="86">
        <v>40</v>
      </c>
      <c r="H172" s="85" t="s">
        <v>83</v>
      </c>
      <c r="I172" s="86">
        <v>40</v>
      </c>
      <c r="J172" s="87">
        <v>20</v>
      </c>
      <c r="K172" s="174" t="s">
        <v>636</v>
      </c>
    </row>
    <row r="173" spans="2:11">
      <c r="B173" s="83" t="s">
        <v>416</v>
      </c>
      <c r="C173" s="84" t="s">
        <v>417</v>
      </c>
      <c r="D173" s="85" t="s">
        <v>83</v>
      </c>
      <c r="E173" s="86">
        <v>20</v>
      </c>
      <c r="F173" s="85" t="s">
        <v>83</v>
      </c>
      <c r="G173" s="86">
        <v>88</v>
      </c>
      <c r="H173" s="85" t="s">
        <v>83</v>
      </c>
      <c r="I173" s="86">
        <v>88</v>
      </c>
      <c r="J173" s="87" t="s">
        <v>83</v>
      </c>
      <c r="K173" s="174" t="s">
        <v>636</v>
      </c>
    </row>
    <row r="174" spans="2:11">
      <c r="B174" s="83" t="s">
        <v>418</v>
      </c>
      <c r="C174" s="84" t="s">
        <v>419</v>
      </c>
      <c r="D174" s="85" t="s">
        <v>83</v>
      </c>
      <c r="E174" s="86" t="s">
        <v>83</v>
      </c>
      <c r="F174" s="85" t="s">
        <v>83</v>
      </c>
      <c r="G174" s="86" t="s">
        <v>83</v>
      </c>
      <c r="H174" s="85" t="s">
        <v>83</v>
      </c>
      <c r="I174" s="86" t="s">
        <v>83</v>
      </c>
      <c r="J174" s="87">
        <v>6</v>
      </c>
      <c r="K174" s="174" t="s">
        <v>636</v>
      </c>
    </row>
    <row r="175" spans="2:11">
      <c r="B175" s="83" t="s">
        <v>420</v>
      </c>
      <c r="C175" s="84" t="s">
        <v>421</v>
      </c>
      <c r="D175" s="85">
        <v>5.2999999999999998E-4</v>
      </c>
      <c r="E175" s="86" t="s">
        <v>83</v>
      </c>
      <c r="F175" s="85">
        <v>0.02</v>
      </c>
      <c r="G175" s="86" t="s">
        <v>83</v>
      </c>
      <c r="H175" s="85">
        <v>9.1999999999999998E-3</v>
      </c>
      <c r="I175" s="86" t="s">
        <v>83</v>
      </c>
      <c r="J175" s="87" t="s">
        <v>83</v>
      </c>
      <c r="K175" s="174" t="s">
        <v>83</v>
      </c>
    </row>
    <row r="176" spans="2:11">
      <c r="B176" s="83" t="s">
        <v>422</v>
      </c>
      <c r="C176" s="84" t="s">
        <v>423</v>
      </c>
      <c r="D176" s="85">
        <v>1.0000000000000001E-9</v>
      </c>
      <c r="E176" s="86">
        <v>1.3E-7</v>
      </c>
      <c r="F176" s="85">
        <v>8.9999999999999999E-8</v>
      </c>
      <c r="G176" s="86">
        <v>2.5999999999999998E-5</v>
      </c>
      <c r="H176" s="85">
        <v>4.1999999999999999E-8</v>
      </c>
      <c r="I176" s="86">
        <v>2.5999999999999998E-5</v>
      </c>
      <c r="J176" s="87" t="s">
        <v>83</v>
      </c>
      <c r="K176" s="174" t="s">
        <v>636</v>
      </c>
    </row>
    <row r="177" spans="2:11">
      <c r="B177" s="83" t="s">
        <v>424</v>
      </c>
      <c r="C177" s="84" t="s">
        <v>425</v>
      </c>
      <c r="D177" s="85">
        <v>1.0000000000000001E-5</v>
      </c>
      <c r="E177" s="86">
        <v>1.2999999999999999E-3</v>
      </c>
      <c r="F177" s="85">
        <v>8.9999999999999998E-4</v>
      </c>
      <c r="G177" s="86">
        <v>0.26</v>
      </c>
      <c r="H177" s="85">
        <v>4.2000000000000002E-4</v>
      </c>
      <c r="I177" s="86">
        <v>0.26</v>
      </c>
      <c r="J177" s="87" t="s">
        <v>83</v>
      </c>
      <c r="K177" s="174" t="s">
        <v>636</v>
      </c>
    </row>
    <row r="178" spans="2:11">
      <c r="B178" s="83" t="s">
        <v>426</v>
      </c>
      <c r="C178" s="84" t="s">
        <v>427</v>
      </c>
      <c r="D178" s="85">
        <v>3.4000000000000001E-6</v>
      </c>
      <c r="E178" s="86">
        <v>4.2000000000000002E-4</v>
      </c>
      <c r="F178" s="85">
        <v>2.9999999999999997E-4</v>
      </c>
      <c r="G178" s="86">
        <v>8.5000000000000006E-2</v>
      </c>
      <c r="H178" s="85">
        <v>1.3999999999999999E-4</v>
      </c>
      <c r="I178" s="86">
        <v>8.5000000000000006E-2</v>
      </c>
      <c r="J178" s="87" t="s">
        <v>83</v>
      </c>
      <c r="K178" s="174" t="s">
        <v>636</v>
      </c>
    </row>
    <row r="179" spans="2:11">
      <c r="B179" s="83" t="s">
        <v>428</v>
      </c>
      <c r="C179" s="84" t="s">
        <v>429</v>
      </c>
      <c r="D179" s="85">
        <v>3.4E-5</v>
      </c>
      <c r="E179" s="86">
        <v>4.1999999999999997E-3</v>
      </c>
      <c r="F179" s="85">
        <v>3.0000000000000001E-3</v>
      </c>
      <c r="G179" s="86">
        <v>0.85</v>
      </c>
      <c r="H179" s="85">
        <v>1.4E-3</v>
      </c>
      <c r="I179" s="86">
        <v>0.85</v>
      </c>
      <c r="J179" s="87" t="s">
        <v>83</v>
      </c>
      <c r="K179" s="174" t="s">
        <v>636</v>
      </c>
    </row>
    <row r="180" spans="2:11">
      <c r="B180" s="83" t="s">
        <v>430</v>
      </c>
      <c r="C180" s="84" t="s">
        <v>431</v>
      </c>
      <c r="D180" s="85">
        <v>3.4E-5</v>
      </c>
      <c r="E180" s="86">
        <v>4.1999999999999997E-3</v>
      </c>
      <c r="F180" s="85">
        <v>3.0000000000000001E-3</v>
      </c>
      <c r="G180" s="86">
        <v>0.85</v>
      </c>
      <c r="H180" s="85">
        <v>1.4E-3</v>
      </c>
      <c r="I180" s="86">
        <v>0.85</v>
      </c>
      <c r="J180" s="87" t="s">
        <v>83</v>
      </c>
      <c r="K180" s="174" t="s">
        <v>636</v>
      </c>
    </row>
    <row r="181" spans="2:11">
      <c r="B181" s="83" t="s">
        <v>432</v>
      </c>
      <c r="C181" s="84" t="s">
        <v>433</v>
      </c>
      <c r="D181" s="85">
        <v>3.4E-5</v>
      </c>
      <c r="E181" s="86">
        <v>4.1999999999999997E-3</v>
      </c>
      <c r="F181" s="85">
        <v>3.0000000000000001E-3</v>
      </c>
      <c r="G181" s="86">
        <v>0.85</v>
      </c>
      <c r="H181" s="85">
        <v>1.4E-3</v>
      </c>
      <c r="I181" s="86">
        <v>0.85</v>
      </c>
      <c r="J181" s="87" t="s">
        <v>83</v>
      </c>
      <c r="K181" s="174" t="s">
        <v>636</v>
      </c>
    </row>
    <row r="182" spans="2:11">
      <c r="B182" s="83" t="s">
        <v>434</v>
      </c>
      <c r="C182" s="84" t="s">
        <v>435</v>
      </c>
      <c r="D182" s="85">
        <v>3.4E-5</v>
      </c>
      <c r="E182" s="86">
        <v>4.1999999999999997E-3</v>
      </c>
      <c r="F182" s="85">
        <v>3.0000000000000001E-3</v>
      </c>
      <c r="G182" s="86">
        <v>0.85</v>
      </c>
      <c r="H182" s="85">
        <v>1.4E-3</v>
      </c>
      <c r="I182" s="86">
        <v>0.85</v>
      </c>
      <c r="J182" s="87" t="s">
        <v>83</v>
      </c>
      <c r="K182" s="174" t="s">
        <v>636</v>
      </c>
    </row>
    <row r="183" spans="2:11">
      <c r="B183" s="83" t="s">
        <v>436</v>
      </c>
      <c r="C183" s="84" t="s">
        <v>437</v>
      </c>
      <c r="D183" s="85">
        <v>1E-8</v>
      </c>
      <c r="E183" s="86">
        <v>1.3E-6</v>
      </c>
      <c r="F183" s="85">
        <v>8.9999999999999996E-7</v>
      </c>
      <c r="G183" s="86">
        <v>2.5999999999999998E-4</v>
      </c>
      <c r="H183" s="85">
        <v>4.2E-7</v>
      </c>
      <c r="I183" s="86">
        <v>2.5999999999999998E-4</v>
      </c>
      <c r="J183" s="87" t="s">
        <v>83</v>
      </c>
      <c r="K183" s="174" t="s">
        <v>636</v>
      </c>
    </row>
    <row r="184" spans="2:11">
      <c r="B184" s="83" t="s">
        <v>438</v>
      </c>
      <c r="C184" s="84" t="s">
        <v>439</v>
      </c>
      <c r="D184" s="85">
        <v>3.4E-5</v>
      </c>
      <c r="E184" s="86">
        <v>4.1999999999999997E-3</v>
      </c>
      <c r="F184" s="85">
        <v>3.0000000000000001E-3</v>
      </c>
      <c r="G184" s="86">
        <v>0.85</v>
      </c>
      <c r="H184" s="85">
        <v>1.4E-3</v>
      </c>
      <c r="I184" s="86">
        <v>0.85</v>
      </c>
      <c r="J184" s="87" t="s">
        <v>83</v>
      </c>
      <c r="K184" s="174" t="s">
        <v>636</v>
      </c>
    </row>
    <row r="185" spans="2:11">
      <c r="B185" s="83" t="s">
        <v>440</v>
      </c>
      <c r="C185" s="84" t="s">
        <v>441</v>
      </c>
      <c r="D185" s="85">
        <v>3.4E-5</v>
      </c>
      <c r="E185" s="86">
        <v>4.1999999999999997E-3</v>
      </c>
      <c r="F185" s="85">
        <v>3.0000000000000001E-3</v>
      </c>
      <c r="G185" s="86">
        <v>0.85</v>
      </c>
      <c r="H185" s="85">
        <v>1.4E-3</v>
      </c>
      <c r="I185" s="86">
        <v>0.85</v>
      </c>
      <c r="J185" s="87" t="s">
        <v>83</v>
      </c>
      <c r="K185" s="174" t="s">
        <v>636</v>
      </c>
    </row>
    <row r="186" spans="2:11">
      <c r="B186" s="83" t="s">
        <v>442</v>
      </c>
      <c r="C186" s="84" t="s">
        <v>443</v>
      </c>
      <c r="D186" s="85">
        <v>3.4E-5</v>
      </c>
      <c r="E186" s="86">
        <v>4.1999999999999997E-3</v>
      </c>
      <c r="F186" s="85">
        <v>3.0000000000000001E-3</v>
      </c>
      <c r="G186" s="86">
        <v>0.85</v>
      </c>
      <c r="H186" s="85">
        <v>1.4E-3</v>
      </c>
      <c r="I186" s="86">
        <v>0.85</v>
      </c>
      <c r="J186" s="87" t="s">
        <v>83</v>
      </c>
      <c r="K186" s="174" t="s">
        <v>636</v>
      </c>
    </row>
    <row r="187" spans="2:11">
      <c r="B187" s="83" t="s">
        <v>444</v>
      </c>
      <c r="C187" s="84" t="s">
        <v>445</v>
      </c>
      <c r="D187" s="85">
        <v>3.4E-8</v>
      </c>
      <c r="E187" s="86">
        <v>4.1999999999999996E-6</v>
      </c>
      <c r="F187" s="85">
        <v>3.0000000000000001E-6</v>
      </c>
      <c r="G187" s="86">
        <v>8.4999999999999995E-4</v>
      </c>
      <c r="H187" s="85">
        <v>1.3999999999999999E-6</v>
      </c>
      <c r="I187" s="86">
        <v>8.4999999999999995E-4</v>
      </c>
      <c r="J187" s="87" t="s">
        <v>83</v>
      </c>
      <c r="K187" s="174" t="s">
        <v>636</v>
      </c>
    </row>
    <row r="188" spans="2:11">
      <c r="B188" s="83" t="s">
        <v>446</v>
      </c>
      <c r="C188" s="84" t="s">
        <v>447</v>
      </c>
      <c r="D188" s="85">
        <v>3.4E-5</v>
      </c>
      <c r="E188" s="86">
        <v>4.1999999999999997E-3</v>
      </c>
      <c r="F188" s="85">
        <v>3.0000000000000001E-3</v>
      </c>
      <c r="G188" s="86">
        <v>0.85</v>
      </c>
      <c r="H188" s="85">
        <v>1.4E-3</v>
      </c>
      <c r="I188" s="86">
        <v>0.85</v>
      </c>
      <c r="J188" s="87" t="s">
        <v>83</v>
      </c>
      <c r="K188" s="174" t="s">
        <v>636</v>
      </c>
    </row>
    <row r="189" spans="2:11" ht="30">
      <c r="B189" s="83" t="s">
        <v>448</v>
      </c>
      <c r="C189" s="84" t="s">
        <v>449</v>
      </c>
      <c r="D189" s="85">
        <v>1.0000000000000001E-9</v>
      </c>
      <c r="E189" s="86">
        <v>1.3E-7</v>
      </c>
      <c r="F189" s="85">
        <v>8.9999999999999999E-8</v>
      </c>
      <c r="G189" s="86">
        <v>2.5999999999999998E-5</v>
      </c>
      <c r="H189" s="85">
        <v>4.1999999999999999E-8</v>
      </c>
      <c r="I189" s="86">
        <v>2.5999999999999998E-5</v>
      </c>
      <c r="J189" s="87" t="s">
        <v>83</v>
      </c>
      <c r="K189" s="174" t="s">
        <v>636</v>
      </c>
    </row>
    <row r="190" spans="2:11">
      <c r="B190" s="83" t="s">
        <v>450</v>
      </c>
      <c r="C190" s="84" t="s">
        <v>451</v>
      </c>
      <c r="D190" s="85">
        <v>1.0000000000000001E-9</v>
      </c>
      <c r="E190" s="86">
        <v>1.3E-7</v>
      </c>
      <c r="F190" s="85">
        <v>8.9999999999999999E-8</v>
      </c>
      <c r="G190" s="86">
        <v>2.5999999999999998E-5</v>
      </c>
      <c r="H190" s="85">
        <v>4.1999999999999999E-8</v>
      </c>
      <c r="I190" s="86">
        <v>2.5999999999999998E-5</v>
      </c>
      <c r="J190" s="87" t="s">
        <v>83</v>
      </c>
      <c r="K190" s="174" t="s">
        <v>636</v>
      </c>
    </row>
    <row r="191" spans="2:11">
      <c r="B191" s="83" t="s">
        <v>452</v>
      </c>
      <c r="C191" s="84" t="s">
        <v>453</v>
      </c>
      <c r="D191" s="85">
        <v>1.0000000000000001E-9</v>
      </c>
      <c r="E191" s="86">
        <v>1.3E-7</v>
      </c>
      <c r="F191" s="85">
        <v>8.9999999999999999E-8</v>
      </c>
      <c r="G191" s="86">
        <v>2.5999999999999998E-5</v>
      </c>
      <c r="H191" s="85">
        <v>4.1999999999999999E-8</v>
      </c>
      <c r="I191" s="86">
        <v>2.5999999999999998E-5</v>
      </c>
      <c r="J191" s="87" t="s">
        <v>83</v>
      </c>
      <c r="K191" s="174" t="s">
        <v>636</v>
      </c>
    </row>
    <row r="192" spans="2:11">
      <c r="B192" s="83" t="s">
        <v>454</v>
      </c>
      <c r="C192" s="84" t="s">
        <v>455</v>
      </c>
      <c r="D192" s="85">
        <v>1E-8</v>
      </c>
      <c r="E192" s="86">
        <v>1.3E-6</v>
      </c>
      <c r="F192" s="85">
        <v>8.9999999999999996E-7</v>
      </c>
      <c r="G192" s="86">
        <v>2.5999999999999998E-4</v>
      </c>
      <c r="H192" s="85">
        <v>4.2E-7</v>
      </c>
      <c r="I192" s="86">
        <v>2.5999999999999998E-4</v>
      </c>
      <c r="J192" s="87" t="s">
        <v>83</v>
      </c>
      <c r="K192" s="174" t="s">
        <v>636</v>
      </c>
    </row>
    <row r="193" spans="2:11">
      <c r="B193" s="83" t="s">
        <v>456</v>
      </c>
      <c r="C193" s="84" t="s">
        <v>457</v>
      </c>
      <c r="D193" s="85">
        <v>1E-8</v>
      </c>
      <c r="E193" s="86">
        <v>1.3E-6</v>
      </c>
      <c r="F193" s="85">
        <v>8.9999999999999996E-7</v>
      </c>
      <c r="G193" s="86">
        <v>2.5999999999999998E-4</v>
      </c>
      <c r="H193" s="85">
        <v>4.2E-7</v>
      </c>
      <c r="I193" s="86">
        <v>2.5999999999999998E-4</v>
      </c>
      <c r="J193" s="87" t="s">
        <v>83</v>
      </c>
      <c r="K193" s="174" t="s">
        <v>636</v>
      </c>
    </row>
    <row r="194" spans="2:11">
      <c r="B194" s="83" t="s">
        <v>458</v>
      </c>
      <c r="C194" s="84" t="s">
        <v>459</v>
      </c>
      <c r="D194" s="85">
        <v>1E-8</v>
      </c>
      <c r="E194" s="86">
        <v>1.3E-6</v>
      </c>
      <c r="F194" s="85">
        <v>8.9999999999999996E-7</v>
      </c>
      <c r="G194" s="86">
        <v>2.5999999999999998E-4</v>
      </c>
      <c r="H194" s="85">
        <v>4.2E-7</v>
      </c>
      <c r="I194" s="86">
        <v>2.5999999999999998E-4</v>
      </c>
      <c r="J194" s="87" t="s">
        <v>83</v>
      </c>
      <c r="K194" s="174" t="s">
        <v>636</v>
      </c>
    </row>
    <row r="195" spans="2:11" ht="30">
      <c r="B195" s="83" t="s">
        <v>460</v>
      </c>
      <c r="C195" s="84" t="s">
        <v>461</v>
      </c>
      <c r="D195" s="85">
        <v>9.9999999999999995E-8</v>
      </c>
      <c r="E195" s="86">
        <v>1.2999999999999999E-5</v>
      </c>
      <c r="F195" s="85">
        <v>9.0000000000000002E-6</v>
      </c>
      <c r="G195" s="86">
        <v>2.5999999999999999E-3</v>
      </c>
      <c r="H195" s="85">
        <v>4.1999999999999996E-6</v>
      </c>
      <c r="I195" s="86">
        <v>2.5999999999999999E-3</v>
      </c>
      <c r="J195" s="87" t="s">
        <v>83</v>
      </c>
      <c r="K195" s="174" t="s">
        <v>636</v>
      </c>
    </row>
    <row r="196" spans="2:11">
      <c r="B196" s="83" t="s">
        <v>462</v>
      </c>
      <c r="C196" s="84" t="s">
        <v>463</v>
      </c>
      <c r="D196" s="85">
        <v>3.4000000000000001E-6</v>
      </c>
      <c r="E196" s="86">
        <v>4.2000000000000002E-4</v>
      </c>
      <c r="F196" s="85">
        <v>2.9999999999999997E-4</v>
      </c>
      <c r="G196" s="86">
        <v>8.5000000000000006E-2</v>
      </c>
      <c r="H196" s="85">
        <v>1.3999999999999999E-4</v>
      </c>
      <c r="I196" s="86">
        <v>8.5000000000000006E-2</v>
      </c>
      <c r="J196" s="87" t="s">
        <v>83</v>
      </c>
      <c r="K196" s="174" t="s">
        <v>636</v>
      </c>
    </row>
    <row r="197" spans="2:11">
      <c r="B197" s="83" t="s">
        <v>464</v>
      </c>
      <c r="C197" s="84" t="s">
        <v>465</v>
      </c>
      <c r="D197" s="85">
        <v>1E-8</v>
      </c>
      <c r="E197" s="86">
        <v>1.3E-6</v>
      </c>
      <c r="F197" s="85">
        <v>8.9999999999999996E-7</v>
      </c>
      <c r="G197" s="86">
        <v>2.5999999999999998E-4</v>
      </c>
      <c r="H197" s="85">
        <v>4.2E-7</v>
      </c>
      <c r="I197" s="86">
        <v>2.5999999999999998E-4</v>
      </c>
      <c r="J197" s="87" t="s">
        <v>83</v>
      </c>
      <c r="K197" s="174" t="s">
        <v>636</v>
      </c>
    </row>
    <row r="198" spans="2:11">
      <c r="B198" s="83" t="s">
        <v>466</v>
      </c>
      <c r="C198" s="84" t="s">
        <v>467</v>
      </c>
      <c r="D198" s="85">
        <v>3.4E-8</v>
      </c>
      <c r="E198" s="86">
        <v>4.1999999999999996E-6</v>
      </c>
      <c r="F198" s="85">
        <v>3.0000000000000001E-6</v>
      </c>
      <c r="G198" s="86">
        <v>8.4999999999999995E-4</v>
      </c>
      <c r="H198" s="85">
        <v>1.3999999999999999E-6</v>
      </c>
      <c r="I198" s="86">
        <v>8.4999999999999995E-4</v>
      </c>
      <c r="J198" s="87" t="s">
        <v>83</v>
      </c>
      <c r="K198" s="174" t="s">
        <v>636</v>
      </c>
    </row>
    <row r="199" spans="2:11">
      <c r="B199" s="83" t="s">
        <v>468</v>
      </c>
      <c r="C199" s="84" t="s">
        <v>469</v>
      </c>
      <c r="D199" s="85">
        <v>3.3999999999999998E-9</v>
      </c>
      <c r="E199" s="86">
        <v>4.2E-7</v>
      </c>
      <c r="F199" s="85">
        <v>2.9999999999999999E-7</v>
      </c>
      <c r="G199" s="86">
        <v>8.5000000000000006E-5</v>
      </c>
      <c r="H199" s="85">
        <v>1.4000000000000001E-7</v>
      </c>
      <c r="I199" s="86">
        <v>8.5000000000000006E-5</v>
      </c>
      <c r="J199" s="87" t="s">
        <v>83</v>
      </c>
      <c r="K199" s="174" t="s">
        <v>636</v>
      </c>
    </row>
    <row r="200" spans="2:11">
      <c r="B200" s="83" t="s">
        <v>470</v>
      </c>
      <c r="C200" s="84" t="s">
        <v>471</v>
      </c>
      <c r="D200" s="85">
        <v>1E-8</v>
      </c>
      <c r="E200" s="86">
        <v>1.3E-6</v>
      </c>
      <c r="F200" s="85">
        <v>8.9999999999999996E-7</v>
      </c>
      <c r="G200" s="86">
        <v>2.5999999999999998E-4</v>
      </c>
      <c r="H200" s="85">
        <v>4.2E-7</v>
      </c>
      <c r="I200" s="86">
        <v>2.5999999999999998E-4</v>
      </c>
      <c r="J200" s="87" t="s">
        <v>83</v>
      </c>
      <c r="K200" s="174" t="s">
        <v>636</v>
      </c>
    </row>
    <row r="201" spans="2:11">
      <c r="B201" s="83" t="s">
        <v>472</v>
      </c>
      <c r="C201" s="84" t="s">
        <v>473</v>
      </c>
      <c r="D201" s="85">
        <v>1E-8</v>
      </c>
      <c r="E201" s="86">
        <v>1.3E-6</v>
      </c>
      <c r="F201" s="85">
        <v>8.9999999999999996E-7</v>
      </c>
      <c r="G201" s="86">
        <v>2.5999999999999998E-4</v>
      </c>
      <c r="H201" s="85">
        <v>4.2E-7</v>
      </c>
      <c r="I201" s="86">
        <v>2.5999999999999998E-4</v>
      </c>
      <c r="J201" s="87" t="s">
        <v>83</v>
      </c>
      <c r="K201" s="174" t="s">
        <v>636</v>
      </c>
    </row>
    <row r="202" spans="2:11">
      <c r="B202" s="83" t="s">
        <v>474</v>
      </c>
      <c r="C202" s="84" t="s">
        <v>475</v>
      </c>
      <c r="D202" s="85">
        <v>1E-8</v>
      </c>
      <c r="E202" s="86">
        <v>1.3E-6</v>
      </c>
      <c r="F202" s="85">
        <v>8.9999999999999996E-7</v>
      </c>
      <c r="G202" s="86">
        <v>2.5999999999999998E-4</v>
      </c>
      <c r="H202" s="85">
        <v>4.2E-7</v>
      </c>
      <c r="I202" s="86">
        <v>2.5999999999999998E-4</v>
      </c>
      <c r="J202" s="87" t="s">
        <v>83</v>
      </c>
      <c r="K202" s="174" t="s">
        <v>636</v>
      </c>
    </row>
    <row r="203" spans="2:11">
      <c r="B203" s="88" t="s">
        <v>476</v>
      </c>
      <c r="C203" s="84" t="s">
        <v>477</v>
      </c>
      <c r="D203" s="85">
        <v>1E-8</v>
      </c>
      <c r="E203" s="86">
        <v>1.3E-6</v>
      </c>
      <c r="F203" s="85">
        <v>8.9999999999999996E-7</v>
      </c>
      <c r="G203" s="86">
        <v>2.5999999999999998E-4</v>
      </c>
      <c r="H203" s="85">
        <v>4.2E-7</v>
      </c>
      <c r="I203" s="86">
        <v>2.5999999999999998E-4</v>
      </c>
      <c r="J203" s="87" t="s">
        <v>83</v>
      </c>
      <c r="K203" s="174" t="s">
        <v>636</v>
      </c>
    </row>
    <row r="204" spans="2:11">
      <c r="B204" s="83" t="s">
        <v>478</v>
      </c>
      <c r="C204" s="84" t="s">
        <v>479</v>
      </c>
      <c r="D204" s="85">
        <v>9.9999999999999995E-8</v>
      </c>
      <c r="E204" s="86">
        <v>1.2999999999999999E-5</v>
      </c>
      <c r="F204" s="85">
        <v>9.0000000000000002E-6</v>
      </c>
      <c r="G204" s="86">
        <v>2.5999999999999999E-3</v>
      </c>
      <c r="H204" s="85">
        <v>4.1999999999999996E-6</v>
      </c>
      <c r="I204" s="86">
        <v>2.5999999999999999E-3</v>
      </c>
      <c r="J204" s="87" t="s">
        <v>83</v>
      </c>
      <c r="K204" s="174" t="s">
        <v>636</v>
      </c>
    </row>
    <row r="205" spans="2:11">
      <c r="B205" s="83" t="s">
        <v>480</v>
      </c>
      <c r="C205" s="84" t="s">
        <v>481</v>
      </c>
      <c r="D205" s="85">
        <v>9.9999999999999995E-8</v>
      </c>
      <c r="E205" s="86">
        <v>1.2999999999999999E-5</v>
      </c>
      <c r="F205" s="85">
        <v>9.0000000000000002E-6</v>
      </c>
      <c r="G205" s="86">
        <v>2.5999999999999999E-3</v>
      </c>
      <c r="H205" s="85">
        <v>4.1999999999999996E-6</v>
      </c>
      <c r="I205" s="86">
        <v>2.5999999999999999E-3</v>
      </c>
      <c r="J205" s="87" t="s">
        <v>83</v>
      </c>
      <c r="K205" s="174" t="s">
        <v>636</v>
      </c>
    </row>
    <row r="206" spans="2:11">
      <c r="B206" s="83" t="s">
        <v>482</v>
      </c>
      <c r="C206" s="84" t="s">
        <v>483</v>
      </c>
      <c r="D206" s="85">
        <v>3.4000000000000001E-6</v>
      </c>
      <c r="E206" s="86">
        <v>4.2000000000000002E-4</v>
      </c>
      <c r="F206" s="85">
        <v>2.9999999999999997E-4</v>
      </c>
      <c r="G206" s="86">
        <v>8.5000000000000006E-2</v>
      </c>
      <c r="H206" s="85">
        <v>1.3999999999999999E-4</v>
      </c>
      <c r="I206" s="86">
        <v>8.5000000000000006E-2</v>
      </c>
      <c r="J206" s="87" t="s">
        <v>83</v>
      </c>
      <c r="K206" s="174" t="s">
        <v>636</v>
      </c>
    </row>
    <row r="207" spans="2:11">
      <c r="B207" s="83" t="s">
        <v>484</v>
      </c>
      <c r="C207" s="84" t="s">
        <v>485</v>
      </c>
      <c r="D207" s="85">
        <v>4.3000000000000002E-5</v>
      </c>
      <c r="E207" s="86" t="s">
        <v>83</v>
      </c>
      <c r="F207" s="85">
        <v>1.6000000000000001E-3</v>
      </c>
      <c r="G207" s="86" t="s">
        <v>83</v>
      </c>
      <c r="H207" s="85">
        <v>3.0000000000000001E-3</v>
      </c>
      <c r="I207" s="86" t="s">
        <v>83</v>
      </c>
      <c r="J207" s="87" t="s">
        <v>83</v>
      </c>
      <c r="K207" s="174" t="s">
        <v>83</v>
      </c>
    </row>
    <row r="208" spans="2:11">
      <c r="B208" s="83" t="s">
        <v>486</v>
      </c>
      <c r="C208" s="84" t="s">
        <v>487</v>
      </c>
      <c r="D208" s="85">
        <v>1.1E-4</v>
      </c>
      <c r="E208" s="86" t="s">
        <v>83</v>
      </c>
      <c r="F208" s="85">
        <v>3.8999999999999998E-3</v>
      </c>
      <c r="G208" s="86" t="s">
        <v>83</v>
      </c>
      <c r="H208" s="85">
        <v>7.6E-3</v>
      </c>
      <c r="I208" s="86" t="s">
        <v>83</v>
      </c>
      <c r="J208" s="87" t="s">
        <v>83</v>
      </c>
      <c r="K208" s="174" t="s">
        <v>83</v>
      </c>
    </row>
    <row r="209" spans="2:11">
      <c r="B209" s="83" t="s">
        <v>488</v>
      </c>
      <c r="C209" s="84" t="s">
        <v>489</v>
      </c>
      <c r="D209" s="85">
        <v>2.1000000000000001E-4</v>
      </c>
      <c r="E209" s="86" t="s">
        <v>83</v>
      </c>
      <c r="F209" s="85">
        <v>7.7999999999999996E-3</v>
      </c>
      <c r="G209" s="86" t="s">
        <v>83</v>
      </c>
      <c r="H209" s="85">
        <v>1.4999999999999999E-2</v>
      </c>
      <c r="I209" s="86" t="s">
        <v>83</v>
      </c>
      <c r="J209" s="87" t="s">
        <v>83</v>
      </c>
      <c r="K209" s="174" t="s">
        <v>83</v>
      </c>
    </row>
    <row r="210" spans="2:11">
      <c r="B210" s="83" t="s">
        <v>490</v>
      </c>
      <c r="C210" s="84" t="s">
        <v>491</v>
      </c>
      <c r="D210" s="85">
        <v>4.3000000000000002E-5</v>
      </c>
      <c r="E210" s="86">
        <v>2E-3</v>
      </c>
      <c r="F210" s="85">
        <v>1.6000000000000001E-3</v>
      </c>
      <c r="G210" s="86">
        <v>8.8000000000000005E-3</v>
      </c>
      <c r="H210" s="85">
        <v>3.0000000000000001E-3</v>
      </c>
      <c r="I210" s="86">
        <v>8.8000000000000005E-3</v>
      </c>
      <c r="J210" s="87">
        <v>2E-3</v>
      </c>
      <c r="K210" s="174" t="s">
        <v>636</v>
      </c>
    </row>
    <row r="211" spans="2:11">
      <c r="B211" s="83" t="s">
        <v>492</v>
      </c>
      <c r="C211" s="84" t="s">
        <v>493</v>
      </c>
      <c r="D211" s="85">
        <v>5.3000000000000001E-5</v>
      </c>
      <c r="E211" s="86" t="s">
        <v>83</v>
      </c>
      <c r="F211" s="85">
        <v>2E-3</v>
      </c>
      <c r="G211" s="86" t="s">
        <v>83</v>
      </c>
      <c r="H211" s="85">
        <v>3.8E-3</v>
      </c>
      <c r="I211" s="86" t="s">
        <v>83</v>
      </c>
      <c r="J211" s="87" t="s">
        <v>83</v>
      </c>
      <c r="K211" s="174" t="s">
        <v>83</v>
      </c>
    </row>
    <row r="212" spans="2:11">
      <c r="B212" s="83" t="s">
        <v>494</v>
      </c>
      <c r="C212" s="84" t="s">
        <v>495</v>
      </c>
      <c r="D212" s="85">
        <v>2.0999999999999998E-6</v>
      </c>
      <c r="E212" s="86" t="s">
        <v>83</v>
      </c>
      <c r="F212" s="85">
        <v>7.7999999999999999E-5</v>
      </c>
      <c r="G212" s="86" t="s">
        <v>83</v>
      </c>
      <c r="H212" s="85">
        <v>1.4999999999999999E-4</v>
      </c>
      <c r="I212" s="86" t="s">
        <v>83</v>
      </c>
      <c r="J212" s="87" t="s">
        <v>83</v>
      </c>
      <c r="K212" s="174" t="s">
        <v>83</v>
      </c>
    </row>
    <row r="213" spans="2:11">
      <c r="B213" s="83" t="s">
        <v>496</v>
      </c>
      <c r="C213" s="84" t="s">
        <v>497</v>
      </c>
      <c r="D213" s="85">
        <v>4.7000000000000002E-3</v>
      </c>
      <c r="E213" s="86" t="s">
        <v>83</v>
      </c>
      <c r="F213" s="85">
        <v>0.17</v>
      </c>
      <c r="G213" s="86" t="s">
        <v>83</v>
      </c>
      <c r="H213" s="85">
        <v>0.34</v>
      </c>
      <c r="I213" s="86" t="s">
        <v>83</v>
      </c>
      <c r="J213" s="87" t="s">
        <v>83</v>
      </c>
      <c r="K213" s="174" t="s">
        <v>83</v>
      </c>
    </row>
    <row r="214" spans="2:11">
      <c r="B214" s="83" t="s">
        <v>498</v>
      </c>
      <c r="C214" s="84" t="s">
        <v>499</v>
      </c>
      <c r="D214" s="85">
        <v>1.3999999999999999E-4</v>
      </c>
      <c r="E214" s="86" t="s">
        <v>83</v>
      </c>
      <c r="F214" s="85">
        <v>5.1999999999999998E-3</v>
      </c>
      <c r="G214" s="86" t="s">
        <v>83</v>
      </c>
      <c r="H214" s="85">
        <v>0.01</v>
      </c>
      <c r="I214" s="86" t="s">
        <v>83</v>
      </c>
      <c r="J214" s="87" t="s">
        <v>83</v>
      </c>
      <c r="K214" s="174" t="s">
        <v>83</v>
      </c>
    </row>
    <row r="215" spans="2:11">
      <c r="B215" s="83" t="s">
        <v>500</v>
      </c>
      <c r="C215" s="84" t="s">
        <v>501</v>
      </c>
      <c r="D215" s="85">
        <v>1.4E-3</v>
      </c>
      <c r="E215" s="86" t="s">
        <v>83</v>
      </c>
      <c r="F215" s="85">
        <v>5.1999999999999998E-2</v>
      </c>
      <c r="G215" s="86" t="s">
        <v>83</v>
      </c>
      <c r="H215" s="85">
        <v>0.1</v>
      </c>
      <c r="I215" s="86" t="s">
        <v>83</v>
      </c>
      <c r="J215" s="87" t="s">
        <v>83</v>
      </c>
      <c r="K215" s="174" t="s">
        <v>83</v>
      </c>
    </row>
    <row r="216" spans="2:11">
      <c r="B216" s="83" t="s">
        <v>502</v>
      </c>
      <c r="C216" s="84" t="s">
        <v>503</v>
      </c>
      <c r="D216" s="85">
        <v>4.2999999999999999E-4</v>
      </c>
      <c r="E216" s="86" t="s">
        <v>83</v>
      </c>
      <c r="F216" s="85">
        <v>1.6E-2</v>
      </c>
      <c r="G216" s="86" t="s">
        <v>83</v>
      </c>
      <c r="H216" s="85">
        <v>0.03</v>
      </c>
      <c r="I216" s="86" t="s">
        <v>83</v>
      </c>
      <c r="J216" s="87" t="s">
        <v>83</v>
      </c>
      <c r="K216" s="174" t="s">
        <v>83</v>
      </c>
    </row>
    <row r="217" spans="2:11">
      <c r="B217" s="83" t="s">
        <v>504</v>
      </c>
      <c r="C217" s="84" t="s">
        <v>505</v>
      </c>
      <c r="D217" s="85">
        <v>1.1E-4</v>
      </c>
      <c r="E217" s="86" t="s">
        <v>83</v>
      </c>
      <c r="F217" s="85">
        <v>3.8999999999999998E-3</v>
      </c>
      <c r="G217" s="86" t="s">
        <v>83</v>
      </c>
      <c r="H217" s="85">
        <v>7.6E-3</v>
      </c>
      <c r="I217" s="86" t="s">
        <v>83</v>
      </c>
      <c r="J217" s="87" t="s">
        <v>83</v>
      </c>
      <c r="K217" s="174" t="s">
        <v>83</v>
      </c>
    </row>
    <row r="218" spans="2:11">
      <c r="B218" s="83" t="s">
        <v>506</v>
      </c>
      <c r="C218" s="84" t="s">
        <v>507</v>
      </c>
      <c r="D218" s="85">
        <v>4.3000000000000003E-6</v>
      </c>
      <c r="E218" s="86" t="s">
        <v>83</v>
      </c>
      <c r="F218" s="85">
        <v>1.6000000000000001E-4</v>
      </c>
      <c r="G218" s="86" t="s">
        <v>83</v>
      </c>
      <c r="H218" s="85">
        <v>2.9999999999999997E-4</v>
      </c>
      <c r="I218" s="86" t="s">
        <v>83</v>
      </c>
      <c r="J218" s="87" t="s">
        <v>83</v>
      </c>
      <c r="K218" s="174" t="s">
        <v>83</v>
      </c>
    </row>
    <row r="219" spans="2:11">
      <c r="B219" s="83" t="s">
        <v>508</v>
      </c>
      <c r="C219" s="84" t="s">
        <v>509</v>
      </c>
      <c r="D219" s="85">
        <v>1.1E-4</v>
      </c>
      <c r="E219" s="86" t="s">
        <v>83</v>
      </c>
      <c r="F219" s="85">
        <v>3.8999999999999998E-3</v>
      </c>
      <c r="G219" s="86" t="s">
        <v>83</v>
      </c>
      <c r="H219" s="85">
        <v>7.6E-3</v>
      </c>
      <c r="I219" s="86" t="s">
        <v>83</v>
      </c>
      <c r="J219" s="87" t="s">
        <v>83</v>
      </c>
      <c r="K219" s="174" t="s">
        <v>83</v>
      </c>
    </row>
    <row r="220" spans="2:11">
      <c r="B220" s="83" t="s">
        <v>510</v>
      </c>
      <c r="C220" s="84" t="s">
        <v>511</v>
      </c>
      <c r="D220" s="85">
        <v>4.6999999999999997E-5</v>
      </c>
      <c r="E220" s="86" t="s">
        <v>83</v>
      </c>
      <c r="F220" s="85">
        <v>1.6999999999999999E-3</v>
      </c>
      <c r="G220" s="86" t="s">
        <v>83</v>
      </c>
      <c r="H220" s="85">
        <v>3.3999999999999998E-3</v>
      </c>
      <c r="I220" s="86" t="s">
        <v>83</v>
      </c>
      <c r="J220" s="87" t="s">
        <v>83</v>
      </c>
      <c r="K220" s="174" t="s">
        <v>83</v>
      </c>
    </row>
    <row r="221" spans="2:11">
      <c r="B221" s="83" t="s">
        <v>512</v>
      </c>
      <c r="C221" s="84" t="s">
        <v>513</v>
      </c>
      <c r="D221" s="85">
        <v>7.1000000000000005E-5</v>
      </c>
      <c r="E221" s="86" t="s">
        <v>83</v>
      </c>
      <c r="F221" s="85">
        <v>2.5999999999999999E-3</v>
      </c>
      <c r="G221" s="86" t="s">
        <v>83</v>
      </c>
      <c r="H221" s="85">
        <v>5.1000000000000004E-3</v>
      </c>
      <c r="I221" s="86" t="s">
        <v>83</v>
      </c>
      <c r="J221" s="87" t="s">
        <v>83</v>
      </c>
      <c r="K221" s="174" t="s">
        <v>83</v>
      </c>
    </row>
    <row r="222" spans="2:11">
      <c r="B222" s="83" t="s">
        <v>514</v>
      </c>
      <c r="C222" s="84" t="s">
        <v>515</v>
      </c>
      <c r="D222" s="85">
        <v>1.3999999999999999E-6</v>
      </c>
      <c r="E222" s="86" t="s">
        <v>83</v>
      </c>
      <c r="F222" s="85">
        <v>5.1999999999999997E-5</v>
      </c>
      <c r="G222" s="86" t="s">
        <v>83</v>
      </c>
      <c r="H222" s="85">
        <v>1E-4</v>
      </c>
      <c r="I222" s="86" t="s">
        <v>83</v>
      </c>
      <c r="J222" s="87" t="s">
        <v>83</v>
      </c>
      <c r="K222" s="174" t="s">
        <v>83</v>
      </c>
    </row>
    <row r="223" spans="2:11">
      <c r="B223" s="83" t="s">
        <v>516</v>
      </c>
      <c r="C223" s="84" t="s">
        <v>517</v>
      </c>
      <c r="D223" s="85">
        <v>5.2999999999999998E-4</v>
      </c>
      <c r="E223" s="86" t="s">
        <v>83</v>
      </c>
      <c r="F223" s="85">
        <v>0.02</v>
      </c>
      <c r="G223" s="86" t="s">
        <v>83</v>
      </c>
      <c r="H223" s="85">
        <v>3.7999999999999999E-2</v>
      </c>
      <c r="I223" s="86" t="s">
        <v>83</v>
      </c>
      <c r="J223" s="87" t="s">
        <v>83</v>
      </c>
      <c r="K223" s="174" t="s">
        <v>83</v>
      </c>
    </row>
    <row r="224" spans="2:11">
      <c r="B224" s="83" t="s">
        <v>518</v>
      </c>
      <c r="C224" s="84" t="s">
        <v>519</v>
      </c>
      <c r="D224" s="85">
        <v>6.0999999999999997E-4</v>
      </c>
      <c r="E224" s="86" t="s">
        <v>83</v>
      </c>
      <c r="F224" s="85">
        <v>2.1999999999999999E-2</v>
      </c>
      <c r="G224" s="86" t="s">
        <v>83</v>
      </c>
      <c r="H224" s="85">
        <v>4.2999999999999997E-2</v>
      </c>
      <c r="I224" s="86" t="s">
        <v>83</v>
      </c>
      <c r="J224" s="87" t="s">
        <v>83</v>
      </c>
      <c r="K224" s="174" t="s">
        <v>83</v>
      </c>
    </row>
    <row r="225" spans="2:11">
      <c r="B225" s="83" t="s">
        <v>520</v>
      </c>
      <c r="C225" s="84" t="s">
        <v>521</v>
      </c>
      <c r="D225" s="85">
        <v>4.3000000000000002E-5</v>
      </c>
      <c r="E225" s="86" t="s">
        <v>83</v>
      </c>
      <c r="F225" s="85">
        <v>1.6000000000000001E-3</v>
      </c>
      <c r="G225" s="86" t="s">
        <v>83</v>
      </c>
      <c r="H225" s="85">
        <v>3.0000000000000001E-3</v>
      </c>
      <c r="I225" s="86" t="s">
        <v>83</v>
      </c>
      <c r="J225" s="87" t="s">
        <v>83</v>
      </c>
      <c r="K225" s="174" t="s">
        <v>83</v>
      </c>
    </row>
    <row r="226" spans="2:11">
      <c r="B226" s="83" t="s">
        <v>522</v>
      </c>
      <c r="C226" s="84" t="s">
        <v>523</v>
      </c>
      <c r="D226" s="85">
        <v>4.3000000000000003E-6</v>
      </c>
      <c r="E226" s="86" t="s">
        <v>83</v>
      </c>
      <c r="F226" s="85">
        <v>1.6000000000000001E-4</v>
      </c>
      <c r="G226" s="86" t="s">
        <v>83</v>
      </c>
      <c r="H226" s="85">
        <v>2.9999999999999997E-4</v>
      </c>
      <c r="I226" s="86" t="s">
        <v>83</v>
      </c>
      <c r="J226" s="87" t="s">
        <v>83</v>
      </c>
      <c r="K226" s="174" t="s">
        <v>83</v>
      </c>
    </row>
    <row r="227" spans="2:11">
      <c r="B227" s="83" t="s">
        <v>524</v>
      </c>
      <c r="C227" s="84" t="s">
        <v>525</v>
      </c>
      <c r="D227" s="85">
        <v>7.1000000000000004E-3</v>
      </c>
      <c r="E227" s="86" t="s">
        <v>83</v>
      </c>
      <c r="F227" s="85">
        <v>0.19</v>
      </c>
      <c r="G227" s="86" t="s">
        <v>83</v>
      </c>
      <c r="H227" s="85">
        <v>8.5999999999999993E-2</v>
      </c>
      <c r="I227" s="86" t="s">
        <v>83</v>
      </c>
      <c r="J227" s="87" t="s">
        <v>83</v>
      </c>
      <c r="K227" s="174" t="s">
        <v>83</v>
      </c>
    </row>
    <row r="228" spans="2:11">
      <c r="B228" s="83" t="s">
        <v>526</v>
      </c>
      <c r="C228" s="84" t="s">
        <v>527</v>
      </c>
      <c r="D228" s="85">
        <v>1.4E-3</v>
      </c>
      <c r="E228" s="86" t="s">
        <v>83</v>
      </c>
      <c r="F228" s="85">
        <v>3.7999999999999999E-2</v>
      </c>
      <c r="G228" s="86" t="s">
        <v>83</v>
      </c>
      <c r="H228" s="85">
        <v>1.7000000000000001E-2</v>
      </c>
      <c r="I228" s="86" t="s">
        <v>83</v>
      </c>
      <c r="J228" s="87" t="s">
        <v>83</v>
      </c>
      <c r="K228" s="174" t="s">
        <v>83</v>
      </c>
    </row>
    <row r="229" spans="2:11">
      <c r="B229" s="83" t="s">
        <v>528</v>
      </c>
      <c r="C229" s="84" t="s">
        <v>529</v>
      </c>
      <c r="D229" s="85" t="s">
        <v>83</v>
      </c>
      <c r="E229" s="86">
        <v>8</v>
      </c>
      <c r="F229" s="85" t="s">
        <v>83</v>
      </c>
      <c r="G229" s="86">
        <v>35</v>
      </c>
      <c r="H229" s="85" t="s">
        <v>83</v>
      </c>
      <c r="I229" s="86">
        <v>35</v>
      </c>
      <c r="J229" s="87" t="s">
        <v>83</v>
      </c>
      <c r="K229" s="174" t="s">
        <v>637</v>
      </c>
    </row>
    <row r="230" spans="2:11">
      <c r="B230" s="83" t="s">
        <v>530</v>
      </c>
      <c r="C230" s="84" t="s">
        <v>531</v>
      </c>
      <c r="D230" s="85" t="s">
        <v>83</v>
      </c>
      <c r="E230" s="86">
        <v>3000</v>
      </c>
      <c r="F230" s="85" t="s">
        <v>83</v>
      </c>
      <c r="G230" s="86">
        <v>13000</v>
      </c>
      <c r="H230" s="85" t="s">
        <v>83</v>
      </c>
      <c r="I230" s="86">
        <v>13000</v>
      </c>
      <c r="J230" s="87" t="s">
        <v>83</v>
      </c>
      <c r="K230" s="174" t="s">
        <v>637</v>
      </c>
    </row>
    <row r="231" spans="2:11">
      <c r="B231" s="83" t="s">
        <v>532</v>
      </c>
      <c r="C231" s="84" t="s">
        <v>533</v>
      </c>
      <c r="D231" s="85" t="s">
        <v>83</v>
      </c>
      <c r="E231" s="86">
        <v>0.27</v>
      </c>
      <c r="F231" s="85" t="s">
        <v>83</v>
      </c>
      <c r="G231" s="86">
        <v>1.2</v>
      </c>
      <c r="H231" s="85" t="s">
        <v>83</v>
      </c>
      <c r="I231" s="86">
        <v>1.2</v>
      </c>
      <c r="J231" s="87">
        <v>20</v>
      </c>
      <c r="K231" s="174" t="s">
        <v>637</v>
      </c>
    </row>
    <row r="232" spans="2:11">
      <c r="B232" s="83" t="s">
        <v>534</v>
      </c>
      <c r="C232" s="84" t="s">
        <v>535</v>
      </c>
      <c r="D232" s="85" t="s">
        <v>83</v>
      </c>
      <c r="E232" s="86">
        <v>7000</v>
      </c>
      <c r="F232" s="85" t="s">
        <v>83</v>
      </c>
      <c r="G232" s="86">
        <v>31000</v>
      </c>
      <c r="H232" s="85" t="s">
        <v>83</v>
      </c>
      <c r="I232" s="86">
        <v>31000</v>
      </c>
      <c r="J232" s="87" t="s">
        <v>83</v>
      </c>
      <c r="K232" s="174" t="s">
        <v>636</v>
      </c>
    </row>
    <row r="233" spans="2:11">
      <c r="B233" s="83" t="s">
        <v>536</v>
      </c>
      <c r="C233" s="84" t="s">
        <v>537</v>
      </c>
      <c r="D233" s="85">
        <v>0.27</v>
      </c>
      <c r="E233" s="86">
        <v>30</v>
      </c>
      <c r="F233" s="85">
        <v>7</v>
      </c>
      <c r="G233" s="86">
        <v>130</v>
      </c>
      <c r="H233" s="85">
        <v>3.2</v>
      </c>
      <c r="I233" s="86">
        <v>130</v>
      </c>
      <c r="J233" s="87">
        <v>3100</v>
      </c>
      <c r="K233" s="174" t="s">
        <v>636</v>
      </c>
    </row>
    <row r="234" spans="2:11">
      <c r="B234" s="83" t="s">
        <v>538</v>
      </c>
      <c r="C234" s="84" t="s">
        <v>539</v>
      </c>
      <c r="D234" s="85" t="s">
        <v>83</v>
      </c>
      <c r="E234" s="86">
        <v>0.03</v>
      </c>
      <c r="F234" s="85" t="s">
        <v>83</v>
      </c>
      <c r="G234" s="86">
        <v>0.13</v>
      </c>
      <c r="H234" s="85" t="s">
        <v>83</v>
      </c>
      <c r="I234" s="86">
        <v>0.13</v>
      </c>
      <c r="J234" s="87" t="s">
        <v>83</v>
      </c>
      <c r="K234" s="174" t="s">
        <v>637</v>
      </c>
    </row>
    <row r="235" spans="2:11">
      <c r="B235" s="83" t="s">
        <v>540</v>
      </c>
      <c r="C235" s="84" t="s">
        <v>541</v>
      </c>
      <c r="D235" s="85" t="s">
        <v>83</v>
      </c>
      <c r="E235" s="86" t="s">
        <v>83</v>
      </c>
      <c r="F235" s="85" t="s">
        <v>83</v>
      </c>
      <c r="G235" s="86" t="s">
        <v>83</v>
      </c>
      <c r="H235" s="85" t="s">
        <v>83</v>
      </c>
      <c r="I235" s="86" t="s">
        <v>83</v>
      </c>
      <c r="J235" s="87">
        <v>5</v>
      </c>
      <c r="K235" s="174" t="s">
        <v>636</v>
      </c>
    </row>
    <row r="236" spans="2:11">
      <c r="B236" s="83" t="s">
        <v>542</v>
      </c>
      <c r="C236" s="84" t="s">
        <v>543</v>
      </c>
      <c r="D236" s="85" t="s">
        <v>83</v>
      </c>
      <c r="E236" s="86" t="s">
        <v>83</v>
      </c>
      <c r="F236" s="85" t="s">
        <v>83</v>
      </c>
      <c r="G236" s="86" t="s">
        <v>83</v>
      </c>
      <c r="H236" s="85" t="s">
        <v>83</v>
      </c>
      <c r="I236" s="86" t="s">
        <v>83</v>
      </c>
      <c r="J236" s="87">
        <v>2</v>
      </c>
      <c r="K236" s="174" t="s">
        <v>636</v>
      </c>
    </row>
    <row r="237" spans="2:11">
      <c r="B237" s="83" t="s">
        <v>544</v>
      </c>
      <c r="C237" s="84" t="s">
        <v>545</v>
      </c>
      <c r="D237" s="85" t="s">
        <v>83</v>
      </c>
      <c r="E237" s="86">
        <v>3</v>
      </c>
      <c r="F237" s="85" t="s">
        <v>83</v>
      </c>
      <c r="G237" s="86">
        <v>13</v>
      </c>
      <c r="H237" s="85" t="s">
        <v>83</v>
      </c>
      <c r="I237" s="86">
        <v>13</v>
      </c>
      <c r="J237" s="87" t="s">
        <v>83</v>
      </c>
      <c r="K237" s="174" t="s">
        <v>637</v>
      </c>
    </row>
    <row r="238" spans="2:11">
      <c r="B238" s="83" t="s">
        <v>546</v>
      </c>
      <c r="C238" s="84" t="s">
        <v>547</v>
      </c>
      <c r="D238" s="85" t="s">
        <v>83</v>
      </c>
      <c r="E238" s="86" t="s">
        <v>83</v>
      </c>
      <c r="F238" s="85" t="s">
        <v>83</v>
      </c>
      <c r="G238" s="86" t="s">
        <v>83</v>
      </c>
      <c r="H238" s="85" t="s">
        <v>83</v>
      </c>
      <c r="I238" s="86" t="s">
        <v>83</v>
      </c>
      <c r="J238" s="87">
        <v>8</v>
      </c>
      <c r="K238" s="174" t="s">
        <v>636</v>
      </c>
    </row>
    <row r="239" spans="2:11">
      <c r="B239" s="83" t="s">
        <v>548</v>
      </c>
      <c r="C239" s="84" t="s">
        <v>549</v>
      </c>
      <c r="D239" s="85" t="s">
        <v>83</v>
      </c>
      <c r="E239" s="86">
        <v>1000</v>
      </c>
      <c r="F239" s="85" t="s">
        <v>83</v>
      </c>
      <c r="G239" s="86">
        <v>4400</v>
      </c>
      <c r="H239" s="85" t="s">
        <v>83</v>
      </c>
      <c r="I239" s="86">
        <v>4400</v>
      </c>
      <c r="J239" s="87">
        <v>21000</v>
      </c>
      <c r="K239" s="174" t="s">
        <v>636</v>
      </c>
    </row>
    <row r="240" spans="2:11">
      <c r="B240" s="83" t="s">
        <v>550</v>
      </c>
      <c r="C240" s="84" t="s">
        <v>551</v>
      </c>
      <c r="D240" s="85" t="s">
        <v>83</v>
      </c>
      <c r="E240" s="86">
        <v>1</v>
      </c>
      <c r="F240" s="85" t="s">
        <v>83</v>
      </c>
      <c r="G240" s="86">
        <v>4.4000000000000004</v>
      </c>
      <c r="H240" s="85" t="s">
        <v>83</v>
      </c>
      <c r="I240" s="86">
        <v>4.4000000000000004</v>
      </c>
      <c r="J240" s="87">
        <v>120</v>
      </c>
      <c r="K240" s="174" t="s">
        <v>637</v>
      </c>
    </row>
    <row r="241" spans="2:11">
      <c r="B241" s="83" t="s">
        <v>552</v>
      </c>
      <c r="C241" s="84" t="s">
        <v>553</v>
      </c>
      <c r="D241" s="85" t="s">
        <v>83</v>
      </c>
      <c r="E241" s="86" t="s">
        <v>83</v>
      </c>
      <c r="F241" s="85" t="s">
        <v>83</v>
      </c>
      <c r="G241" s="86" t="s">
        <v>83</v>
      </c>
      <c r="H241" s="85" t="s">
        <v>83</v>
      </c>
      <c r="I241" s="86" t="s">
        <v>83</v>
      </c>
      <c r="J241" s="87">
        <v>0.7</v>
      </c>
      <c r="K241" s="174" t="s">
        <v>636</v>
      </c>
    </row>
    <row r="242" spans="2:11">
      <c r="B242" s="83" t="s">
        <v>845</v>
      </c>
      <c r="C242" s="84" t="s">
        <v>554</v>
      </c>
      <c r="D242" s="85" t="s">
        <v>83</v>
      </c>
      <c r="E242" s="86">
        <v>1</v>
      </c>
      <c r="F242" s="85" t="s">
        <v>83</v>
      </c>
      <c r="G242" s="86">
        <v>4.4000000000000004</v>
      </c>
      <c r="H242" s="85" t="s">
        <v>83</v>
      </c>
      <c r="I242" s="86">
        <v>4.4000000000000004</v>
      </c>
      <c r="J242" s="87">
        <v>120</v>
      </c>
      <c r="K242" s="174" t="s">
        <v>637</v>
      </c>
    </row>
    <row r="243" spans="2:11">
      <c r="B243" s="83" t="s">
        <v>555</v>
      </c>
      <c r="C243" s="84" t="s">
        <v>556</v>
      </c>
      <c r="D243" s="85">
        <v>0.14000000000000001</v>
      </c>
      <c r="E243" s="86" t="s">
        <v>83</v>
      </c>
      <c r="F243" s="85">
        <v>3.5</v>
      </c>
      <c r="G243" s="86" t="s">
        <v>83</v>
      </c>
      <c r="H243" s="85">
        <v>1.6</v>
      </c>
      <c r="I243" s="86" t="s">
        <v>83</v>
      </c>
      <c r="J243" s="87" t="s">
        <v>83</v>
      </c>
      <c r="K243" s="174" t="s">
        <v>83</v>
      </c>
    </row>
    <row r="244" spans="2:11">
      <c r="B244" s="83" t="s">
        <v>557</v>
      </c>
      <c r="C244" s="84" t="s">
        <v>558</v>
      </c>
      <c r="D244" s="85">
        <v>1.7000000000000001E-2</v>
      </c>
      <c r="E244" s="86" t="s">
        <v>83</v>
      </c>
      <c r="F244" s="85">
        <v>0.45</v>
      </c>
      <c r="G244" s="86" t="s">
        <v>83</v>
      </c>
      <c r="H244" s="85">
        <v>0.21</v>
      </c>
      <c r="I244" s="86" t="s">
        <v>83</v>
      </c>
      <c r="J244" s="87" t="s">
        <v>83</v>
      </c>
      <c r="K244" s="174" t="s">
        <v>83</v>
      </c>
    </row>
    <row r="245" spans="2:11">
      <c r="B245" s="83" t="s">
        <v>559</v>
      </c>
      <c r="C245" s="84" t="s">
        <v>560</v>
      </c>
      <c r="D245" s="85">
        <v>3.8</v>
      </c>
      <c r="E245" s="86">
        <v>41</v>
      </c>
      <c r="F245" s="85">
        <v>100</v>
      </c>
      <c r="G245" s="86">
        <v>180</v>
      </c>
      <c r="H245" s="85">
        <v>46</v>
      </c>
      <c r="I245" s="86">
        <v>180</v>
      </c>
      <c r="J245" s="87">
        <v>41</v>
      </c>
      <c r="K245" s="174" t="s">
        <v>636</v>
      </c>
    </row>
    <row r="246" spans="2:11">
      <c r="B246" s="83" t="s">
        <v>561</v>
      </c>
      <c r="C246" s="84" t="s">
        <v>562</v>
      </c>
      <c r="D246" s="85" t="s">
        <v>83</v>
      </c>
      <c r="E246" s="86">
        <v>80000</v>
      </c>
      <c r="F246" s="85" t="s">
        <v>83</v>
      </c>
      <c r="G246" s="86">
        <v>350000</v>
      </c>
      <c r="H246" s="85" t="s">
        <v>83</v>
      </c>
      <c r="I246" s="86">
        <v>350000</v>
      </c>
      <c r="J246" s="87" t="s">
        <v>83</v>
      </c>
      <c r="K246" s="174" t="s">
        <v>636</v>
      </c>
    </row>
    <row r="247" spans="2:11">
      <c r="B247" s="83" t="s">
        <v>563</v>
      </c>
      <c r="C247" s="84" t="s">
        <v>564</v>
      </c>
      <c r="D247" s="85">
        <v>5.9000000000000003E-4</v>
      </c>
      <c r="E247" s="86" t="s">
        <v>83</v>
      </c>
      <c r="F247" s="85">
        <v>1.4999999999999999E-2</v>
      </c>
      <c r="G247" s="86" t="s">
        <v>83</v>
      </c>
      <c r="H247" s="85">
        <v>7.1000000000000004E-3</v>
      </c>
      <c r="I247" s="86" t="s">
        <v>83</v>
      </c>
      <c r="J247" s="87" t="s">
        <v>83</v>
      </c>
      <c r="K247" s="174" t="s">
        <v>83</v>
      </c>
    </row>
    <row r="248" spans="2:11">
      <c r="B248" s="83" t="s">
        <v>565</v>
      </c>
      <c r="C248" s="84" t="s">
        <v>566</v>
      </c>
      <c r="D248" s="85" t="s">
        <v>83</v>
      </c>
      <c r="E248" s="86">
        <v>0.1</v>
      </c>
      <c r="F248" s="85" t="s">
        <v>83</v>
      </c>
      <c r="G248" s="86">
        <v>0.44</v>
      </c>
      <c r="H248" s="85" t="s">
        <v>83</v>
      </c>
      <c r="I248" s="86">
        <v>0.44</v>
      </c>
      <c r="J248" s="87">
        <v>10</v>
      </c>
      <c r="K248" s="174" t="s">
        <v>636</v>
      </c>
    </row>
    <row r="249" spans="2:11">
      <c r="B249" s="83" t="s">
        <v>567</v>
      </c>
      <c r="C249" s="84" t="s">
        <v>568</v>
      </c>
      <c r="D249" s="85" t="s">
        <v>83</v>
      </c>
      <c r="E249" s="86">
        <v>5000</v>
      </c>
      <c r="F249" s="85" t="s">
        <v>83</v>
      </c>
      <c r="G249" s="86">
        <v>22000</v>
      </c>
      <c r="H249" s="85" t="s">
        <v>83</v>
      </c>
      <c r="I249" s="86">
        <v>22000</v>
      </c>
      <c r="J249" s="87">
        <v>7500</v>
      </c>
      <c r="K249" s="174" t="s">
        <v>636</v>
      </c>
    </row>
    <row r="250" spans="2:11">
      <c r="B250" s="83" t="s">
        <v>569</v>
      </c>
      <c r="C250" s="84" t="s">
        <v>570</v>
      </c>
      <c r="D250" s="85">
        <v>9.0999999999999998E-2</v>
      </c>
      <c r="E250" s="86">
        <v>2.1000000000000001E-2</v>
      </c>
      <c r="F250" s="85">
        <v>2.4</v>
      </c>
      <c r="G250" s="86">
        <v>9.1999999999999998E-2</v>
      </c>
      <c r="H250" s="85">
        <v>1.1000000000000001</v>
      </c>
      <c r="I250" s="86">
        <v>9.1999999999999998E-2</v>
      </c>
      <c r="J250" s="87">
        <v>7.0999999999999994E-2</v>
      </c>
      <c r="K250" s="174" t="s">
        <v>636</v>
      </c>
    </row>
    <row r="251" spans="2:11">
      <c r="B251" s="83" t="s">
        <v>571</v>
      </c>
      <c r="C251" s="84" t="s">
        <v>572</v>
      </c>
      <c r="D251" s="85">
        <v>3.0999999999999999E-3</v>
      </c>
      <c r="E251" s="86" t="s">
        <v>83</v>
      </c>
      <c r="F251" s="85">
        <v>8.1000000000000003E-2</v>
      </c>
      <c r="G251" s="86" t="s">
        <v>83</v>
      </c>
      <c r="H251" s="85">
        <v>3.7999999999999999E-2</v>
      </c>
      <c r="I251" s="86" t="s">
        <v>83</v>
      </c>
      <c r="J251" s="87" t="s">
        <v>83</v>
      </c>
      <c r="K251" s="174" t="s">
        <v>83</v>
      </c>
    </row>
    <row r="252" spans="2:11">
      <c r="B252" s="83" t="s">
        <v>573</v>
      </c>
      <c r="C252" s="84" t="s">
        <v>574</v>
      </c>
      <c r="D252" s="85" t="s">
        <v>83</v>
      </c>
      <c r="E252" s="86">
        <v>5000</v>
      </c>
      <c r="F252" s="85" t="s">
        <v>83</v>
      </c>
      <c r="G252" s="86">
        <v>22000</v>
      </c>
      <c r="H252" s="85" t="s">
        <v>83</v>
      </c>
      <c r="I252" s="86">
        <v>22000</v>
      </c>
      <c r="J252" s="87">
        <v>11000</v>
      </c>
      <c r="K252" s="174" t="s">
        <v>636</v>
      </c>
    </row>
    <row r="253" spans="2:11">
      <c r="B253" s="83" t="s">
        <v>575</v>
      </c>
      <c r="C253" s="84" t="s">
        <v>576</v>
      </c>
      <c r="D253" s="85">
        <v>6.3E-2</v>
      </c>
      <c r="E253" s="86" t="s">
        <v>83</v>
      </c>
      <c r="F253" s="85">
        <v>1.6</v>
      </c>
      <c r="G253" s="86" t="s">
        <v>83</v>
      </c>
      <c r="H253" s="85">
        <v>0.75</v>
      </c>
      <c r="I253" s="86" t="s">
        <v>83</v>
      </c>
      <c r="J253" s="87" t="s">
        <v>83</v>
      </c>
      <c r="K253" s="174" t="s">
        <v>83</v>
      </c>
    </row>
    <row r="254" spans="2:11">
      <c r="B254" s="83" t="s">
        <v>577</v>
      </c>
      <c r="C254" s="84" t="s">
        <v>578</v>
      </c>
      <c r="D254" s="85">
        <v>0.2</v>
      </c>
      <c r="E254" s="86">
        <v>2.1</v>
      </c>
      <c r="F254" s="85">
        <v>3.5</v>
      </c>
      <c r="G254" s="86">
        <v>9.1999999999999993</v>
      </c>
      <c r="H254" s="85">
        <v>2.9</v>
      </c>
      <c r="I254" s="86">
        <v>9.1999999999999993</v>
      </c>
      <c r="J254" s="87">
        <v>2.1</v>
      </c>
      <c r="K254" s="174" t="s">
        <v>636</v>
      </c>
    </row>
    <row r="255" spans="2:11">
      <c r="B255" s="83" t="s">
        <v>579</v>
      </c>
      <c r="C255" s="84" t="s">
        <v>580</v>
      </c>
      <c r="D255" s="85">
        <v>0.05</v>
      </c>
      <c r="E255" s="86" t="s">
        <v>83</v>
      </c>
      <c r="F255" s="85">
        <v>1.3</v>
      </c>
      <c r="G255" s="86" t="s">
        <v>83</v>
      </c>
      <c r="H255" s="85">
        <v>0.6</v>
      </c>
      <c r="I255" s="86" t="s">
        <v>83</v>
      </c>
      <c r="J255" s="87" t="s">
        <v>83</v>
      </c>
      <c r="K255" s="174" t="s">
        <v>83</v>
      </c>
    </row>
    <row r="256" spans="2:11">
      <c r="B256" s="83" t="s">
        <v>581</v>
      </c>
      <c r="C256" s="84" t="s">
        <v>582</v>
      </c>
      <c r="D256" s="85" t="s">
        <v>83</v>
      </c>
      <c r="E256" s="86">
        <v>0.3</v>
      </c>
      <c r="F256" s="85" t="s">
        <v>83</v>
      </c>
      <c r="G256" s="86">
        <v>1.3</v>
      </c>
      <c r="H256" s="85" t="s">
        <v>83</v>
      </c>
      <c r="I256" s="86">
        <v>1.3</v>
      </c>
      <c r="J256" s="87">
        <v>1.8</v>
      </c>
      <c r="K256" s="174" t="s">
        <v>637</v>
      </c>
    </row>
    <row r="257" spans="2:11">
      <c r="B257" s="83" t="s">
        <v>583</v>
      </c>
      <c r="C257" s="84" t="s">
        <v>584</v>
      </c>
      <c r="D257" s="85" t="s">
        <v>83</v>
      </c>
      <c r="E257" s="86">
        <v>200</v>
      </c>
      <c r="F257" s="85" t="s">
        <v>83</v>
      </c>
      <c r="G257" s="86">
        <v>880</v>
      </c>
      <c r="H257" s="85" t="s">
        <v>83</v>
      </c>
      <c r="I257" s="86">
        <v>880</v>
      </c>
      <c r="J257" s="87">
        <v>2800</v>
      </c>
      <c r="K257" s="174" t="s">
        <v>636</v>
      </c>
    </row>
    <row r="258" spans="2:11">
      <c r="B258" s="83" t="s">
        <v>585</v>
      </c>
      <c r="C258" s="84" t="s">
        <v>586</v>
      </c>
      <c r="D258" s="85" t="s">
        <v>83</v>
      </c>
      <c r="E258" s="86">
        <v>60</v>
      </c>
      <c r="F258" s="85" t="s">
        <v>83</v>
      </c>
      <c r="G258" s="86">
        <v>260</v>
      </c>
      <c r="H258" s="85" t="s">
        <v>83</v>
      </c>
      <c r="I258" s="86">
        <v>260</v>
      </c>
      <c r="J258" s="87" t="s">
        <v>83</v>
      </c>
      <c r="K258" s="174" t="s">
        <v>636</v>
      </c>
    </row>
    <row r="259" spans="2:11">
      <c r="B259" s="83" t="s">
        <v>587</v>
      </c>
      <c r="C259" s="84" t="s">
        <v>588</v>
      </c>
      <c r="D259" s="85" t="s">
        <v>83</v>
      </c>
      <c r="E259" s="86">
        <v>60</v>
      </c>
      <c r="F259" s="85" t="s">
        <v>83</v>
      </c>
      <c r="G259" s="86">
        <v>260</v>
      </c>
      <c r="H259" s="85" t="s">
        <v>83</v>
      </c>
      <c r="I259" s="86">
        <v>260</v>
      </c>
      <c r="J259" s="87" t="s">
        <v>83</v>
      </c>
      <c r="K259" s="174" t="s">
        <v>636</v>
      </c>
    </row>
    <row r="260" spans="2:11">
      <c r="B260" s="83" t="s">
        <v>589</v>
      </c>
      <c r="C260" s="84" t="s">
        <v>590</v>
      </c>
      <c r="D260" s="85" t="s">
        <v>83</v>
      </c>
      <c r="E260" s="86">
        <v>60</v>
      </c>
      <c r="F260" s="85" t="s">
        <v>83</v>
      </c>
      <c r="G260" s="86">
        <v>260</v>
      </c>
      <c r="H260" s="85" t="s">
        <v>83</v>
      </c>
      <c r="I260" s="86">
        <v>260</v>
      </c>
      <c r="J260" s="87" t="s">
        <v>83</v>
      </c>
      <c r="K260" s="174" t="s">
        <v>636</v>
      </c>
    </row>
    <row r="261" spans="2:11">
      <c r="B261" s="83" t="s">
        <v>591</v>
      </c>
      <c r="C261" s="84" t="s">
        <v>592</v>
      </c>
      <c r="D261" s="85">
        <v>2E-3</v>
      </c>
      <c r="E261" s="86" t="s">
        <v>83</v>
      </c>
      <c r="F261" s="85">
        <v>2.1000000000000001E-2</v>
      </c>
      <c r="G261" s="86" t="s">
        <v>83</v>
      </c>
      <c r="H261" s="85">
        <v>4.1000000000000002E-2</v>
      </c>
      <c r="I261" s="86" t="s">
        <v>83</v>
      </c>
      <c r="J261" s="87" t="s">
        <v>83</v>
      </c>
      <c r="K261" s="174" t="s">
        <v>83</v>
      </c>
    </row>
    <row r="262" spans="2:11">
      <c r="B262" s="83" t="s">
        <v>593</v>
      </c>
      <c r="C262" s="84" t="s">
        <v>594</v>
      </c>
      <c r="D262" s="85" t="s">
        <v>83</v>
      </c>
      <c r="E262" s="86">
        <v>0.1</v>
      </c>
      <c r="F262" s="85" t="s">
        <v>83</v>
      </c>
      <c r="G262" s="86">
        <v>0.44</v>
      </c>
      <c r="H262" s="85" t="s">
        <v>83</v>
      </c>
      <c r="I262" s="86">
        <v>0.44</v>
      </c>
      <c r="J262" s="87">
        <v>0.8</v>
      </c>
      <c r="K262" s="174" t="s">
        <v>636</v>
      </c>
    </row>
    <row r="263" spans="2:11">
      <c r="B263" s="83" t="s">
        <v>595</v>
      </c>
      <c r="C263" s="84" t="s">
        <v>596</v>
      </c>
      <c r="D263" s="85">
        <v>1.2E-4</v>
      </c>
      <c r="E263" s="86">
        <v>7.0000000000000001E-3</v>
      </c>
      <c r="F263" s="85">
        <v>3.0999999999999999E-3</v>
      </c>
      <c r="G263" s="86">
        <v>3.1E-2</v>
      </c>
      <c r="H263" s="85">
        <v>1.4E-3</v>
      </c>
      <c r="I263" s="86">
        <v>3.1E-2</v>
      </c>
      <c r="J263" s="87">
        <v>30</v>
      </c>
      <c r="K263" s="174" t="s">
        <v>636</v>
      </c>
    </row>
    <row r="264" spans="2:11">
      <c r="B264" s="83" t="s">
        <v>597</v>
      </c>
      <c r="C264" s="84" t="s">
        <v>598</v>
      </c>
      <c r="D264" s="85" t="s">
        <v>83</v>
      </c>
      <c r="E264" s="86">
        <v>200</v>
      </c>
      <c r="F264" s="85" t="s">
        <v>83</v>
      </c>
      <c r="G264" s="86">
        <v>880</v>
      </c>
      <c r="H264" s="85" t="s">
        <v>83</v>
      </c>
      <c r="I264" s="86">
        <v>880</v>
      </c>
      <c r="J264" s="87">
        <v>200</v>
      </c>
      <c r="K264" s="174" t="s">
        <v>636</v>
      </c>
    </row>
    <row r="265" spans="2:11">
      <c r="B265" s="83" t="s">
        <v>599</v>
      </c>
      <c r="C265" s="84" t="s">
        <v>600</v>
      </c>
      <c r="D265" s="85" t="s">
        <v>83</v>
      </c>
      <c r="E265" s="86">
        <v>3</v>
      </c>
      <c r="F265" s="85" t="s">
        <v>83</v>
      </c>
      <c r="G265" s="86">
        <v>13</v>
      </c>
      <c r="H265" s="85" t="s">
        <v>83</v>
      </c>
      <c r="I265" s="86">
        <v>13</v>
      </c>
      <c r="J265" s="87" t="s">
        <v>83</v>
      </c>
      <c r="K265" s="174" t="s">
        <v>637</v>
      </c>
    </row>
    <row r="266" spans="2:11">
      <c r="B266" s="83" t="s">
        <v>601</v>
      </c>
      <c r="C266" s="84" t="s">
        <v>602</v>
      </c>
      <c r="D266" s="85">
        <v>0.11</v>
      </c>
      <c r="E266" s="86">
        <v>100</v>
      </c>
      <c r="F266" s="85">
        <v>0.22</v>
      </c>
      <c r="G266" s="86">
        <v>440</v>
      </c>
      <c r="H266" s="85">
        <v>2.7</v>
      </c>
      <c r="I266" s="86">
        <v>440</v>
      </c>
      <c r="J266" s="87">
        <v>1300</v>
      </c>
      <c r="K266" s="174" t="s">
        <v>636</v>
      </c>
    </row>
    <row r="267" spans="2:11">
      <c r="B267" s="83" t="s">
        <v>603</v>
      </c>
      <c r="C267" s="84" t="s">
        <v>604</v>
      </c>
      <c r="D267" s="85" t="s">
        <v>83</v>
      </c>
      <c r="E267" s="86">
        <v>200</v>
      </c>
      <c r="F267" s="85" t="s">
        <v>83</v>
      </c>
      <c r="G267" s="86">
        <v>880</v>
      </c>
      <c r="H267" s="85" t="s">
        <v>83</v>
      </c>
      <c r="I267" s="86">
        <v>880</v>
      </c>
      <c r="J267" s="87">
        <v>200</v>
      </c>
      <c r="K267" s="174" t="s">
        <v>636</v>
      </c>
    </row>
    <row r="268" spans="2:11" ht="30">
      <c r="B268" s="83" t="s">
        <v>605</v>
      </c>
      <c r="C268" s="84" t="s">
        <v>606</v>
      </c>
      <c r="D268" s="85" t="s">
        <v>83</v>
      </c>
      <c r="E268" s="86">
        <v>220</v>
      </c>
      <c r="F268" s="85" t="s">
        <v>83</v>
      </c>
      <c r="G268" s="86">
        <v>970</v>
      </c>
      <c r="H268" s="85" t="s">
        <v>83</v>
      </c>
      <c r="I268" s="86">
        <v>970</v>
      </c>
      <c r="J268" s="87">
        <v>8700</v>
      </c>
      <c r="K268" s="174" t="s">
        <v>636</v>
      </c>
    </row>
  </sheetData>
  <mergeCells count="8">
    <mergeCell ref="B2:K2"/>
    <mergeCell ref="D4:J4"/>
    <mergeCell ref="K4:K7"/>
    <mergeCell ref="C4:C7"/>
    <mergeCell ref="B4:B7"/>
    <mergeCell ref="D5:E5"/>
    <mergeCell ref="F5:I5"/>
    <mergeCell ref="J5:J6"/>
  </mergeCells>
  <pageMargins left="0.7" right="0.7" top="0.75" bottom="0.75" header="0.3" footer="0.3"/>
  <headerFooter>
    <oddHeader>&amp;C&amp;G</oddHeader>
  </headerFooter>
  <legacyDrawingHF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26E3-798F-41FF-ADD2-A01F1D13D6A1}">
  <dimension ref="A1:B12"/>
  <sheetViews>
    <sheetView zoomScale="120" zoomScaleNormal="120" workbookViewId="0">
      <selection activeCell="A5" sqref="A5"/>
    </sheetView>
  </sheetViews>
  <sheetFormatPr defaultRowHeight="15"/>
  <cols>
    <col min="1" max="1" width="36" customWidth="1"/>
    <col min="2" max="2" width="77" customWidth="1"/>
  </cols>
  <sheetData>
    <row r="1" spans="1:2" ht="18.75">
      <c r="A1" s="940" t="s">
        <v>847</v>
      </c>
      <c r="B1" s="941"/>
    </row>
    <row r="2" spans="1:2" ht="18.75">
      <c r="A2" s="940" t="s">
        <v>855</v>
      </c>
      <c r="B2" s="941"/>
    </row>
    <row r="3" spans="1:2" ht="18" customHeight="1">
      <c r="A3" s="940" t="s">
        <v>856</v>
      </c>
      <c r="B3" s="940"/>
    </row>
    <row r="4" spans="1:2" ht="18.75">
      <c r="A4" s="942" t="s">
        <v>848</v>
      </c>
      <c r="B4" s="941"/>
    </row>
    <row r="5" spans="1:2" ht="18.75">
      <c r="A5" s="614"/>
      <c r="B5" s="615"/>
    </row>
    <row r="6" spans="1:2">
      <c r="A6" s="616" t="s">
        <v>849</v>
      </c>
      <c r="B6" s="616" t="s">
        <v>850</v>
      </c>
    </row>
    <row r="7" spans="1:2">
      <c r="A7" s="616"/>
      <c r="B7" s="616"/>
    </row>
    <row r="8" spans="1:2">
      <c r="A8" s="943" t="s">
        <v>851</v>
      </c>
      <c r="B8" s="943"/>
    </row>
    <row r="9" spans="1:2">
      <c r="A9" s="55" t="s">
        <v>853</v>
      </c>
      <c r="B9" s="617" t="s">
        <v>852</v>
      </c>
    </row>
    <row r="10" spans="1:2">
      <c r="A10" s="55" t="s">
        <v>19</v>
      </c>
      <c r="B10" s="617" t="s">
        <v>854</v>
      </c>
    </row>
    <row r="11" spans="1:2">
      <c r="A11" s="55"/>
      <c r="B11" s="618" t="s">
        <v>857</v>
      </c>
    </row>
    <row r="12" spans="1:2">
      <c r="A12" s="939" t="s">
        <v>858</v>
      </c>
      <c r="B12" s="939"/>
    </row>
  </sheetData>
  <mergeCells count="6">
    <mergeCell ref="A12:B12"/>
    <mergeCell ref="A1:B1"/>
    <mergeCell ref="A2:B2"/>
    <mergeCell ref="A4:B4"/>
    <mergeCell ref="A8:B8"/>
    <mergeCell ref="A3:B3"/>
  </mergeCells>
  <pageMargins left="0.7" right="0.7" top="0.75" bottom="0.75" header="0.3" footer="0.3"/>
  <pageSetup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  <pageSetUpPr fitToPage="1"/>
  </sheetPr>
  <dimension ref="A2:H27"/>
  <sheetViews>
    <sheetView view="pageBreakPreview" zoomScaleNormal="90" zoomScaleSheetLayoutView="100" workbookViewId="0">
      <selection activeCell="A7" sqref="A7"/>
    </sheetView>
  </sheetViews>
  <sheetFormatPr defaultColWidth="9.140625" defaultRowHeight="15"/>
  <cols>
    <col min="1" max="1" width="15.42578125" style="10" customWidth="1"/>
    <col min="2" max="2" width="23.5703125" style="10" bestFit="1" customWidth="1"/>
    <col min="3" max="3" width="15.5703125" style="10" bestFit="1" customWidth="1"/>
    <col min="4" max="4" width="17" style="10" bestFit="1" customWidth="1"/>
    <col min="5" max="8" width="18.5703125" style="10" customWidth="1"/>
    <col min="9" max="9" width="9.140625" style="10"/>
    <col min="10" max="10" width="13.5703125" style="10" bestFit="1" customWidth="1"/>
    <col min="11" max="16384" width="9.140625" style="10"/>
  </cols>
  <sheetData>
    <row r="2" spans="1:8">
      <c r="H2"/>
    </row>
    <row r="5" spans="1:8" ht="20.25">
      <c r="B5" s="634" t="s">
        <v>12</v>
      </c>
      <c r="C5" s="634"/>
      <c r="D5" s="634"/>
      <c r="E5" s="634"/>
      <c r="F5" s="634"/>
      <c r="G5" s="634"/>
      <c r="H5" s="634"/>
    </row>
    <row r="6" spans="1:8" ht="15.75" thickBot="1"/>
    <row r="7" spans="1:8" ht="28.5" customHeight="1" thickBot="1">
      <c r="C7" s="210"/>
      <c r="D7" s="211"/>
      <c r="E7" s="206" t="s">
        <v>64</v>
      </c>
      <c r="F7" s="207" t="s">
        <v>708</v>
      </c>
      <c r="G7" s="207" t="s">
        <v>709</v>
      </c>
      <c r="H7" s="208" t="s">
        <v>666</v>
      </c>
    </row>
    <row r="8" spans="1:8" ht="32.1" customHeight="1">
      <c r="A8" s="648" t="s">
        <v>678</v>
      </c>
      <c r="B8" s="649"/>
      <c r="C8" s="649"/>
      <c r="D8" s="650"/>
      <c r="E8" s="637" t="s">
        <v>669</v>
      </c>
      <c r="F8" s="637"/>
      <c r="G8" s="637"/>
      <c r="H8" s="638"/>
    </row>
    <row r="9" spans="1:8" ht="32.1" customHeight="1" thickBot="1">
      <c r="A9" s="651"/>
      <c r="B9" s="652"/>
      <c r="C9" s="652"/>
      <c r="D9" s="653"/>
      <c r="E9" s="639" t="s">
        <v>833</v>
      </c>
      <c r="F9" s="639"/>
      <c r="G9" s="640"/>
      <c r="H9" s="300" t="s">
        <v>834</v>
      </c>
    </row>
    <row r="10" spans="1:8" ht="20.100000000000001" customHeight="1">
      <c r="A10" s="654" t="s">
        <v>667</v>
      </c>
      <c r="B10" s="655"/>
      <c r="C10" s="655"/>
      <c r="D10" s="656"/>
      <c r="E10" s="347">
        <v>7.5000000000000002E-4</v>
      </c>
      <c r="F10" s="348">
        <v>3.3E-4</v>
      </c>
      <c r="G10" s="348">
        <v>3.3E-4</v>
      </c>
      <c r="H10" s="349">
        <v>2.7</v>
      </c>
    </row>
    <row r="11" spans="1:8" ht="19.5" customHeight="1" thickBot="1">
      <c r="A11" s="657" t="s">
        <v>668</v>
      </c>
      <c r="B11" s="658"/>
      <c r="C11" s="658"/>
      <c r="D11" s="659"/>
      <c r="E11" s="350">
        <v>1.7000000000000001E-4</v>
      </c>
      <c r="F11" s="351">
        <v>1E-4</v>
      </c>
      <c r="G11" s="351">
        <v>1E-4</v>
      </c>
      <c r="H11" s="352">
        <v>0.63500000000000001</v>
      </c>
    </row>
    <row r="12" spans="1:8" ht="32.1" customHeight="1">
      <c r="A12" s="635" t="s">
        <v>678</v>
      </c>
      <c r="B12" s="635" t="s">
        <v>3</v>
      </c>
      <c r="C12" s="643" t="s">
        <v>2</v>
      </c>
      <c r="D12" s="644"/>
      <c r="E12" s="645" t="s">
        <v>670</v>
      </c>
      <c r="F12" s="646"/>
      <c r="G12" s="646"/>
      <c r="H12" s="647"/>
    </row>
    <row r="13" spans="1:8" ht="32.1" customHeight="1" thickBot="1">
      <c r="A13" s="636"/>
      <c r="B13" s="636"/>
      <c r="C13" s="301" t="s">
        <v>673</v>
      </c>
      <c r="D13" s="302" t="s">
        <v>674</v>
      </c>
      <c r="E13" s="641" t="s">
        <v>687</v>
      </c>
      <c r="F13" s="642"/>
      <c r="G13" s="642"/>
      <c r="H13" s="302" t="s">
        <v>688</v>
      </c>
    </row>
    <row r="14" spans="1:8" ht="20.100000000000001" customHeight="1">
      <c r="A14" s="631" t="s">
        <v>667</v>
      </c>
      <c r="B14" s="240" t="s">
        <v>6</v>
      </c>
      <c r="C14" s="241">
        <v>140</v>
      </c>
      <c r="D14" s="242">
        <v>0.38</v>
      </c>
      <c r="E14" s="256">
        <f>$C14*$E$10</f>
        <v>0.105</v>
      </c>
      <c r="F14" s="257">
        <f>$C14*$F$10</f>
        <v>4.6199999999999998E-2</v>
      </c>
      <c r="G14" s="257">
        <f>$C14*$G$10</f>
        <v>4.6199999999999998E-2</v>
      </c>
      <c r="H14" s="258">
        <f>$D14*$H$10</f>
        <v>1.026</v>
      </c>
    </row>
    <row r="15" spans="1:8" ht="20.100000000000001" customHeight="1">
      <c r="A15" s="632"/>
      <c r="B15" s="243" t="s">
        <v>7</v>
      </c>
      <c r="C15" s="244">
        <v>70</v>
      </c>
      <c r="D15" s="245">
        <v>0.25</v>
      </c>
      <c r="E15" s="259">
        <f>C15*$E$10</f>
        <v>5.2499999999999998E-2</v>
      </c>
      <c r="F15" s="260">
        <f>$C15*$F$10</f>
        <v>2.3099999999999999E-2</v>
      </c>
      <c r="G15" s="260">
        <f>$C15*$G$10</f>
        <v>2.3099999999999999E-2</v>
      </c>
      <c r="H15" s="261">
        <f>$D15*$H$10</f>
        <v>0.67500000000000004</v>
      </c>
    </row>
    <row r="16" spans="1:8" ht="20.100000000000001" customHeight="1" thickBot="1">
      <c r="A16" s="633"/>
      <c r="B16" s="212" t="s">
        <v>8</v>
      </c>
      <c r="C16" s="222">
        <v>220</v>
      </c>
      <c r="D16" s="214">
        <v>0.6</v>
      </c>
      <c r="E16" s="262">
        <f>C16*$E$10</f>
        <v>0.16500000000000001</v>
      </c>
      <c r="F16" s="263">
        <f>$C16*$F$10</f>
        <v>7.2599999999999998E-2</v>
      </c>
      <c r="G16" s="263">
        <f>$C16*$G$10</f>
        <v>7.2599999999999998E-2</v>
      </c>
      <c r="H16" s="264">
        <f>$D16*$H$10</f>
        <v>1.62</v>
      </c>
    </row>
    <row r="17" spans="1:8" ht="20.100000000000001" customHeight="1">
      <c r="A17" s="632" t="s">
        <v>668</v>
      </c>
      <c r="B17" s="246" t="s">
        <v>9</v>
      </c>
      <c r="C17" s="247">
        <v>100000</v>
      </c>
      <c r="D17" s="248">
        <v>300</v>
      </c>
      <c r="E17" s="265">
        <f t="shared" ref="E17:G19" si="0">$C17*E$11</f>
        <v>17</v>
      </c>
      <c r="F17" s="266">
        <f t="shared" si="0"/>
        <v>10</v>
      </c>
      <c r="G17" s="266">
        <f t="shared" si="0"/>
        <v>10</v>
      </c>
      <c r="H17" s="267">
        <f>$D17*H$11</f>
        <v>190.5</v>
      </c>
    </row>
    <row r="18" spans="1:8" ht="20.100000000000001" customHeight="1">
      <c r="A18" s="632"/>
      <c r="B18" s="249" t="s">
        <v>10</v>
      </c>
      <c r="C18" s="250">
        <v>80000</v>
      </c>
      <c r="D18" s="251">
        <v>250</v>
      </c>
      <c r="E18" s="268">
        <f t="shared" si="0"/>
        <v>13.600000000000001</v>
      </c>
      <c r="F18" s="269">
        <f t="shared" si="0"/>
        <v>8</v>
      </c>
      <c r="G18" s="269">
        <f t="shared" si="0"/>
        <v>8</v>
      </c>
      <c r="H18" s="270">
        <f>$D18*H$11</f>
        <v>158.75</v>
      </c>
    </row>
    <row r="19" spans="1:8" ht="20.100000000000001" customHeight="1" thickBot="1">
      <c r="A19" s="633"/>
      <c r="B19" s="213" t="s">
        <v>11</v>
      </c>
      <c r="C19" s="223">
        <v>10000</v>
      </c>
      <c r="D19" s="215">
        <v>50</v>
      </c>
      <c r="E19" s="271">
        <f t="shared" si="0"/>
        <v>1.7000000000000002</v>
      </c>
      <c r="F19" s="272">
        <f t="shared" si="0"/>
        <v>1</v>
      </c>
      <c r="G19" s="272">
        <f t="shared" si="0"/>
        <v>1</v>
      </c>
      <c r="H19" s="273">
        <f>$D19*H$11</f>
        <v>31.75</v>
      </c>
    </row>
    <row r="21" spans="1:8">
      <c r="A21" s="14" t="s">
        <v>13</v>
      </c>
      <c r="C21" s="16"/>
      <c r="D21" s="16"/>
      <c r="E21" s="17"/>
    </row>
    <row r="22" spans="1:8">
      <c r="A22" s="15" t="s">
        <v>843</v>
      </c>
      <c r="C22" s="15"/>
      <c r="D22" s="15"/>
      <c r="E22" s="17"/>
    </row>
    <row r="23" spans="1:8">
      <c r="A23" s="15" t="s">
        <v>671</v>
      </c>
      <c r="C23" s="15"/>
      <c r="D23" s="16"/>
      <c r="E23" s="17"/>
    </row>
    <row r="24" spans="1:8">
      <c r="A24" s="37" t="s">
        <v>835</v>
      </c>
    </row>
    <row r="26" spans="1:8">
      <c r="A26" s="14" t="s">
        <v>697</v>
      </c>
    </row>
    <row r="27" spans="1:8">
      <c r="A27" s="37" t="s">
        <v>696</v>
      </c>
    </row>
  </sheetData>
  <mergeCells count="13">
    <mergeCell ref="A14:A16"/>
    <mergeCell ref="A17:A19"/>
    <mergeCell ref="B5:H5"/>
    <mergeCell ref="B12:B13"/>
    <mergeCell ref="E8:H8"/>
    <mergeCell ref="E9:G9"/>
    <mergeCell ref="E13:G13"/>
    <mergeCell ref="C12:D12"/>
    <mergeCell ref="E12:H12"/>
    <mergeCell ref="A8:D9"/>
    <mergeCell ref="A10:D10"/>
    <mergeCell ref="A11:D11"/>
    <mergeCell ref="A12:A13"/>
  </mergeCells>
  <pageMargins left="0.7" right="0.7" top="0.75" bottom="0.75" header="0.3" footer="0.3"/>
  <pageSetup scale="83" orientation="landscape" r:id="rId1"/>
  <headerFooter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5:W51"/>
  <sheetViews>
    <sheetView view="pageBreakPreview" zoomScale="70" zoomScaleNormal="90" zoomScaleSheetLayoutView="70" workbookViewId="0">
      <selection activeCell="A38" sqref="A38"/>
    </sheetView>
  </sheetViews>
  <sheetFormatPr defaultColWidth="9.140625" defaultRowHeight="14.25"/>
  <cols>
    <col min="1" max="2" width="12.5703125" style="37" customWidth="1"/>
    <col min="3" max="3" width="32.85546875" style="37" customWidth="1"/>
    <col min="4" max="4" width="16.42578125" style="37" customWidth="1"/>
    <col min="5" max="5" width="13.140625" style="37" bestFit="1" customWidth="1"/>
    <col min="6" max="6" width="8.140625" style="37" bestFit="1" customWidth="1"/>
    <col min="7" max="7" width="12.5703125" style="37" bestFit="1" customWidth="1"/>
    <col min="8" max="8" width="12.42578125" style="37" customWidth="1"/>
    <col min="9" max="9" width="14.140625" style="37" customWidth="1"/>
    <col min="10" max="10" width="11.5703125" style="37" customWidth="1"/>
    <col min="11" max="11" width="8.140625" style="37" bestFit="1" customWidth="1"/>
    <col min="12" max="12" width="8.5703125" style="37" bestFit="1" customWidth="1"/>
    <col min="13" max="13" width="11.5703125" style="37" customWidth="1"/>
    <col min="14" max="14" width="13.42578125" style="37" customWidth="1"/>
    <col min="15" max="15" width="11.5703125" style="37" customWidth="1"/>
    <col min="16" max="16" width="8.140625" style="37" bestFit="1" customWidth="1"/>
    <col min="17" max="17" width="7.42578125" style="37" bestFit="1" customWidth="1"/>
    <col min="18" max="18" width="13.5703125" style="37" bestFit="1" customWidth="1"/>
    <col min="19" max="19" width="13.140625" style="37" customWidth="1"/>
    <col min="20" max="20" width="15.7109375" style="37" customWidth="1"/>
    <col min="21" max="21" width="8.42578125" style="37" customWidth="1"/>
    <col min="22" max="22" width="10.140625" style="37" customWidth="1"/>
    <col min="23" max="23" width="13.42578125" style="37" bestFit="1" customWidth="1"/>
    <col min="24" max="16384" width="9.140625" style="37"/>
  </cols>
  <sheetData>
    <row r="5" spans="1:23" ht="20.25">
      <c r="B5" s="634" t="s">
        <v>684</v>
      </c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634"/>
      <c r="S5" s="634"/>
      <c r="T5" s="634"/>
      <c r="U5" s="634"/>
      <c r="V5" s="634"/>
      <c r="W5" s="634"/>
    </row>
    <row r="6" spans="1:23" ht="15" thickBot="1"/>
    <row r="7" spans="1:23" ht="15" customHeight="1" thickBot="1">
      <c r="A7" s="681" t="s">
        <v>678</v>
      </c>
      <c r="B7" s="689" t="s">
        <v>690</v>
      </c>
      <c r="C7" s="692" t="s">
        <v>3</v>
      </c>
      <c r="D7" s="670" t="s">
        <v>642</v>
      </c>
      <c r="E7" s="666" t="s">
        <v>14</v>
      </c>
      <c r="F7" s="666"/>
      <c r="G7" s="666"/>
      <c r="H7" s="666"/>
      <c r="I7" s="667"/>
      <c r="J7" s="665" t="s">
        <v>15</v>
      </c>
      <c r="K7" s="665"/>
      <c r="L7" s="665"/>
      <c r="M7" s="665"/>
      <c r="N7" s="668"/>
      <c r="O7" s="673" t="s">
        <v>16</v>
      </c>
      <c r="P7" s="665"/>
      <c r="Q7" s="665"/>
      <c r="R7" s="665"/>
      <c r="S7" s="669"/>
      <c r="T7" s="664" t="s">
        <v>17</v>
      </c>
      <c r="U7" s="665"/>
      <c r="V7" s="665"/>
      <c r="W7" s="669"/>
    </row>
    <row r="8" spans="1:23">
      <c r="A8" s="682"/>
      <c r="B8" s="690"/>
      <c r="C8" s="693"/>
      <c r="D8" s="671"/>
      <c r="E8" s="90" t="s">
        <v>714</v>
      </c>
      <c r="F8" s="90" t="s">
        <v>19</v>
      </c>
      <c r="G8" s="90" t="s">
        <v>20</v>
      </c>
      <c r="H8" s="90" t="s">
        <v>19</v>
      </c>
      <c r="I8" s="191" t="s">
        <v>27</v>
      </c>
      <c r="J8" s="90" t="s">
        <v>714</v>
      </c>
      <c r="K8" s="30" t="s">
        <v>19</v>
      </c>
      <c r="L8" s="30" t="s">
        <v>20</v>
      </c>
      <c r="M8" s="30" t="s">
        <v>19</v>
      </c>
      <c r="N8" s="191" t="s">
        <v>27</v>
      </c>
      <c r="O8" s="90" t="s">
        <v>714</v>
      </c>
      <c r="P8" s="30" t="s">
        <v>19</v>
      </c>
      <c r="Q8" s="30" t="s">
        <v>20</v>
      </c>
      <c r="R8" s="30" t="s">
        <v>19</v>
      </c>
      <c r="S8" s="191" t="s">
        <v>27</v>
      </c>
      <c r="T8" s="674" t="s">
        <v>1</v>
      </c>
      <c r="U8" s="666"/>
      <c r="V8" s="30" t="s">
        <v>19</v>
      </c>
      <c r="W8" s="191" t="s">
        <v>27</v>
      </c>
    </row>
    <row r="9" spans="1:23">
      <c r="A9" s="682"/>
      <c r="B9" s="690"/>
      <c r="C9" s="693"/>
      <c r="D9" s="671"/>
      <c r="E9" s="30" t="s">
        <v>24</v>
      </c>
      <c r="F9" s="30" t="s">
        <v>25</v>
      </c>
      <c r="G9" s="30" t="s">
        <v>25</v>
      </c>
      <c r="H9" s="30" t="s">
        <v>26</v>
      </c>
      <c r="I9" s="186" t="s">
        <v>28</v>
      </c>
      <c r="J9" s="30" t="s">
        <v>24</v>
      </c>
      <c r="K9" s="30" t="s">
        <v>25</v>
      </c>
      <c r="L9" s="30" t="s">
        <v>25</v>
      </c>
      <c r="M9" s="30" t="s">
        <v>26</v>
      </c>
      <c r="N9" s="186" t="s">
        <v>28</v>
      </c>
      <c r="O9" s="30" t="s">
        <v>24</v>
      </c>
      <c r="P9" s="30" t="s">
        <v>25</v>
      </c>
      <c r="Q9" s="30" t="s">
        <v>25</v>
      </c>
      <c r="R9" s="30" t="s">
        <v>26</v>
      </c>
      <c r="S9" s="186" t="s">
        <v>28</v>
      </c>
      <c r="T9" s="675" t="s">
        <v>24</v>
      </c>
      <c r="U9" s="676"/>
      <c r="V9" s="30" t="s">
        <v>23</v>
      </c>
      <c r="W9" s="186" t="s">
        <v>28</v>
      </c>
    </row>
    <row r="10" spans="1:23" ht="18" thickBot="1">
      <c r="A10" s="683"/>
      <c r="B10" s="691"/>
      <c r="C10" s="694"/>
      <c r="D10" s="672"/>
      <c r="E10" s="224" t="s">
        <v>701</v>
      </c>
      <c r="F10" s="224" t="s">
        <v>701</v>
      </c>
      <c r="G10" s="189" t="s">
        <v>691</v>
      </c>
      <c r="H10" s="224" t="s">
        <v>701</v>
      </c>
      <c r="I10" s="187" t="s">
        <v>689</v>
      </c>
      <c r="J10" s="224" t="s">
        <v>701</v>
      </c>
      <c r="K10" s="224" t="s">
        <v>701</v>
      </c>
      <c r="L10" s="189" t="s">
        <v>691</v>
      </c>
      <c r="M10" s="224" t="s">
        <v>701</v>
      </c>
      <c r="N10" s="187" t="s">
        <v>689</v>
      </c>
      <c r="O10" s="224" t="s">
        <v>701</v>
      </c>
      <c r="P10" s="224" t="s">
        <v>701</v>
      </c>
      <c r="Q10" s="189" t="s">
        <v>691</v>
      </c>
      <c r="R10" s="224" t="s">
        <v>701</v>
      </c>
      <c r="S10" s="187" t="s">
        <v>689</v>
      </c>
      <c r="T10" s="677" t="s">
        <v>702</v>
      </c>
      <c r="U10" s="678"/>
      <c r="V10" s="224" t="s">
        <v>701</v>
      </c>
      <c r="W10" s="187" t="s">
        <v>692</v>
      </c>
    </row>
    <row r="11" spans="1:23">
      <c r="A11" s="684" t="s">
        <v>667</v>
      </c>
      <c r="B11" s="35" t="s">
        <v>153</v>
      </c>
      <c r="C11" s="89" t="s">
        <v>6</v>
      </c>
      <c r="D11" s="274" t="str">
        <f>VLOOKUP(B11,RBC!$B$8:$K$268,10,FALSE)</f>
        <v>HI3</v>
      </c>
      <c r="E11" s="41">
        <v>0.105</v>
      </c>
      <c r="F11" s="278">
        <f>VLOOKUP($B11,RBC!$B$5:$J$269,3,FALSE)</f>
        <v>5.5999999999999995E-4</v>
      </c>
      <c r="G11" s="279">
        <f>IF(F11="--","--",E11/F11)</f>
        <v>187.5</v>
      </c>
      <c r="H11" s="278">
        <f>VLOOKUP($B11,RBC!$B$5:$J$269,4,FALSE)</f>
        <v>5.0000000000000001E-3</v>
      </c>
      <c r="I11" s="280">
        <f>IF(H11="--","--",E11/H11)</f>
        <v>21</v>
      </c>
      <c r="J11" s="171">
        <v>4.6199999999999998E-2</v>
      </c>
      <c r="K11" s="278">
        <f>VLOOKUP($B11,RBC!$B$5:$J$269,5,FALSE)</f>
        <v>1.4E-2</v>
      </c>
      <c r="L11" s="303">
        <f>IF(K11="--","--",J11/K11)</f>
        <v>3.3</v>
      </c>
      <c r="M11" s="278">
        <f>VLOOKUP($B11,RBC!$B$5:$J$269,6,FALSE)</f>
        <v>3.6999999999999998E-2</v>
      </c>
      <c r="N11" s="304">
        <f>IF(M11="--","--",J11/M11)</f>
        <v>1.2486486486486486</v>
      </c>
      <c r="O11" s="172">
        <v>4.6199999999999998E-2</v>
      </c>
      <c r="P11" s="278">
        <f>VLOOKUP($B11,RBC!$B$5:$J$269,7,FALSE)</f>
        <v>6.7000000000000002E-3</v>
      </c>
      <c r="Q11" s="303">
        <f>IF(P11="--","--",O11/P11)</f>
        <v>6.8955223880597005</v>
      </c>
      <c r="R11" s="278">
        <f>VLOOKUP($B11,RBC!$B$5:$J$269,8,FALSE)</f>
        <v>3.6999999999999998E-2</v>
      </c>
      <c r="S11" s="304">
        <f>IF(R11="--","--",O11/R11)</f>
        <v>1.2486486486486486</v>
      </c>
      <c r="T11" s="679">
        <v>1.0356164383561643</v>
      </c>
      <c r="U11" s="680"/>
      <c r="V11" s="278">
        <f>VLOOKUP($B11,RBC!$B$5:$J$269,9,FALSE)</f>
        <v>0.03</v>
      </c>
      <c r="W11" s="280">
        <f>IF(V11="--","--",T11/V11)</f>
        <v>34.520547945205479</v>
      </c>
    </row>
    <row r="12" spans="1:23">
      <c r="A12" s="684"/>
      <c r="B12" s="35" t="s">
        <v>346</v>
      </c>
      <c r="C12" s="89" t="s">
        <v>7</v>
      </c>
      <c r="D12" s="274" t="str">
        <f>VLOOKUP(B12,RBC!$B$8:$K$268,10,FALSE)</f>
        <v>HI3</v>
      </c>
      <c r="E12" s="41">
        <v>5.2499999999999998E-2</v>
      </c>
      <c r="F12" s="278" t="str">
        <f>VLOOKUP($B12,RBC!$B$5:$J$269,3,FALSE)</f>
        <v>--</v>
      </c>
      <c r="G12" s="279" t="str">
        <f>IF(F12="--","--",E12/F12)</f>
        <v>--</v>
      </c>
      <c r="H12" s="278">
        <f>VLOOKUP($B12,RBC!$B$5:$J$269,4,FALSE)</f>
        <v>0.09</v>
      </c>
      <c r="I12" s="281">
        <f t="shared" ref="I12:I13" si="0">IF(H12="--","--",E12/H12)</f>
        <v>0.58333333333333337</v>
      </c>
      <c r="J12" s="171">
        <v>2.3099999999999999E-2</v>
      </c>
      <c r="K12" s="278" t="str">
        <f>VLOOKUP($B12,RBC!$B$5:$J$269,5,FALSE)</f>
        <v>--</v>
      </c>
      <c r="L12" s="303" t="str">
        <f t="shared" ref="L12:L13" si="1">IF(K12="--","--",J12/K12)</f>
        <v>--</v>
      </c>
      <c r="M12" s="278">
        <f>VLOOKUP($B12,RBC!$B$5:$J$269,6,FALSE)</f>
        <v>0.4</v>
      </c>
      <c r="N12" s="305">
        <f t="shared" ref="N12:N13" si="2">IF(M12="--","--",J12/M12)</f>
        <v>5.7749999999999996E-2</v>
      </c>
      <c r="O12" s="172">
        <v>2.3099999999999999E-2</v>
      </c>
      <c r="P12" s="278" t="str">
        <f>VLOOKUP($B12,RBC!$B$5:$J$269,7,FALSE)</f>
        <v>--</v>
      </c>
      <c r="Q12" s="303" t="str">
        <f t="shared" ref="Q12:Q13" si="3">IF(P12="--","--",O12/P12)</f>
        <v>--</v>
      </c>
      <c r="R12" s="278">
        <f>VLOOKUP($B12,RBC!$B$5:$J$269,8,FALSE)</f>
        <v>0.4</v>
      </c>
      <c r="S12" s="305">
        <f t="shared" ref="S12:S13" si="4">IF(R12="--","--",O12/R12)</f>
        <v>5.7749999999999996E-2</v>
      </c>
      <c r="T12" s="679">
        <v>0.67500000000000004</v>
      </c>
      <c r="U12" s="680"/>
      <c r="V12" s="278">
        <f>VLOOKUP($B12,RBC!$B$5:$J$269,9,FALSE)</f>
        <v>0.3</v>
      </c>
      <c r="W12" s="304">
        <f t="shared" ref="W12:W13" si="5">IF(V12="--","--",T12/V12)</f>
        <v>2.2500000000000004</v>
      </c>
    </row>
    <row r="13" spans="1:23" ht="15" thickBot="1">
      <c r="A13" s="684"/>
      <c r="B13" s="227" t="s">
        <v>370</v>
      </c>
      <c r="C13" s="228" t="s">
        <v>8</v>
      </c>
      <c r="D13" s="275" t="str">
        <f>VLOOKUP(B13,RBC!$B$8:$K$268,10,FALSE)</f>
        <v>HI3</v>
      </c>
      <c r="E13" s="229">
        <v>0.16500000000000001</v>
      </c>
      <c r="F13" s="282">
        <f>VLOOKUP($B13,RBC!$B$5:$J$269,3,FALSE)</f>
        <v>3.8E-3</v>
      </c>
      <c r="G13" s="283">
        <f>IF(F13="--","--",E13/F13)</f>
        <v>43.421052631578952</v>
      </c>
      <c r="H13" s="282">
        <f>VLOOKUP($B13,RBC!$B$5:$J$269,4,FALSE)</f>
        <v>1.4E-2</v>
      </c>
      <c r="I13" s="284">
        <f t="shared" si="0"/>
        <v>11.785714285714286</v>
      </c>
      <c r="J13" s="230">
        <v>7.2599999999999998E-2</v>
      </c>
      <c r="K13" s="282">
        <f>VLOOKUP($B13,RBC!$B$5:$J$269,5,FALSE)</f>
        <v>0.1</v>
      </c>
      <c r="L13" s="306">
        <f t="shared" si="1"/>
        <v>0.72599999999999998</v>
      </c>
      <c r="M13" s="282">
        <f>VLOOKUP($B13,RBC!$B$5:$J$269,6,FALSE)</f>
        <v>6.2E-2</v>
      </c>
      <c r="N13" s="307">
        <f t="shared" si="2"/>
        <v>1.1709677419354838</v>
      </c>
      <c r="O13" s="231">
        <v>7.2599999999999998E-2</v>
      </c>
      <c r="P13" s="282">
        <f>VLOOKUP($B13,RBC!$B$5:$J$269,7,FALSE)</f>
        <v>4.5999999999999999E-2</v>
      </c>
      <c r="Q13" s="306">
        <f t="shared" si="3"/>
        <v>1.5782608695652174</v>
      </c>
      <c r="R13" s="282">
        <f>VLOOKUP($B13,RBC!$B$5:$J$269,8,FALSE)</f>
        <v>6.2E-2</v>
      </c>
      <c r="S13" s="307">
        <f t="shared" si="4"/>
        <v>1.1709677419354838</v>
      </c>
      <c r="T13" s="695">
        <v>1.6273972602739726</v>
      </c>
      <c r="U13" s="696"/>
      <c r="V13" s="282">
        <f>VLOOKUP($B13,RBC!$B$5:$J$269,9,FALSE)</f>
        <v>0.2</v>
      </c>
      <c r="W13" s="307">
        <f t="shared" si="5"/>
        <v>8.1369863013698627</v>
      </c>
    </row>
    <row r="14" spans="1:23" ht="12.75" customHeight="1" thickBot="1">
      <c r="A14" s="317"/>
      <c r="B14" s="327"/>
      <c r="C14" s="327"/>
      <c r="D14" s="328"/>
      <c r="E14" s="318"/>
      <c r="F14" s="318"/>
      <c r="G14" s="329"/>
      <c r="H14" s="318"/>
      <c r="I14" s="329"/>
      <c r="J14" s="319"/>
      <c r="K14" s="318"/>
      <c r="L14" s="330"/>
      <c r="M14" s="318"/>
      <c r="N14" s="330"/>
      <c r="O14" s="319"/>
      <c r="P14" s="318"/>
      <c r="Q14" s="330"/>
      <c r="R14" s="318"/>
      <c r="S14" s="330"/>
      <c r="T14" s="321"/>
      <c r="U14" s="321"/>
      <c r="V14" s="318"/>
      <c r="W14" s="331"/>
    </row>
    <row r="15" spans="1:23" ht="14.45" customHeight="1">
      <c r="A15" s="685" t="s">
        <v>668</v>
      </c>
      <c r="B15" s="47" t="s">
        <v>93</v>
      </c>
      <c r="C15" s="39" t="s">
        <v>9</v>
      </c>
      <c r="D15" s="276" t="str">
        <f>VLOOKUP(B15,RBC!$B$8:$K$268,10,FALSE)</f>
        <v>HI3</v>
      </c>
      <c r="E15" s="127">
        <v>17</v>
      </c>
      <c r="F15" s="285">
        <f>VLOOKUP($B15,RBC!$B$5:$J$269,3,FALSE)</f>
        <v>0.45</v>
      </c>
      <c r="G15" s="286">
        <f>IF(F15="--","--",E15/F15)</f>
        <v>37.777777777777779</v>
      </c>
      <c r="H15" s="285">
        <f>VLOOKUP($B15,RBC!$B$5:$J$269,4,FALSE)</f>
        <v>140</v>
      </c>
      <c r="I15" s="287">
        <f>IF(H15="--","--",E15/H15)</f>
        <v>0.12142857142857143</v>
      </c>
      <c r="J15" s="127">
        <v>10</v>
      </c>
      <c r="K15" s="285">
        <f>VLOOKUP($B15,RBC!$B$5:$J$269,5,FALSE)</f>
        <v>12</v>
      </c>
      <c r="L15" s="308">
        <f>IF(K15="--","--",J15/K15)</f>
        <v>0.83333333333333337</v>
      </c>
      <c r="M15" s="285">
        <f>VLOOKUP($B15,RBC!$B$5:$J$269,6,FALSE)</f>
        <v>620</v>
      </c>
      <c r="N15" s="287">
        <f>IF(M15="NA","--",J15/M15)</f>
        <v>1.6129032258064516E-2</v>
      </c>
      <c r="O15" s="128">
        <v>10</v>
      </c>
      <c r="P15" s="285">
        <f>VLOOKUP($B15,RBC!$B$5:$J$269,7,FALSE)</f>
        <v>5.5</v>
      </c>
      <c r="Q15" s="313">
        <f>IF(P15="--","--",O15/P15)</f>
        <v>1.8181818181818181</v>
      </c>
      <c r="R15" s="285">
        <f>VLOOKUP($B15,RBC!$B$5:$J$269,8,FALSE)</f>
        <v>620</v>
      </c>
      <c r="S15" s="287">
        <f>IF(R15="--","--",O15/R15)</f>
        <v>1.6129032258064516E-2</v>
      </c>
      <c r="T15" s="697">
        <v>190.5</v>
      </c>
      <c r="U15" s="698"/>
      <c r="V15" s="285">
        <f>VLOOKUP($B15,RBC!$B$5:$J$269,9,FALSE)</f>
        <v>470</v>
      </c>
      <c r="W15" s="287">
        <f>IF(V15="--","--",T15/V15)</f>
        <v>0.40531914893617021</v>
      </c>
    </row>
    <row r="16" spans="1:23" ht="14.45" customHeight="1">
      <c r="A16" s="684"/>
      <c r="B16" s="35" t="s">
        <v>96</v>
      </c>
      <c r="C16" s="79" t="s">
        <v>10</v>
      </c>
      <c r="D16" s="274" t="str">
        <f>VLOOKUP(B16,RBC!$B$8:$K$268,10,FALSE)</f>
        <v>HI3</v>
      </c>
      <c r="E16" s="225">
        <v>13.600000000000001</v>
      </c>
      <c r="F16" s="278" t="str">
        <f>VLOOKUP($B16,RBC!$B$5:$J$269,3,FALSE)</f>
        <v>--</v>
      </c>
      <c r="G16" s="279" t="str">
        <f>IF(F16="--","--",E16/F16)</f>
        <v>--</v>
      </c>
      <c r="H16" s="288">
        <f>VLOOKUP($B16,RBC!$B$5:$J$269,4,FALSE)</f>
        <v>31000</v>
      </c>
      <c r="I16" s="289">
        <f t="shared" ref="I16:I17" si="6">IF(H16="--","--",E16/H16)</f>
        <v>4.3870967741935489E-4</v>
      </c>
      <c r="J16" s="9">
        <v>8</v>
      </c>
      <c r="K16" s="278" t="str">
        <f>VLOOKUP($B16,RBC!$B$5:$J$269,5,FALSE)</f>
        <v>--</v>
      </c>
      <c r="L16" s="309" t="str">
        <f>IF(K16="--","--",J16/K16)</f>
        <v>--</v>
      </c>
      <c r="M16" s="288">
        <f>VLOOKUP($B16,RBC!$B$5:$J$269,6,FALSE)</f>
        <v>140000</v>
      </c>
      <c r="N16" s="310">
        <f>IF(M16="NA","--",J16/M16)</f>
        <v>5.7142857142857142E-5</v>
      </c>
      <c r="O16" s="22">
        <v>8</v>
      </c>
      <c r="P16" s="278" t="str">
        <f>VLOOKUP($B16,RBC!$B$5:$J$269,7,FALSE)</f>
        <v>--</v>
      </c>
      <c r="Q16" s="303" t="str">
        <f t="shared" ref="Q16:Q17" si="7">IF(P16="--","--",O16/P16)</f>
        <v>--</v>
      </c>
      <c r="R16" s="288">
        <f>VLOOKUP($B16,RBC!$B$5:$J$269,8,FALSE)</f>
        <v>140000</v>
      </c>
      <c r="S16" s="314">
        <f t="shared" ref="S16:S17" si="8">IF(R16="--","--",O16/R16)</f>
        <v>5.7142857142857142E-5</v>
      </c>
      <c r="T16" s="699">
        <v>158.75</v>
      </c>
      <c r="U16" s="700"/>
      <c r="V16" s="288">
        <f>VLOOKUP($B16,RBC!$B$5:$J$269,9,FALSE)</f>
        <v>62000</v>
      </c>
      <c r="W16" s="310">
        <f t="shared" ref="W16:W17" si="9">IF(V16="--","--",T16/V16)</f>
        <v>2.5604838709677421E-3</v>
      </c>
    </row>
    <row r="17" spans="1:23" ht="14.45" customHeight="1" thickBot="1">
      <c r="A17" s="686"/>
      <c r="B17" s="48" t="s">
        <v>99</v>
      </c>
      <c r="C17" s="4" t="s">
        <v>11</v>
      </c>
      <c r="D17" s="277" t="str">
        <f>VLOOKUP(B17,RBC!$B$8:$K$268,10,FALSE)</f>
        <v>HI5</v>
      </c>
      <c r="E17" s="165">
        <v>1.7000000000000002</v>
      </c>
      <c r="F17" s="290" t="str">
        <f>VLOOKUP($B17,RBC!$B$5:$J$269,3,FALSE)</f>
        <v>--</v>
      </c>
      <c r="G17" s="291" t="str">
        <f>IF(F17="--","--",E17/F17)</f>
        <v>--</v>
      </c>
      <c r="H17" s="290">
        <f>VLOOKUP($B17,RBC!$B$5:$J$269,4,FALSE)</f>
        <v>0.35</v>
      </c>
      <c r="I17" s="292">
        <f t="shared" si="6"/>
        <v>4.8571428571428577</v>
      </c>
      <c r="J17" s="165">
        <v>1</v>
      </c>
      <c r="K17" s="290" t="str">
        <f>VLOOKUP($B17,RBC!$B$5:$J$269,5,FALSE)</f>
        <v>--</v>
      </c>
      <c r="L17" s="311" t="str">
        <f>IF(K17="--","--",J17/K17)</f>
        <v>--</v>
      </c>
      <c r="M17" s="290">
        <f>VLOOKUP($B17,RBC!$B$5:$J$269,6,FALSE)</f>
        <v>1.5</v>
      </c>
      <c r="N17" s="292">
        <f>IF(M17="NA","--",J17/M17)</f>
        <v>0.66666666666666663</v>
      </c>
      <c r="O17" s="110">
        <v>1</v>
      </c>
      <c r="P17" s="290" t="str">
        <f>VLOOKUP($B17,RBC!$B$5:$J$269,7,FALSE)</f>
        <v>--</v>
      </c>
      <c r="Q17" s="315" t="str">
        <f t="shared" si="7"/>
        <v>--</v>
      </c>
      <c r="R17" s="290">
        <f>VLOOKUP($B17,RBC!$B$5:$J$269,8,FALSE)</f>
        <v>1.5</v>
      </c>
      <c r="S17" s="292">
        <f t="shared" si="8"/>
        <v>0.66666666666666663</v>
      </c>
      <c r="T17" s="701">
        <v>31.75</v>
      </c>
      <c r="U17" s="702"/>
      <c r="V17" s="290">
        <f>VLOOKUP($B17,RBC!$B$5:$J$269,9,FALSE)</f>
        <v>6.9</v>
      </c>
      <c r="W17" s="316">
        <f t="shared" si="9"/>
        <v>4.6014492753623184</v>
      </c>
    </row>
    <row r="18" spans="1:23" ht="14.45" customHeight="1" thickBot="1">
      <c r="A18" s="317"/>
      <c r="B18" s="318"/>
      <c r="C18" s="319"/>
      <c r="D18" s="320"/>
      <c r="E18" s="320"/>
      <c r="F18" s="321"/>
      <c r="G18" s="322"/>
      <c r="H18" s="321"/>
      <c r="I18" s="323"/>
      <c r="J18" s="320"/>
      <c r="K18" s="321"/>
      <c r="L18" s="323"/>
      <c r="M18" s="321"/>
      <c r="N18" s="323"/>
      <c r="O18" s="320"/>
      <c r="P18" s="321"/>
      <c r="Q18" s="324"/>
      <c r="R18" s="321"/>
      <c r="S18" s="323"/>
      <c r="T18" s="325"/>
      <c r="U18" s="325"/>
      <c r="V18" s="321"/>
      <c r="W18" s="326"/>
    </row>
    <row r="19" spans="1:23" ht="14.45" customHeight="1">
      <c r="A19" s="685" t="s">
        <v>685</v>
      </c>
      <c r="B19" s="342" t="s">
        <v>686</v>
      </c>
      <c r="C19" s="38"/>
      <c r="D19" s="38"/>
      <c r="E19" s="38"/>
      <c r="F19" s="38"/>
      <c r="G19" s="343">
        <f>SUM(G11:G13,G15:G17)</f>
        <v>268.69883040935673</v>
      </c>
      <c r="H19" s="38"/>
      <c r="I19" s="344">
        <f>SUM(I11:I13,I15:I17)</f>
        <v>38.348057757296473</v>
      </c>
      <c r="J19" s="34"/>
      <c r="K19" s="34"/>
      <c r="L19" s="293">
        <f>SUM(L11:L13,L15:L17)</f>
        <v>4.8593333333333328</v>
      </c>
      <c r="M19" s="34"/>
      <c r="N19" s="293">
        <f>SUM(N11:N13,N15:N17)</f>
        <v>3.1602192323660061</v>
      </c>
      <c r="O19" s="226"/>
      <c r="P19" s="34"/>
      <c r="Q19" s="293">
        <f>SUM(Q11:Q13,Q15:Q17)</f>
        <v>10.291965075806736</v>
      </c>
      <c r="R19" s="34"/>
      <c r="S19" s="293">
        <f>SUM(S11:S13,S15:S17)</f>
        <v>3.1602192323660061</v>
      </c>
      <c r="T19" s="687"/>
      <c r="U19" s="688"/>
      <c r="V19" s="34"/>
      <c r="W19" s="338">
        <f>SUM(W11:W13,W15:W17)</f>
        <v>49.916863154744796</v>
      </c>
    </row>
    <row r="20" spans="1:23" ht="15" customHeight="1" thickBot="1">
      <c r="A20" s="686"/>
      <c r="B20" s="18" t="s">
        <v>693</v>
      </c>
      <c r="C20" s="42"/>
      <c r="D20" s="42"/>
      <c r="E20" s="26"/>
      <c r="F20" s="26"/>
      <c r="G20" s="294">
        <f>G19</f>
        <v>268.69883040935673</v>
      </c>
      <c r="H20" s="42"/>
      <c r="I20" s="339">
        <f>I19</f>
        <v>38.348057757296473</v>
      </c>
      <c r="J20" s="42"/>
      <c r="K20" s="42"/>
      <c r="L20" s="294">
        <f>L19</f>
        <v>4.8593333333333328</v>
      </c>
      <c r="M20" s="42"/>
      <c r="N20" s="294">
        <f>N19</f>
        <v>3.1602192323660061</v>
      </c>
      <c r="O20" s="173"/>
      <c r="P20" s="42"/>
      <c r="Q20" s="294">
        <f>Q19</f>
        <v>10.291965075806736</v>
      </c>
      <c r="R20" s="42"/>
      <c r="S20" s="294">
        <f>S19</f>
        <v>3.1602192323660061</v>
      </c>
      <c r="T20" s="677"/>
      <c r="U20" s="678"/>
      <c r="V20" s="42"/>
      <c r="W20" s="339">
        <f>W19</f>
        <v>49.916863154744796</v>
      </c>
    </row>
    <row r="21" spans="1:23" ht="15.75" thickBot="1">
      <c r="A21" s="340"/>
      <c r="B21" s="333"/>
      <c r="C21" s="332"/>
      <c r="D21" s="332"/>
      <c r="E21" s="333"/>
      <c r="F21" s="333"/>
      <c r="G21" s="334"/>
      <c r="H21" s="332"/>
      <c r="I21" s="335"/>
      <c r="J21" s="332"/>
      <c r="K21" s="332"/>
      <c r="L21" s="334"/>
      <c r="M21" s="332"/>
      <c r="N21" s="335"/>
      <c r="O21" s="336"/>
      <c r="P21" s="332"/>
      <c r="Q21" s="334"/>
      <c r="R21" s="332"/>
      <c r="S21" s="335"/>
      <c r="T21" s="337"/>
      <c r="U21" s="337"/>
      <c r="V21" s="332"/>
      <c r="W21" s="341"/>
    </row>
    <row r="22" spans="1:23" s="11" customFormat="1" ht="30" customHeight="1" thickBot="1">
      <c r="A22" s="709" t="s">
        <v>728</v>
      </c>
      <c r="B22" s="710"/>
      <c r="C22" s="710"/>
      <c r="D22" s="711"/>
      <c r="E22" s="664" t="s">
        <v>676</v>
      </c>
      <c r="F22" s="665"/>
      <c r="G22" s="238" t="str">
        <f>IF(AND(I20&gt;3.04,COUNTIF($D$11:$D$17,"HI3")&gt;0,COUNTIF($D$11:$D$17,"HI5")&gt;0),"Yes","No")</f>
        <v>Yes</v>
      </c>
      <c r="H22" s="239" t="s">
        <v>675</v>
      </c>
      <c r="I22" s="312">
        <f>IF(G22="Yes",(SUMIF($D$11:$D$17,"HI3",I11:I17)/3+SUMIF($D$11:$D$17,"HI5",I11:I17)/5),"N/A")</f>
        <v>12.135066871479776</v>
      </c>
      <c r="J22" s="664" t="s">
        <v>676</v>
      </c>
      <c r="K22" s="665"/>
      <c r="L22" s="238" t="str">
        <f>IF(AND(N20&gt;3,COUNTIF($D$11:$D$17,"HI3")&gt;0,COUNTIF($D$11:$D$17,"HI5")&gt;0),"Yes","No")</f>
        <v>Yes</v>
      </c>
      <c r="M22" s="239" t="s">
        <v>675</v>
      </c>
      <c r="N22" s="312">
        <f>IF(L22="Yes",(SUMIF($D$11:$D$17,"HI3",N11:N17)/3+SUMIF($D$11:$D$17,"HI5",N11:N17)/5),"N/A")</f>
        <v>0.9645175218997798</v>
      </c>
      <c r="O22" s="664" t="s">
        <v>676</v>
      </c>
      <c r="P22" s="665"/>
      <c r="Q22" s="238" t="str">
        <f>IF(AND(S20&gt;3,COUNTIF($D$11:$D$17,"HI3")&gt;0,COUNTIF($D$11:$D$17,"HI5")&gt;0),"Yes","No")</f>
        <v>Yes</v>
      </c>
      <c r="R22" s="239" t="s">
        <v>675</v>
      </c>
      <c r="S22" s="312">
        <f>IF(Q22="Yes",(SUMIF($D$11:$D$17,"HI3",S11:S17)/3+SUMIF($D$11:$D$17,"HI5",S11:S17)/5),"N/A")</f>
        <v>0.9645175218997798</v>
      </c>
      <c r="T22" s="133" t="s">
        <v>677</v>
      </c>
      <c r="U22" s="238" t="str">
        <f>IF(AND(W20&gt;3,COUNTIF($D$11:$D$17,"HI3")&gt;0,COUNTIF($D$11:$D$17,"HI5")&gt;0),"Yes","No")</f>
        <v>Yes</v>
      </c>
      <c r="V22" s="239" t="s">
        <v>675</v>
      </c>
      <c r="W22" s="312">
        <f>IF(U22="Yes",(SUMIF($D$11:$D$17,"HI3",W11:W17)/3+SUMIF($D$11:$D$17,"HI5",W11:W17)/5),"N/A")</f>
        <v>16.025427814866621</v>
      </c>
    </row>
    <row r="23" spans="1:23"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</row>
    <row r="24" spans="1:23" ht="15" thickBot="1"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</row>
    <row r="25" spans="1:23" ht="14.45" customHeight="1">
      <c r="B25" s="712" t="s">
        <v>665</v>
      </c>
      <c r="C25" s="713"/>
      <c r="D25" s="719" t="s">
        <v>664</v>
      </c>
      <c r="E25" s="716" t="s">
        <v>729</v>
      </c>
      <c r="F25" s="717"/>
      <c r="G25" s="718"/>
      <c r="H25" s="12"/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ht="18" thickBot="1">
      <c r="B26" s="714"/>
      <c r="C26" s="715"/>
      <c r="D26" s="720"/>
      <c r="E26" s="209" t="s">
        <v>679</v>
      </c>
      <c r="F26" s="233" t="s">
        <v>680</v>
      </c>
      <c r="G26" s="232" t="s">
        <v>730</v>
      </c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</row>
    <row r="27" spans="1:23">
      <c r="B27" s="721" t="s">
        <v>84</v>
      </c>
      <c r="C27" s="722"/>
      <c r="D27" s="254">
        <v>0.5</v>
      </c>
      <c r="E27" s="703">
        <v>0.5</v>
      </c>
      <c r="F27" s="704"/>
      <c r="G27" s="707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</row>
    <row r="28" spans="1:23">
      <c r="B28" s="660" t="s">
        <v>77</v>
      </c>
      <c r="C28" s="661"/>
      <c r="D28" s="196">
        <v>25</v>
      </c>
      <c r="E28" s="705">
        <v>1</v>
      </c>
      <c r="F28" s="706"/>
      <c r="G28" s="708"/>
      <c r="J28" s="203"/>
      <c r="K28" s="203"/>
      <c r="L28" s="203"/>
      <c r="M28" s="203"/>
      <c r="N28" s="204"/>
      <c r="O28" s="203"/>
      <c r="P28" s="203"/>
      <c r="Q28" s="203"/>
      <c r="R28" s="203"/>
      <c r="S28" s="204"/>
      <c r="T28" s="203"/>
      <c r="U28" s="203"/>
      <c r="V28" s="203"/>
      <c r="W28" s="204"/>
    </row>
    <row r="29" spans="1:23">
      <c r="B29" s="660" t="s">
        <v>78</v>
      </c>
      <c r="C29" s="661"/>
      <c r="D29" s="196">
        <v>50</v>
      </c>
      <c r="E29" s="252" t="s">
        <v>681</v>
      </c>
      <c r="F29" s="234">
        <v>5</v>
      </c>
      <c r="G29" s="235">
        <v>1</v>
      </c>
      <c r="J29" s="203"/>
      <c r="K29" s="203"/>
      <c r="L29" s="203"/>
      <c r="M29" s="203"/>
      <c r="N29" s="204"/>
      <c r="O29" s="203"/>
      <c r="P29" s="203"/>
      <c r="Q29" s="203"/>
      <c r="R29" s="203"/>
      <c r="S29" s="204"/>
      <c r="T29" s="203"/>
      <c r="U29" s="203"/>
      <c r="V29" s="203"/>
      <c r="W29" s="204"/>
    </row>
    <row r="30" spans="1:23">
      <c r="B30" s="660" t="s">
        <v>79</v>
      </c>
      <c r="C30" s="661"/>
      <c r="D30" s="196">
        <v>200</v>
      </c>
      <c r="E30" s="252" t="s">
        <v>682</v>
      </c>
      <c r="F30" s="234">
        <v>10</v>
      </c>
      <c r="G30" s="235">
        <v>2</v>
      </c>
      <c r="J30" s="203"/>
      <c r="K30" s="203"/>
      <c r="L30" s="203"/>
      <c r="M30" s="203"/>
      <c r="N30" s="204"/>
      <c r="O30" s="203"/>
      <c r="P30" s="203"/>
      <c r="Q30" s="203"/>
      <c r="R30" s="203"/>
      <c r="S30" s="204"/>
      <c r="T30" s="203"/>
      <c r="U30" s="203"/>
      <c r="V30" s="203"/>
      <c r="W30" s="204"/>
    </row>
    <row r="31" spans="1:23" ht="15" thickBot="1">
      <c r="B31" s="662" t="s">
        <v>80</v>
      </c>
      <c r="C31" s="663"/>
      <c r="D31" s="255">
        <v>500</v>
      </c>
      <c r="E31" s="253" t="s">
        <v>683</v>
      </c>
      <c r="F31" s="236">
        <v>20</v>
      </c>
      <c r="G31" s="237">
        <v>4</v>
      </c>
    </row>
    <row r="32" spans="1:23">
      <c r="F32" s="193"/>
    </row>
    <row r="33" spans="1:5" ht="15">
      <c r="A33" s="12" t="s">
        <v>13</v>
      </c>
      <c r="D33" s="193"/>
      <c r="E33" s="193"/>
    </row>
    <row r="34" spans="1:5">
      <c r="A34" s="13" t="s">
        <v>722</v>
      </c>
      <c r="D34" s="193"/>
      <c r="E34" s="193"/>
    </row>
    <row r="35" spans="1:5" ht="16.5">
      <c r="A35" s="13" t="s">
        <v>723</v>
      </c>
      <c r="D35" s="13"/>
      <c r="E35" s="13"/>
    </row>
    <row r="36" spans="1:5" ht="16.5">
      <c r="A36" s="13" t="s">
        <v>724</v>
      </c>
      <c r="D36" s="13"/>
      <c r="E36" s="13"/>
    </row>
    <row r="37" spans="1:5" ht="16.5">
      <c r="A37" s="13" t="s">
        <v>725</v>
      </c>
      <c r="D37" s="13"/>
    </row>
    <row r="38" spans="1:5">
      <c r="A38" s="13" t="s">
        <v>869</v>
      </c>
      <c r="D38" s="13"/>
    </row>
    <row r="39" spans="1:5" s="13" customFormat="1">
      <c r="A39" s="13" t="s">
        <v>727</v>
      </c>
    </row>
    <row r="40" spans="1:5" s="13" customFormat="1">
      <c r="A40" s="13" t="s">
        <v>698</v>
      </c>
    </row>
    <row r="41" spans="1:5" s="13" customFormat="1">
      <c r="A41" s="13" t="s">
        <v>699</v>
      </c>
    </row>
    <row r="42" spans="1:5" s="13" customFormat="1">
      <c r="A42" s="13" t="s">
        <v>700</v>
      </c>
    </row>
    <row r="43" spans="1:5">
      <c r="A43" s="13" t="s">
        <v>866</v>
      </c>
      <c r="D43" s="13"/>
    </row>
    <row r="44" spans="1:5">
      <c r="A44" s="13"/>
      <c r="D44" s="13"/>
    </row>
    <row r="45" spans="1:5">
      <c r="A45" s="13" t="s">
        <v>640</v>
      </c>
    </row>
    <row r="46" spans="1:5">
      <c r="A46" s="13" t="s">
        <v>632</v>
      </c>
    </row>
    <row r="47" spans="1:5">
      <c r="A47" s="13" t="s">
        <v>641</v>
      </c>
    </row>
    <row r="48" spans="1:5">
      <c r="A48" s="37" t="s">
        <v>74</v>
      </c>
    </row>
    <row r="50" spans="1:1" ht="15">
      <c r="A50" s="14" t="s">
        <v>697</v>
      </c>
    </row>
    <row r="51" spans="1:1">
      <c r="A51" s="37" t="s">
        <v>696</v>
      </c>
    </row>
  </sheetData>
  <mergeCells count="38">
    <mergeCell ref="B28:C28"/>
    <mergeCell ref="E27:F27"/>
    <mergeCell ref="E28:F28"/>
    <mergeCell ref="G27:G28"/>
    <mergeCell ref="T20:U20"/>
    <mergeCell ref="A22:D22"/>
    <mergeCell ref="B25:C26"/>
    <mergeCell ref="E25:G25"/>
    <mergeCell ref="D25:D26"/>
    <mergeCell ref="B27:C27"/>
    <mergeCell ref="A7:A10"/>
    <mergeCell ref="A11:A13"/>
    <mergeCell ref="A15:A17"/>
    <mergeCell ref="T19:U19"/>
    <mergeCell ref="B7:B10"/>
    <mergeCell ref="C7:C10"/>
    <mergeCell ref="T12:U12"/>
    <mergeCell ref="T13:U13"/>
    <mergeCell ref="T15:U15"/>
    <mergeCell ref="T16:U16"/>
    <mergeCell ref="T17:U17"/>
    <mergeCell ref="A19:A20"/>
    <mergeCell ref="B29:C29"/>
    <mergeCell ref="B30:C30"/>
    <mergeCell ref="B31:C31"/>
    <mergeCell ref="E22:F22"/>
    <mergeCell ref="B5:W5"/>
    <mergeCell ref="E7:I7"/>
    <mergeCell ref="J7:N7"/>
    <mergeCell ref="T7:W7"/>
    <mergeCell ref="D7:D10"/>
    <mergeCell ref="J22:K22"/>
    <mergeCell ref="O22:P22"/>
    <mergeCell ref="O7:S7"/>
    <mergeCell ref="T8:U8"/>
    <mergeCell ref="T9:U9"/>
    <mergeCell ref="T10:U10"/>
    <mergeCell ref="T11:U11"/>
  </mergeCells>
  <conditionalFormatting sqref="G22">
    <cfRule type="cellIs" dxfId="39" priority="21" operator="equal">
      <formula>"No"</formula>
    </cfRule>
    <cfRule type="cellIs" dxfId="38" priority="22" operator="equal">
      <formula>"Yes"</formula>
    </cfRule>
  </conditionalFormatting>
  <conditionalFormatting sqref="L22">
    <cfRule type="cellIs" dxfId="37" priority="5" operator="equal">
      <formula>"No"</formula>
    </cfRule>
    <cfRule type="cellIs" dxfId="36" priority="6" operator="equal">
      <formula>"Yes"</formula>
    </cfRule>
  </conditionalFormatting>
  <conditionalFormatting sqref="U22">
    <cfRule type="cellIs" dxfId="35" priority="1" operator="equal">
      <formula>"No"</formula>
    </cfRule>
    <cfRule type="cellIs" dxfId="34" priority="2" operator="equal">
      <formula>"Yes"</formula>
    </cfRule>
  </conditionalFormatting>
  <conditionalFormatting sqref="Q22">
    <cfRule type="cellIs" dxfId="33" priority="3" operator="equal">
      <formula>"No"</formula>
    </cfRule>
    <cfRule type="cellIs" dxfId="32" priority="4" operator="equal">
      <formula>"Yes"</formula>
    </cfRule>
  </conditionalFormatting>
  <pageMargins left="0.7" right="0.7" top="0.75" bottom="0.75" header="0.3" footer="0.3"/>
  <pageSetup paperSize="3" scale="42" orientation="landscape" r:id="rId1"/>
  <headerFooter>
    <oddHeader>&amp;C&amp;G</oddHeader>
  </headerFooter>
  <ignoredErrors>
    <ignoredError sqref="E29:E31" numberStoredAsText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3:W50"/>
  <sheetViews>
    <sheetView view="pageBreakPreview" zoomScale="80" zoomScaleNormal="90" zoomScaleSheetLayoutView="80" workbookViewId="0">
      <selection activeCell="A38" sqref="A38"/>
    </sheetView>
  </sheetViews>
  <sheetFormatPr defaultColWidth="9.140625" defaultRowHeight="15"/>
  <cols>
    <col min="1" max="1" width="12.85546875" style="33" customWidth="1"/>
    <col min="2" max="2" width="20.42578125" style="33" customWidth="1"/>
    <col min="3" max="3" width="21.85546875" style="33" customWidth="1"/>
    <col min="4" max="4" width="11.85546875" style="33" customWidth="1"/>
    <col min="5" max="5" width="13.85546875" style="33" customWidth="1"/>
    <col min="6" max="6" width="9" style="33" bestFit="1" customWidth="1"/>
    <col min="7" max="7" width="8.42578125" style="33" bestFit="1" customWidth="1"/>
    <col min="8" max="8" width="12" style="33" bestFit="1" customWidth="1"/>
    <col min="9" max="10" width="13.85546875" style="33" customWidth="1"/>
    <col min="11" max="12" width="8.42578125" style="33" bestFit="1" customWidth="1"/>
    <col min="13" max="13" width="12" style="33" bestFit="1" customWidth="1"/>
    <col min="14" max="14" width="14.140625" style="33" customWidth="1"/>
    <col min="15" max="15" width="13" style="33" customWidth="1"/>
    <col min="16" max="17" width="8.42578125" style="33" bestFit="1" customWidth="1"/>
    <col min="18" max="18" width="12" style="33" bestFit="1" customWidth="1"/>
    <col min="19" max="20" width="14.42578125" style="33" customWidth="1"/>
    <col min="21" max="21" width="8.140625" style="33" customWidth="1"/>
    <col min="22" max="22" width="8.140625" style="33" bestFit="1" customWidth="1"/>
    <col min="23" max="23" width="13.5703125" style="33" bestFit="1" customWidth="1"/>
    <col min="24" max="16384" width="9.140625" style="33"/>
  </cols>
  <sheetData>
    <row r="3" spans="1:23">
      <c r="W3"/>
    </row>
    <row r="5" spans="1:23" ht="20.25">
      <c r="B5" s="634" t="s">
        <v>39</v>
      </c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634"/>
      <c r="S5" s="634"/>
      <c r="T5" s="634"/>
      <c r="U5" s="634"/>
      <c r="V5" s="634"/>
      <c r="W5" s="634"/>
    </row>
    <row r="6" spans="1:23" ht="15.75" thickBot="1"/>
    <row r="7" spans="1:23" ht="15.75" thickBot="1">
      <c r="A7" s="737" t="s">
        <v>678</v>
      </c>
      <c r="B7" s="689" t="s">
        <v>690</v>
      </c>
      <c r="C7" s="724" t="s">
        <v>3</v>
      </c>
      <c r="D7" s="724" t="s">
        <v>642</v>
      </c>
      <c r="E7" s="726" t="s">
        <v>14</v>
      </c>
      <c r="F7" s="727"/>
      <c r="G7" s="727"/>
      <c r="H7" s="727"/>
      <c r="I7" s="728"/>
      <c r="J7" s="726" t="s">
        <v>15</v>
      </c>
      <c r="K7" s="727"/>
      <c r="L7" s="727"/>
      <c r="M7" s="727"/>
      <c r="N7" s="729"/>
      <c r="O7" s="730" t="s">
        <v>16</v>
      </c>
      <c r="P7" s="727"/>
      <c r="Q7" s="727"/>
      <c r="R7" s="727"/>
      <c r="S7" s="295"/>
      <c r="T7" s="726" t="s">
        <v>17</v>
      </c>
      <c r="U7" s="727"/>
      <c r="V7" s="727"/>
      <c r="W7" s="728"/>
    </row>
    <row r="8" spans="1:23">
      <c r="A8" s="738"/>
      <c r="B8" s="690"/>
      <c r="C8" s="725"/>
      <c r="D8" s="725"/>
      <c r="E8" s="40" t="s">
        <v>714</v>
      </c>
      <c r="F8" s="170" t="s">
        <v>19</v>
      </c>
      <c r="G8" s="170" t="s">
        <v>20</v>
      </c>
      <c r="H8" s="170" t="s">
        <v>19</v>
      </c>
      <c r="I8" s="2" t="s">
        <v>27</v>
      </c>
      <c r="J8" s="40" t="s">
        <v>714</v>
      </c>
      <c r="K8" s="170" t="s">
        <v>19</v>
      </c>
      <c r="L8" s="170" t="s">
        <v>20</v>
      </c>
      <c r="M8" s="170" t="s">
        <v>19</v>
      </c>
      <c r="N8" s="154" t="s">
        <v>27</v>
      </c>
      <c r="O8" s="40" t="s">
        <v>714</v>
      </c>
      <c r="P8" s="170" t="s">
        <v>19</v>
      </c>
      <c r="Q8" s="170" t="s">
        <v>20</v>
      </c>
      <c r="R8" s="170" t="s">
        <v>19</v>
      </c>
      <c r="S8" s="154" t="s">
        <v>27</v>
      </c>
      <c r="T8" s="779" t="s">
        <v>1</v>
      </c>
      <c r="U8" s="780"/>
      <c r="V8" s="170" t="s">
        <v>23</v>
      </c>
      <c r="W8" s="154" t="s">
        <v>27</v>
      </c>
    </row>
    <row r="9" spans="1:23">
      <c r="A9" s="738"/>
      <c r="B9" s="690"/>
      <c r="C9" s="725"/>
      <c r="D9" s="725"/>
      <c r="E9" s="40" t="s">
        <v>24</v>
      </c>
      <c r="F9" s="170" t="s">
        <v>25</v>
      </c>
      <c r="G9" s="170" t="s">
        <v>25</v>
      </c>
      <c r="H9" s="170" t="s">
        <v>26</v>
      </c>
      <c r="I9" s="2" t="s">
        <v>28</v>
      </c>
      <c r="J9" s="40" t="s">
        <v>24</v>
      </c>
      <c r="K9" s="170" t="s">
        <v>25</v>
      </c>
      <c r="L9" s="170" t="s">
        <v>25</v>
      </c>
      <c r="M9" s="170" t="s">
        <v>26</v>
      </c>
      <c r="N9" s="2" t="s">
        <v>28</v>
      </c>
      <c r="O9" s="40" t="s">
        <v>24</v>
      </c>
      <c r="P9" s="170" t="s">
        <v>25</v>
      </c>
      <c r="Q9" s="170" t="s">
        <v>25</v>
      </c>
      <c r="R9" s="170" t="s">
        <v>26</v>
      </c>
      <c r="S9" s="2" t="s">
        <v>28</v>
      </c>
      <c r="T9" s="781" t="s">
        <v>24</v>
      </c>
      <c r="U9" s="782"/>
      <c r="V9" s="170" t="s">
        <v>19</v>
      </c>
      <c r="W9" s="2" t="s">
        <v>28</v>
      </c>
    </row>
    <row r="10" spans="1:23" ht="17.25" customHeight="1" thickBot="1">
      <c r="A10" s="739"/>
      <c r="B10" s="690"/>
      <c r="C10" s="725"/>
      <c r="D10" s="725"/>
      <c r="E10" s="40" t="s">
        <v>701</v>
      </c>
      <c r="F10" s="40" t="s">
        <v>701</v>
      </c>
      <c r="G10" s="170" t="s">
        <v>731</v>
      </c>
      <c r="H10" s="40" t="s">
        <v>701</v>
      </c>
      <c r="I10" s="2" t="s">
        <v>732</v>
      </c>
      <c r="J10" s="40" t="s">
        <v>701</v>
      </c>
      <c r="K10" s="40" t="s">
        <v>701</v>
      </c>
      <c r="L10" s="170" t="s">
        <v>731</v>
      </c>
      <c r="M10" s="40" t="s">
        <v>701</v>
      </c>
      <c r="N10" s="2" t="s">
        <v>732</v>
      </c>
      <c r="O10" s="40" t="s">
        <v>701</v>
      </c>
      <c r="P10" s="40" t="s">
        <v>701</v>
      </c>
      <c r="Q10" s="170" t="s">
        <v>731</v>
      </c>
      <c r="R10" s="40" t="s">
        <v>701</v>
      </c>
      <c r="S10" s="2" t="s">
        <v>732</v>
      </c>
      <c r="T10" s="677" t="s">
        <v>701</v>
      </c>
      <c r="U10" s="783"/>
      <c r="V10" s="40" t="s">
        <v>701</v>
      </c>
      <c r="W10" s="2" t="s">
        <v>733</v>
      </c>
    </row>
    <row r="11" spans="1:23" ht="15" customHeight="1">
      <c r="A11" s="685" t="s">
        <v>667</v>
      </c>
      <c r="B11" s="47" t="s">
        <v>153</v>
      </c>
      <c r="C11" s="361" t="s">
        <v>6</v>
      </c>
      <c r="D11" s="368" t="str">
        <f>VLOOKUP(B11,RBC!$B$8:$K$268,10,FALSE)</f>
        <v>HI3</v>
      </c>
      <c r="E11" s="590">
        <v>3.15E-2</v>
      </c>
      <c r="F11" s="285">
        <f>VLOOKUP($B11,RBC!$B$5:$J$269,3,FALSE)</f>
        <v>5.5999999999999995E-4</v>
      </c>
      <c r="G11" s="286">
        <f>IF(F11="--","--",E11/F11)</f>
        <v>56.250000000000007</v>
      </c>
      <c r="H11" s="285">
        <f>VLOOKUP($B11,RBC!$B$5:$J$269,4,FALSE)</f>
        <v>5.0000000000000001E-3</v>
      </c>
      <c r="I11" s="362">
        <f>IF(H11="--","--",E11/H11)</f>
        <v>6.3</v>
      </c>
      <c r="J11" s="591">
        <v>1.3859999999999999E-2</v>
      </c>
      <c r="K11" s="285">
        <f>VLOOKUP($B11,RBC!$B$5:$J$269,5,FALSE)</f>
        <v>1.4E-2</v>
      </c>
      <c r="L11" s="313">
        <f>IF(K11="--","--",J11/K11)</f>
        <v>0.98999999999999988</v>
      </c>
      <c r="M11" s="285">
        <f>VLOOKUP($B11,RBC!$B$5:$J$269,6,FALSE)</f>
        <v>3.6999999999999998E-2</v>
      </c>
      <c r="N11" s="287">
        <f>IF(M11="--","--",J11/M11)</f>
        <v>0.3745945945945946</v>
      </c>
      <c r="O11" s="590">
        <v>1.3859999999999999E-2</v>
      </c>
      <c r="P11" s="285">
        <f>VLOOKUP($B11,RBC!$B$5:$J$269,7,FALSE)</f>
        <v>6.7000000000000002E-3</v>
      </c>
      <c r="Q11" s="313">
        <f>IF(P11="--","--",O11/P11)</f>
        <v>2.0686567164179102</v>
      </c>
      <c r="R11" s="285">
        <f>VLOOKUP($B11,RBC!$B$5:$J$269,8,FALSE)</f>
        <v>3.6999999999999998E-2</v>
      </c>
      <c r="S11" s="287">
        <f>IF(R11="--","--",O11/R11)</f>
        <v>0.3745945945945946</v>
      </c>
      <c r="T11" s="769">
        <v>0.20712328767123289</v>
      </c>
      <c r="U11" s="770"/>
      <c r="V11" s="285">
        <f>VLOOKUP($B11,RBC!$B$5:$J$269,9,FALSE)</f>
        <v>0.03</v>
      </c>
      <c r="W11" s="362">
        <f>IF(V11="--","--",T11/V11)</f>
        <v>6.9041095890410968</v>
      </c>
    </row>
    <row r="12" spans="1:23" ht="15" customHeight="1">
      <c r="A12" s="684"/>
      <c r="B12" s="35" t="s">
        <v>346</v>
      </c>
      <c r="C12" s="98" t="s">
        <v>7</v>
      </c>
      <c r="D12" s="369" t="str">
        <f>VLOOKUP(B12,RBC!$B$8:$K$268,10,FALSE)</f>
        <v>HI3</v>
      </c>
      <c r="E12" s="592">
        <v>1.575E-2</v>
      </c>
      <c r="F12" s="278" t="str">
        <f>VLOOKUP($B12,RBC!$B$5:$J$269,3,FALSE)</f>
        <v>--</v>
      </c>
      <c r="G12" s="279" t="str">
        <f>IF(F12="--","--",E12/F12)</f>
        <v>--</v>
      </c>
      <c r="H12" s="278">
        <f>VLOOKUP($B12,RBC!$B$5:$J$269,4,FALSE)</f>
        <v>0.09</v>
      </c>
      <c r="I12" s="281">
        <f t="shared" ref="I12:I13" si="0">IF(H12="--","--",E12/H12)</f>
        <v>0.17500000000000002</v>
      </c>
      <c r="J12" s="593">
        <v>6.9299999999999995E-3</v>
      </c>
      <c r="K12" s="278" t="str">
        <f>VLOOKUP($B12,RBC!$B$5:$J$269,5,FALSE)</f>
        <v>--</v>
      </c>
      <c r="L12" s="303" t="str">
        <f t="shared" ref="L12:L13" si="1">IF(K12="--","--",J12/K12)</f>
        <v>--</v>
      </c>
      <c r="M12" s="278">
        <f>VLOOKUP($B12,RBC!$B$5:$J$269,6,FALSE)</f>
        <v>0.4</v>
      </c>
      <c r="N12" s="305">
        <f t="shared" ref="N12:N13" si="2">IF(M12="--","--",J12/M12)</f>
        <v>1.7324999999999997E-2</v>
      </c>
      <c r="O12" s="592">
        <v>6.9299999999999995E-3</v>
      </c>
      <c r="P12" s="278" t="str">
        <f>VLOOKUP($B12,RBC!$B$5:$J$269,7,FALSE)</f>
        <v>--</v>
      </c>
      <c r="Q12" s="303" t="str">
        <f t="shared" ref="Q12:Q13" si="3">IF(P12="--","--",O12/P12)</f>
        <v>--</v>
      </c>
      <c r="R12" s="278">
        <f>VLOOKUP($B12,RBC!$B$5:$J$269,8,FALSE)</f>
        <v>0.4</v>
      </c>
      <c r="S12" s="305">
        <f t="shared" ref="S12:S13" si="4">IF(R12="--","--",O12/R12)</f>
        <v>1.7324999999999997E-2</v>
      </c>
      <c r="T12" s="771">
        <v>0.13500000000000001</v>
      </c>
      <c r="U12" s="772"/>
      <c r="V12" s="278">
        <f>VLOOKUP($B12,RBC!$B$5:$J$269,9,FALSE)</f>
        <v>0.3</v>
      </c>
      <c r="W12" s="281">
        <f>IF(V12="--","--",T12/V12)</f>
        <v>0.45000000000000007</v>
      </c>
    </row>
    <row r="13" spans="1:23" ht="15" customHeight="1" thickBot="1">
      <c r="A13" s="684"/>
      <c r="B13" s="35" t="s">
        <v>370</v>
      </c>
      <c r="C13" s="98" t="s">
        <v>8</v>
      </c>
      <c r="D13" s="369" t="str">
        <f>VLOOKUP(B13,RBC!$B$8:$K$268,10,FALSE)</f>
        <v>HI3</v>
      </c>
      <c r="E13" s="592">
        <v>4.9500000000000002E-2</v>
      </c>
      <c r="F13" s="278">
        <f>VLOOKUP($B13,RBC!$B$5:$J$269,3,FALSE)</f>
        <v>3.8E-3</v>
      </c>
      <c r="G13" s="279">
        <f>IF(F13="--","--",E13/F13)</f>
        <v>13.026315789473685</v>
      </c>
      <c r="H13" s="278">
        <f>VLOOKUP($B13,RBC!$B$5:$J$269,4,FALSE)</f>
        <v>1.4E-2</v>
      </c>
      <c r="I13" s="304">
        <f t="shared" si="0"/>
        <v>3.5357142857142856</v>
      </c>
      <c r="J13" s="593">
        <v>2.1779999999999997E-2</v>
      </c>
      <c r="K13" s="278">
        <f>VLOOKUP($B13,RBC!$B$5:$J$269,5,FALSE)</f>
        <v>0.1</v>
      </c>
      <c r="L13" s="303">
        <f t="shared" si="1"/>
        <v>0.21779999999999997</v>
      </c>
      <c r="M13" s="278">
        <f>VLOOKUP($B13,RBC!$B$5:$J$269,6,FALSE)</f>
        <v>6.2E-2</v>
      </c>
      <c r="N13" s="281">
        <f t="shared" si="2"/>
        <v>0.35129032258064513</v>
      </c>
      <c r="O13" s="592">
        <v>2.1779999999999997E-2</v>
      </c>
      <c r="P13" s="278">
        <f>VLOOKUP($B13,RBC!$B$5:$J$269,7,FALSE)</f>
        <v>4.5999999999999999E-2</v>
      </c>
      <c r="Q13" s="303">
        <f t="shared" si="3"/>
        <v>0.47347826086956518</v>
      </c>
      <c r="R13" s="278">
        <f>VLOOKUP($B13,RBC!$B$5:$J$269,8,FALSE)</f>
        <v>6.2E-2</v>
      </c>
      <c r="S13" s="304">
        <f t="shared" si="4"/>
        <v>0.35129032258064513</v>
      </c>
      <c r="T13" s="773">
        <v>0.32547945205479456</v>
      </c>
      <c r="U13" s="774"/>
      <c r="V13" s="278">
        <f>VLOOKUP($B13,RBC!$B$5:$J$269,9,FALSE)</f>
        <v>0.2</v>
      </c>
      <c r="W13" s="304">
        <f>IF(V13="--","--",T13/V13)</f>
        <v>1.6273972602739728</v>
      </c>
    </row>
    <row r="14" spans="1:23" ht="18.75" customHeight="1" thickBot="1">
      <c r="A14" s="740"/>
      <c r="B14" s="748" t="s">
        <v>719</v>
      </c>
      <c r="C14" s="749"/>
      <c r="D14" s="749"/>
      <c r="E14" s="400"/>
      <c r="F14" s="400"/>
      <c r="G14" s="367">
        <f>SUM(G11:G13)</f>
        <v>69.276315789473699</v>
      </c>
      <c r="H14" s="295"/>
      <c r="I14" s="363">
        <f>SUM(I11:I13)</f>
        <v>10.010714285714286</v>
      </c>
      <c r="J14" s="401"/>
      <c r="K14" s="400"/>
      <c r="L14" s="373">
        <f>SUM(L11:L13)</f>
        <v>1.2077999999999998</v>
      </c>
      <c r="M14" s="400"/>
      <c r="N14" s="374">
        <f>SUM(N11:N13)</f>
        <v>0.74320991717523976</v>
      </c>
      <c r="O14" s="402"/>
      <c r="P14" s="400"/>
      <c r="Q14" s="373">
        <f>SUM(Q11:Q13)</f>
        <v>2.5421349772874753</v>
      </c>
      <c r="R14" s="295"/>
      <c r="S14" s="374">
        <f>SUM(S11:S13)</f>
        <v>0.74320991717523976</v>
      </c>
      <c r="T14" s="775"/>
      <c r="U14" s="776"/>
      <c r="V14" s="400"/>
      <c r="W14" s="364">
        <f>SUM(W11:W13)</f>
        <v>8.9815068493150694</v>
      </c>
    </row>
    <row r="15" spans="1:23">
      <c r="A15" s="685" t="s">
        <v>717</v>
      </c>
      <c r="B15" s="35" t="s">
        <v>93</v>
      </c>
      <c r="C15" s="5" t="s">
        <v>9</v>
      </c>
      <c r="D15" s="369" t="str">
        <f>VLOOKUP(B15,RBC!$B$8:$K$268,10,FALSE)</f>
        <v>HI3</v>
      </c>
      <c r="E15" s="101">
        <v>5.0999999999999996</v>
      </c>
      <c r="F15" s="278">
        <f>VLOOKUP($B15,RBC!$B$5:$J$269,3,FALSE)</f>
        <v>0.45</v>
      </c>
      <c r="G15" s="279">
        <f>IF(F15="--","--",E15/F15)</f>
        <v>11.333333333333332</v>
      </c>
      <c r="H15" s="278">
        <f>VLOOKUP($B15,RBC!$B$5:$J$269,4,FALSE)</f>
        <v>140</v>
      </c>
      <c r="I15" s="305">
        <f>IF(H15="--","--",E15/H15)</f>
        <v>3.6428571428571428E-2</v>
      </c>
      <c r="J15" s="41">
        <v>3</v>
      </c>
      <c r="K15" s="278">
        <f>VLOOKUP($B15,RBC!$B$5:$J$269,5,FALSE)</f>
        <v>12</v>
      </c>
      <c r="L15" s="309">
        <f>IF(K15="--","--",J15/K15)</f>
        <v>0.25</v>
      </c>
      <c r="M15" s="278">
        <f>VLOOKUP($B15,RBC!$B$5:$J$269,6,FALSE)</f>
        <v>620</v>
      </c>
      <c r="N15" s="310">
        <f>IF(M15="NA","--",J15/M15)</f>
        <v>4.8387096774193551E-3</v>
      </c>
      <c r="O15" s="41">
        <v>3</v>
      </c>
      <c r="P15" s="278">
        <f>VLOOKUP($B15,RBC!$B$5:$J$269,7,FALSE)</f>
        <v>5.5</v>
      </c>
      <c r="Q15" s="303">
        <f>IF(P15="--","--",O15/P15)</f>
        <v>0.54545454545454541</v>
      </c>
      <c r="R15" s="278">
        <f>VLOOKUP($B15,RBC!$B$5:$J$269,8,FALSE)</f>
        <v>620</v>
      </c>
      <c r="S15" s="310">
        <f>IF(R15="--","--",O15/R15)</f>
        <v>4.8387096774193551E-3</v>
      </c>
      <c r="T15" s="757">
        <v>38.1</v>
      </c>
      <c r="U15" s="758"/>
      <c r="V15" s="278">
        <f>VLOOKUP($B15,RBC!$B$5:$J$269,9,FALSE)</f>
        <v>470</v>
      </c>
      <c r="W15" s="281">
        <f>IF(V15="--","--",T15/V15)</f>
        <v>8.1063829787234046E-2</v>
      </c>
    </row>
    <row r="16" spans="1:23">
      <c r="A16" s="684"/>
      <c r="B16" s="35" t="s">
        <v>96</v>
      </c>
      <c r="C16" s="5" t="s">
        <v>10</v>
      </c>
      <c r="D16" s="369" t="str">
        <f>VLOOKUP(B16,RBC!$B$8:$K$268,10,FALSE)</f>
        <v>HI3</v>
      </c>
      <c r="E16" s="101">
        <v>4.08</v>
      </c>
      <c r="F16" s="278" t="str">
        <f>VLOOKUP($B16,RBC!$B$5:$J$269,3,FALSE)</f>
        <v>--</v>
      </c>
      <c r="G16" s="279" t="str">
        <f>IF(F16="--","--",E16/F16)</f>
        <v>--</v>
      </c>
      <c r="H16" s="370">
        <f>VLOOKUP($B16,RBC!$B$5:$J$269,4,FALSE)</f>
        <v>31000</v>
      </c>
      <c r="I16" s="289">
        <f t="shared" ref="I16:I17" si="5">IF(H16="--","--",E16/H16)</f>
        <v>1.3161290322580646E-4</v>
      </c>
      <c r="J16" s="41">
        <v>2.4</v>
      </c>
      <c r="K16" s="278" t="str">
        <f>VLOOKUP($B16,RBC!$B$5:$J$269,5,FALSE)</f>
        <v>--</v>
      </c>
      <c r="L16" s="309" t="str">
        <f>IF(K16="--","--",J16/K16)</f>
        <v>--</v>
      </c>
      <c r="M16" s="370">
        <f>VLOOKUP($B16,RBC!$B$5:$J$269,6,FALSE)</f>
        <v>140000</v>
      </c>
      <c r="N16" s="314">
        <f>IF(M16="NA","--",J16/M16)</f>
        <v>1.7142857142857142E-5</v>
      </c>
      <c r="O16" s="41">
        <v>2.4</v>
      </c>
      <c r="P16" s="278" t="str">
        <f>VLOOKUP($B16,RBC!$B$5:$J$269,7,FALSE)</f>
        <v>--</v>
      </c>
      <c r="Q16" s="303" t="str">
        <f t="shared" ref="Q16:Q17" si="6">IF(P16="--","--",O16/P16)</f>
        <v>--</v>
      </c>
      <c r="R16" s="370">
        <f>VLOOKUP($B16,RBC!$B$5:$J$269,8,FALSE)</f>
        <v>140000</v>
      </c>
      <c r="S16" s="314">
        <f t="shared" ref="S16:S17" si="7">IF(R16="--","--",O16/R16)</f>
        <v>1.7142857142857142E-5</v>
      </c>
      <c r="T16" s="759">
        <v>31.75</v>
      </c>
      <c r="U16" s="760"/>
      <c r="V16" s="370">
        <f>VLOOKUP($B16,RBC!$B$5:$J$269,9,FALSE)</f>
        <v>62000</v>
      </c>
      <c r="W16" s="310">
        <f>IF(V16="--","--",T16/V16)</f>
        <v>5.1209677419354843E-4</v>
      </c>
    </row>
    <row r="17" spans="1:23" ht="15.75" thickBot="1">
      <c r="A17" s="684"/>
      <c r="B17" s="35" t="s">
        <v>99</v>
      </c>
      <c r="C17" s="5" t="s">
        <v>11</v>
      </c>
      <c r="D17" s="369" t="str">
        <f>VLOOKUP(B17,RBC!$B$8:$K$268,10,FALSE)</f>
        <v>HI5</v>
      </c>
      <c r="E17" s="101">
        <v>0.51</v>
      </c>
      <c r="F17" s="278" t="str">
        <f>VLOOKUP($B17,RBC!$B$5:$J$269,3,FALSE)</f>
        <v>--</v>
      </c>
      <c r="G17" s="279" t="str">
        <f>IF(F17="--","--",E17/F17)</f>
        <v>--</v>
      </c>
      <c r="H17" s="278">
        <f>VLOOKUP($B17,RBC!$B$5:$J$269,4,FALSE)</f>
        <v>0.35</v>
      </c>
      <c r="I17" s="280">
        <f t="shared" si="5"/>
        <v>1.4571428571428573</v>
      </c>
      <c r="J17" s="41">
        <v>0.3</v>
      </c>
      <c r="K17" s="278" t="str">
        <f>VLOOKUP($B17,RBC!$B$5:$J$269,5,FALSE)</f>
        <v>--</v>
      </c>
      <c r="L17" s="309" t="str">
        <f>IF(K17="--","--",J17/K17)</f>
        <v>--</v>
      </c>
      <c r="M17" s="278">
        <f>VLOOKUP($B17,RBC!$B$5:$J$269,6,FALSE)</f>
        <v>1.5</v>
      </c>
      <c r="N17" s="281">
        <f>IF(M17="NA","--",J17/M17)</f>
        <v>0.19999999999999998</v>
      </c>
      <c r="O17" s="41">
        <v>0.3</v>
      </c>
      <c r="P17" s="278" t="str">
        <f>VLOOKUP($B17,RBC!$B$5:$J$269,7,FALSE)</f>
        <v>--</v>
      </c>
      <c r="Q17" s="303" t="str">
        <f t="shared" si="6"/>
        <v>--</v>
      </c>
      <c r="R17" s="278">
        <f>VLOOKUP($B17,RBC!$B$5:$J$269,8,FALSE)</f>
        <v>1.5</v>
      </c>
      <c r="S17" s="281">
        <f t="shared" si="7"/>
        <v>0.19999999999999998</v>
      </c>
      <c r="T17" s="761">
        <v>6.3500000000000005</v>
      </c>
      <c r="U17" s="762"/>
      <c r="V17" s="278">
        <f>VLOOKUP($B17,RBC!$B$5:$J$269,9,FALSE)</f>
        <v>6.9</v>
      </c>
      <c r="W17" s="281">
        <f>IF(V17="--","--",T17/V17)</f>
        <v>0.92028985507246375</v>
      </c>
    </row>
    <row r="18" spans="1:23" ht="20.25" customHeight="1" thickBot="1">
      <c r="A18" s="741"/>
      <c r="B18" s="748" t="s">
        <v>720</v>
      </c>
      <c r="C18" s="749"/>
      <c r="D18" s="749"/>
      <c r="E18" s="295"/>
      <c r="F18" s="295"/>
      <c r="G18" s="367">
        <f>SUM(G15:G17)</f>
        <v>11.333333333333332</v>
      </c>
      <c r="H18" s="295"/>
      <c r="I18" s="364">
        <f>SUM(I15:I17)</f>
        <v>1.4937030414746546</v>
      </c>
      <c r="J18" s="295"/>
      <c r="K18" s="297"/>
      <c r="L18" s="375">
        <f>SUM(L15:L17)</f>
        <v>0.25</v>
      </c>
      <c r="M18" s="295"/>
      <c r="N18" s="364">
        <f>SUM(N15:N17)</f>
        <v>0.20485585253456221</v>
      </c>
      <c r="O18" s="295"/>
      <c r="P18" s="297"/>
      <c r="Q18" s="375">
        <f>SUM(Q15:Q17)</f>
        <v>0.54545454545454541</v>
      </c>
      <c r="R18" s="295"/>
      <c r="S18" s="364">
        <f>SUM(S15:S17)</f>
        <v>0.20485585253456221</v>
      </c>
      <c r="T18" s="763"/>
      <c r="U18" s="764"/>
      <c r="V18" s="153"/>
      <c r="W18" s="381">
        <f>SUM(W15:W17)</f>
        <v>1.0018657816338914</v>
      </c>
    </row>
    <row r="19" spans="1:23">
      <c r="A19" s="684" t="s">
        <v>685</v>
      </c>
      <c r="B19" s="765" t="s">
        <v>686</v>
      </c>
      <c r="C19" s="766"/>
      <c r="D19" s="766"/>
      <c r="E19" s="766"/>
      <c r="F19" s="766"/>
      <c r="G19" s="371">
        <f>SUM(G14,G18)</f>
        <v>80.609649122807028</v>
      </c>
      <c r="H19" s="55"/>
      <c r="I19" s="365">
        <f>SUM(I14,I18)</f>
        <v>11.504417327188941</v>
      </c>
      <c r="J19" s="6"/>
      <c r="K19" s="50"/>
      <c r="L19" s="376">
        <f>SUM(L14,L18)</f>
        <v>1.4577999999999998</v>
      </c>
      <c r="M19" s="50"/>
      <c r="N19" s="376">
        <f>SUM(N14,N18)</f>
        <v>0.94806576970980194</v>
      </c>
      <c r="O19" s="52"/>
      <c r="P19" s="50"/>
      <c r="Q19" s="371">
        <f>SUM(Q14,Q18)</f>
        <v>3.0875895227420207</v>
      </c>
      <c r="R19" s="170"/>
      <c r="S19" s="376">
        <f>SUM(S14,S18)</f>
        <v>0.94806576970980194</v>
      </c>
      <c r="T19" s="763"/>
      <c r="U19" s="764"/>
      <c r="V19" s="51"/>
      <c r="W19" s="382">
        <f>SUM(W14,W18)</f>
        <v>9.9833726309489599</v>
      </c>
    </row>
    <row r="20" spans="1:23" ht="15.75" thickBot="1">
      <c r="A20" s="684"/>
      <c r="B20" s="767" t="s">
        <v>693</v>
      </c>
      <c r="C20" s="768"/>
      <c r="D20" s="768"/>
      <c r="E20" s="768"/>
      <c r="F20" s="768"/>
      <c r="G20" s="372">
        <f>G19</f>
        <v>80.609649122807028</v>
      </c>
      <c r="H20" s="53"/>
      <c r="I20" s="366">
        <f>I19</f>
        <v>11.504417327188941</v>
      </c>
      <c r="J20" s="54"/>
      <c r="K20" s="53"/>
      <c r="L20" s="372">
        <f>L19</f>
        <v>1.4577999999999998</v>
      </c>
      <c r="M20" s="53"/>
      <c r="N20" s="366">
        <f>N19</f>
        <v>0.94806576970980194</v>
      </c>
      <c r="O20" s="54"/>
      <c r="P20" s="53"/>
      <c r="Q20" s="372">
        <f>Q19</f>
        <v>3.0875895227420207</v>
      </c>
      <c r="R20" s="53"/>
      <c r="S20" s="372">
        <f>S19</f>
        <v>0.94806576970980194</v>
      </c>
      <c r="T20" s="751"/>
      <c r="U20" s="752"/>
      <c r="V20" s="50"/>
      <c r="W20" s="383">
        <f>W19</f>
        <v>9.9833726309489599</v>
      </c>
    </row>
    <row r="21" spans="1:23" s="10" customFormat="1" ht="15" customHeight="1">
      <c r="A21" s="742" t="s">
        <v>728</v>
      </c>
      <c r="B21" s="743"/>
      <c r="C21" s="743"/>
      <c r="D21" s="744"/>
      <c r="E21" s="674" t="s">
        <v>718</v>
      </c>
      <c r="F21" s="666"/>
      <c r="G21" s="733" t="str">
        <f>IF(AND(I20&gt;3.04,COUNTIF($D$11:$D$17,"HI3")&gt;0,COUNTIF($D$11:$D$17,"HI5")&gt;0),"Yes","No")</f>
        <v>Yes</v>
      </c>
      <c r="H21" s="735" t="s">
        <v>721</v>
      </c>
      <c r="I21" s="755">
        <f>IF(G21="Yes",(SUMIF($D$11:$D$17,"HI3",I11:I17)/3+SUMIF($D$11:$D$17,"HI5",I11:I17)/5),"N/A")</f>
        <v>3.6405200614439326</v>
      </c>
      <c r="J21" s="674" t="s">
        <v>718</v>
      </c>
      <c r="K21" s="666"/>
      <c r="L21" s="733" t="str">
        <f>IF(AND(N20&gt;3.04,COUNTIF($D$11:$D$17,"HI3")&gt;0,COUNTIF($D$11:$D$17,"HI5")&gt;0),"Yes","No")</f>
        <v>No</v>
      </c>
      <c r="M21" s="735" t="s">
        <v>721</v>
      </c>
      <c r="N21" s="755" t="str">
        <f>IF(L21="Yes",(SUMIF($D$11:$D$17,"HI3",N11:N17)/3+SUMIF($D$11:$D$17,"HI5",N11:N17)/5),"N/A")</f>
        <v>N/A</v>
      </c>
      <c r="O21" s="674" t="s">
        <v>718</v>
      </c>
      <c r="P21" s="666"/>
      <c r="Q21" s="733" t="str">
        <f>IF(AND(S20&gt;3.04,COUNTIF($D$11:$D$17,"HI3")&gt;0,COUNTIF($D$11:$D$17,"HI5")&gt;0),"Yes","No")</f>
        <v>No</v>
      </c>
      <c r="R21" s="735" t="s">
        <v>721</v>
      </c>
      <c r="S21" s="777" t="str">
        <f>IF(Q21="Yes",(SUMIF($D$11:$D$17,"HI3",S11:S17)/3+SUMIF($D$11:$D$17,"HI5",S11:S17)/5),"N/A")</f>
        <v>N/A</v>
      </c>
      <c r="T21" s="753" t="s">
        <v>718</v>
      </c>
      <c r="U21" s="733" t="str">
        <f>IF(AND(W20&gt;3.04,COUNTIF($D$11:$D$17,"HI3")&gt;0,COUNTIF($D$11:$D$17,"HI5")&gt;0),"Yes","No")</f>
        <v>Yes</v>
      </c>
      <c r="V21" s="735" t="s">
        <v>721</v>
      </c>
      <c r="W21" s="755">
        <f>IF(U21="Yes",(SUMIF($D$11:$D$17,"HI3",W11:W17)/3+SUMIF($D$11:$D$17,"HI5",W11:W17)/5),"N/A")</f>
        <v>3.2050855629733253</v>
      </c>
    </row>
    <row r="22" spans="1:23" s="10" customFormat="1" ht="15" customHeight="1" thickBot="1">
      <c r="A22" s="745"/>
      <c r="B22" s="746"/>
      <c r="C22" s="746"/>
      <c r="D22" s="747"/>
      <c r="E22" s="731"/>
      <c r="F22" s="732"/>
      <c r="G22" s="734"/>
      <c r="H22" s="736"/>
      <c r="I22" s="756"/>
      <c r="J22" s="731"/>
      <c r="K22" s="732"/>
      <c r="L22" s="734"/>
      <c r="M22" s="736"/>
      <c r="N22" s="756"/>
      <c r="O22" s="731"/>
      <c r="P22" s="732"/>
      <c r="Q22" s="734"/>
      <c r="R22" s="736"/>
      <c r="S22" s="778"/>
      <c r="T22" s="754"/>
      <c r="U22" s="734"/>
      <c r="V22" s="736"/>
      <c r="W22" s="756"/>
    </row>
    <row r="23" spans="1:23" s="10" customFormat="1" ht="15.75" thickBot="1">
      <c r="B23" s="750"/>
      <c r="C23" s="750"/>
      <c r="D23" s="750"/>
      <c r="E23" s="750"/>
      <c r="F23" s="75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</row>
    <row r="24" spans="1:23" s="10" customFormat="1" ht="17.25">
      <c r="B24" s="712" t="s">
        <v>665</v>
      </c>
      <c r="C24" s="713"/>
      <c r="D24" s="719" t="s">
        <v>664</v>
      </c>
      <c r="E24" s="716" t="s">
        <v>729</v>
      </c>
      <c r="F24" s="717"/>
      <c r="G24" s="718"/>
      <c r="H24" s="12"/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s="10" customFormat="1" ht="18" thickBot="1">
      <c r="B25" s="714"/>
      <c r="C25" s="715"/>
      <c r="D25" s="720"/>
      <c r="E25" s="209" t="s">
        <v>679</v>
      </c>
      <c r="F25" s="233" t="s">
        <v>680</v>
      </c>
      <c r="G25" s="232" t="s">
        <v>730</v>
      </c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</row>
    <row r="26" spans="1:23" s="10" customFormat="1">
      <c r="B26" s="721" t="s">
        <v>84</v>
      </c>
      <c r="C26" s="722"/>
      <c r="D26" s="254">
        <v>0.5</v>
      </c>
      <c r="E26" s="703">
        <v>0.5</v>
      </c>
      <c r="F26" s="704"/>
      <c r="G26" s="707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</row>
    <row r="27" spans="1:23" s="10" customFormat="1">
      <c r="B27" s="660" t="s">
        <v>77</v>
      </c>
      <c r="C27" s="661"/>
      <c r="D27" s="196">
        <v>25</v>
      </c>
      <c r="E27" s="705">
        <v>1</v>
      </c>
      <c r="F27" s="706"/>
      <c r="G27" s="708"/>
      <c r="H27" s="203"/>
      <c r="I27" s="204"/>
      <c r="J27" s="203"/>
      <c r="K27" s="203"/>
      <c r="L27" s="203"/>
      <c r="M27" s="203"/>
      <c r="N27" s="204"/>
      <c r="O27" s="203"/>
      <c r="P27" s="203"/>
      <c r="Q27" s="203"/>
      <c r="R27" s="203"/>
      <c r="S27" s="204"/>
      <c r="T27" s="204"/>
      <c r="U27" s="203"/>
      <c r="V27" s="203"/>
      <c r="W27" s="204"/>
    </row>
    <row r="28" spans="1:23" s="10" customFormat="1">
      <c r="B28" s="660" t="s">
        <v>78</v>
      </c>
      <c r="C28" s="661"/>
      <c r="D28" s="196">
        <v>50</v>
      </c>
      <c r="E28" s="252" t="s">
        <v>681</v>
      </c>
      <c r="F28" s="234">
        <v>5</v>
      </c>
      <c r="G28" s="235">
        <v>1</v>
      </c>
      <c r="H28" s="203"/>
      <c r="I28" s="204"/>
      <c r="J28" s="203"/>
      <c r="K28" s="203"/>
      <c r="L28" s="203"/>
      <c r="M28" s="203"/>
      <c r="N28" s="204"/>
      <c r="O28" s="203"/>
      <c r="P28" s="203"/>
      <c r="Q28" s="203"/>
      <c r="R28" s="203"/>
      <c r="S28" s="204"/>
      <c r="T28" s="204"/>
      <c r="U28" s="203"/>
      <c r="V28" s="203"/>
      <c r="W28" s="204"/>
    </row>
    <row r="29" spans="1:23" s="10" customFormat="1">
      <c r="B29" s="660" t="s">
        <v>79</v>
      </c>
      <c r="C29" s="661"/>
      <c r="D29" s="196">
        <v>200</v>
      </c>
      <c r="E29" s="252" t="s">
        <v>682</v>
      </c>
      <c r="F29" s="234">
        <v>10</v>
      </c>
      <c r="G29" s="235">
        <v>2</v>
      </c>
      <c r="H29" s="203"/>
      <c r="I29" s="204"/>
      <c r="J29" s="203"/>
      <c r="K29" s="203"/>
      <c r="L29" s="203"/>
      <c r="M29" s="203"/>
      <c r="N29" s="204"/>
      <c r="O29" s="203"/>
      <c r="P29" s="203"/>
      <c r="Q29" s="203"/>
      <c r="R29" s="203"/>
      <c r="S29" s="204"/>
      <c r="T29" s="204"/>
      <c r="U29" s="203"/>
      <c r="V29" s="203"/>
      <c r="W29" s="204"/>
    </row>
    <row r="30" spans="1:23" s="10" customFormat="1" ht="15.75" thickBot="1">
      <c r="B30" s="662" t="s">
        <v>80</v>
      </c>
      <c r="C30" s="663"/>
      <c r="D30" s="255">
        <v>500</v>
      </c>
      <c r="E30" s="253" t="s">
        <v>683</v>
      </c>
      <c r="F30" s="236">
        <v>20</v>
      </c>
      <c r="G30" s="237">
        <v>4</v>
      </c>
    </row>
    <row r="31" spans="1:23" s="10" customFormat="1">
      <c r="E31" s="723"/>
      <c r="F31" s="723"/>
    </row>
    <row r="32" spans="1:23" s="10" customFormat="1">
      <c r="A32" s="12" t="s">
        <v>13</v>
      </c>
      <c r="E32" s="27"/>
      <c r="F32" s="27"/>
    </row>
    <row r="33" spans="1:5" s="37" customFormat="1" ht="14.25">
      <c r="A33" s="13" t="s">
        <v>722</v>
      </c>
      <c r="D33" s="193"/>
      <c r="E33" s="193"/>
    </row>
    <row r="34" spans="1:5" s="37" customFormat="1" ht="16.5">
      <c r="A34" s="13" t="s">
        <v>723</v>
      </c>
      <c r="D34" s="13"/>
      <c r="E34" s="13"/>
    </row>
    <row r="35" spans="1:5" s="37" customFormat="1" ht="16.5">
      <c r="A35" s="13" t="s">
        <v>724</v>
      </c>
      <c r="D35" s="13"/>
      <c r="E35" s="13"/>
    </row>
    <row r="36" spans="1:5" s="37" customFormat="1" ht="16.5">
      <c r="A36" s="13" t="s">
        <v>725</v>
      </c>
      <c r="D36" s="13"/>
    </row>
    <row r="37" spans="1:5" s="37" customFormat="1" ht="14.25">
      <c r="A37" s="13" t="s">
        <v>869</v>
      </c>
      <c r="D37" s="13"/>
    </row>
    <row r="38" spans="1:5" s="13" customFormat="1" ht="14.25">
      <c r="A38" s="13" t="s">
        <v>727</v>
      </c>
    </row>
    <row r="39" spans="1:5" s="13" customFormat="1" ht="14.25">
      <c r="A39" s="13" t="s">
        <v>698</v>
      </c>
    </row>
    <row r="40" spans="1:5" s="13" customFormat="1" ht="14.25">
      <c r="A40" s="13" t="s">
        <v>699</v>
      </c>
    </row>
    <row r="41" spans="1:5" s="13" customFormat="1" ht="14.25">
      <c r="A41" s="13" t="s">
        <v>700</v>
      </c>
    </row>
    <row r="42" spans="1:5" s="37" customFormat="1" ht="14.25">
      <c r="A42" s="13" t="s">
        <v>866</v>
      </c>
      <c r="D42" s="13"/>
    </row>
    <row r="43" spans="1:5" s="37" customFormat="1" ht="14.25">
      <c r="A43" s="13"/>
      <c r="D43" s="13"/>
    </row>
    <row r="44" spans="1:5" s="37" customFormat="1" ht="14.25">
      <c r="A44" s="13" t="s">
        <v>640</v>
      </c>
    </row>
    <row r="45" spans="1:5" s="37" customFormat="1" ht="14.25">
      <c r="A45" s="13" t="s">
        <v>632</v>
      </c>
    </row>
    <row r="46" spans="1:5" s="37" customFormat="1" ht="14.25">
      <c r="A46" s="13" t="s">
        <v>641</v>
      </c>
    </row>
    <row r="47" spans="1:5" s="37" customFormat="1" ht="14.25">
      <c r="A47" s="37" t="s">
        <v>74</v>
      </c>
    </row>
    <row r="48" spans="1:5" s="37" customFormat="1" ht="14.25"/>
    <row r="49" spans="1:1" s="37" customFormat="1">
      <c r="A49" s="14" t="s">
        <v>697</v>
      </c>
    </row>
    <row r="50" spans="1:1" s="37" customFormat="1" ht="14.25">
      <c r="A50" s="37" t="s">
        <v>696</v>
      </c>
    </row>
  </sheetData>
  <mergeCells count="59">
    <mergeCell ref="V21:V22"/>
    <mergeCell ref="W21:W22"/>
    <mergeCell ref="B19:F19"/>
    <mergeCell ref="B20:F20"/>
    <mergeCell ref="T7:W7"/>
    <mergeCell ref="T11:U11"/>
    <mergeCell ref="T12:U12"/>
    <mergeCell ref="T13:U13"/>
    <mergeCell ref="T14:U14"/>
    <mergeCell ref="O21:P22"/>
    <mergeCell ref="Q21:Q22"/>
    <mergeCell ref="R21:R22"/>
    <mergeCell ref="S21:S22"/>
    <mergeCell ref="T8:U8"/>
    <mergeCell ref="T9:U9"/>
    <mergeCell ref="T10:U10"/>
    <mergeCell ref="T15:U15"/>
    <mergeCell ref="T16:U16"/>
    <mergeCell ref="T17:U17"/>
    <mergeCell ref="T18:U18"/>
    <mergeCell ref="T19:U19"/>
    <mergeCell ref="T20:U20"/>
    <mergeCell ref="T21:T22"/>
    <mergeCell ref="U21:U22"/>
    <mergeCell ref="I21:I22"/>
    <mergeCell ref="J21:K22"/>
    <mergeCell ref="L21:L22"/>
    <mergeCell ref="M21:M22"/>
    <mergeCell ref="N21:N22"/>
    <mergeCell ref="G26:G27"/>
    <mergeCell ref="B27:C27"/>
    <mergeCell ref="E27:F27"/>
    <mergeCell ref="B28:C28"/>
    <mergeCell ref="B29:C29"/>
    <mergeCell ref="B30:C30"/>
    <mergeCell ref="A7:A10"/>
    <mergeCell ref="A11:A14"/>
    <mergeCell ref="A15:A18"/>
    <mergeCell ref="A19:A20"/>
    <mergeCell ref="A21:D22"/>
    <mergeCell ref="B18:D18"/>
    <mergeCell ref="B14:D14"/>
    <mergeCell ref="B23:F23"/>
    <mergeCell ref="E31:F31"/>
    <mergeCell ref="B7:B10"/>
    <mergeCell ref="C7:C10"/>
    <mergeCell ref="B5:W5"/>
    <mergeCell ref="E7:I7"/>
    <mergeCell ref="J7:N7"/>
    <mergeCell ref="O7:R7"/>
    <mergeCell ref="D7:D10"/>
    <mergeCell ref="B24:C25"/>
    <mergeCell ref="D24:D25"/>
    <mergeCell ref="E24:G24"/>
    <mergeCell ref="B26:C26"/>
    <mergeCell ref="E26:F26"/>
    <mergeCell ref="E21:F22"/>
    <mergeCell ref="G21:G22"/>
    <mergeCell ref="H21:H22"/>
  </mergeCells>
  <conditionalFormatting sqref="G21">
    <cfRule type="cellIs" dxfId="31" priority="7" operator="equal">
      <formula>"No"</formula>
    </cfRule>
    <cfRule type="cellIs" dxfId="30" priority="8" operator="equal">
      <formula>"Yes"</formula>
    </cfRule>
  </conditionalFormatting>
  <conditionalFormatting sqref="L21">
    <cfRule type="cellIs" dxfId="29" priority="5" operator="equal">
      <formula>"No"</formula>
    </cfRule>
    <cfRule type="cellIs" dxfId="28" priority="6" operator="equal">
      <formula>"Yes"</formula>
    </cfRule>
  </conditionalFormatting>
  <conditionalFormatting sqref="Q21">
    <cfRule type="cellIs" dxfId="27" priority="3" operator="equal">
      <formula>"No"</formula>
    </cfRule>
    <cfRule type="cellIs" dxfId="26" priority="4" operator="equal">
      <formula>"Yes"</formula>
    </cfRule>
  </conditionalFormatting>
  <conditionalFormatting sqref="U21">
    <cfRule type="cellIs" dxfId="25" priority="1" operator="equal">
      <formula>"No"</formula>
    </cfRule>
    <cfRule type="cellIs" dxfId="24" priority="2" operator="equal">
      <formula>"Yes"</formula>
    </cfRule>
  </conditionalFormatting>
  <pageMargins left="0.7" right="0.7" top="0.75" bottom="0.75" header="0.3" footer="0.3"/>
  <pageSetup paperSize="3" scale="43" orientation="landscape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  <pageSetUpPr fitToPage="1"/>
  </sheetPr>
  <dimension ref="A3:W62"/>
  <sheetViews>
    <sheetView view="pageBreakPreview" zoomScale="80" zoomScaleNormal="90" zoomScaleSheetLayoutView="80" workbookViewId="0">
      <selection activeCell="A48" sqref="A48"/>
    </sheetView>
  </sheetViews>
  <sheetFormatPr defaultColWidth="9.140625" defaultRowHeight="15"/>
  <cols>
    <col min="1" max="1" width="14.42578125" style="10" customWidth="1"/>
    <col min="2" max="2" width="25.5703125" style="10" bestFit="1" customWidth="1"/>
    <col min="3" max="3" width="20.140625" style="10" customWidth="1"/>
    <col min="4" max="4" width="12.140625" style="10" customWidth="1"/>
    <col min="5" max="5" width="14" style="10" customWidth="1"/>
    <col min="6" max="6" width="9" style="10" bestFit="1" customWidth="1"/>
    <col min="7" max="7" width="8.42578125" style="10" bestFit="1" customWidth="1"/>
    <col min="8" max="8" width="12" style="10" bestFit="1" customWidth="1"/>
    <col min="9" max="9" width="12" style="10" customWidth="1"/>
    <col min="10" max="10" width="13.85546875" style="10" customWidth="1"/>
    <col min="11" max="12" width="8.42578125" style="10" bestFit="1" customWidth="1"/>
    <col min="13" max="13" width="12" style="10" bestFit="1" customWidth="1"/>
    <col min="14" max="14" width="12.5703125" style="10" customWidth="1"/>
    <col min="15" max="15" width="14.5703125" style="10" customWidth="1"/>
    <col min="16" max="17" width="8.42578125" style="10" bestFit="1" customWidth="1"/>
    <col min="18" max="18" width="12" style="10" bestFit="1" customWidth="1"/>
    <col min="19" max="19" width="13.42578125" style="10" customWidth="1"/>
    <col min="20" max="20" width="14.42578125" style="10" customWidth="1"/>
    <col min="21" max="21" width="8.140625" style="10" bestFit="1" customWidth="1"/>
    <col min="22" max="22" width="13.5703125" style="10" bestFit="1" customWidth="1"/>
    <col min="23" max="23" width="12" style="10" customWidth="1"/>
    <col min="24" max="16384" width="9.140625" style="10"/>
  </cols>
  <sheetData>
    <row r="3" spans="1:23">
      <c r="V3"/>
    </row>
    <row r="5" spans="1:23" ht="20.25">
      <c r="B5" s="634" t="s">
        <v>47</v>
      </c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634"/>
      <c r="S5" s="634"/>
      <c r="T5" s="634"/>
      <c r="U5" s="634"/>
      <c r="V5" s="634"/>
    </row>
    <row r="6" spans="1:23" ht="15.75" thickBot="1"/>
    <row r="7" spans="1:23" ht="15.75" thickBot="1">
      <c r="A7" s="737" t="s">
        <v>678</v>
      </c>
      <c r="B7" s="689" t="s">
        <v>690</v>
      </c>
      <c r="C7" s="724" t="s">
        <v>3</v>
      </c>
      <c r="D7" s="156"/>
      <c r="E7" s="779" t="s">
        <v>14</v>
      </c>
      <c r="F7" s="780"/>
      <c r="G7" s="780"/>
      <c r="H7" s="780"/>
      <c r="I7" s="780"/>
      <c r="J7" s="726" t="s">
        <v>15</v>
      </c>
      <c r="K7" s="727"/>
      <c r="L7" s="727"/>
      <c r="M7" s="727"/>
      <c r="N7" s="728"/>
      <c r="O7" s="726" t="s">
        <v>16</v>
      </c>
      <c r="P7" s="727"/>
      <c r="Q7" s="727"/>
      <c r="R7" s="727"/>
      <c r="S7" s="728"/>
      <c r="T7" s="780" t="s">
        <v>17</v>
      </c>
      <c r="U7" s="780"/>
      <c r="V7" s="780"/>
      <c r="W7" s="797"/>
    </row>
    <row r="8" spans="1:23">
      <c r="A8" s="738"/>
      <c r="B8" s="690"/>
      <c r="C8" s="725"/>
      <c r="D8" s="155" t="s">
        <v>26</v>
      </c>
      <c r="E8" s="392" t="s">
        <v>715</v>
      </c>
      <c r="F8" s="153" t="s">
        <v>19</v>
      </c>
      <c r="G8" s="153" t="s">
        <v>20</v>
      </c>
      <c r="H8" s="153" t="s">
        <v>19</v>
      </c>
      <c r="I8" s="153" t="s">
        <v>27</v>
      </c>
      <c r="J8" s="392" t="s">
        <v>715</v>
      </c>
      <c r="K8" s="153" t="s">
        <v>19</v>
      </c>
      <c r="L8" s="153" t="s">
        <v>20</v>
      </c>
      <c r="M8" s="153" t="s">
        <v>19</v>
      </c>
      <c r="N8" s="154" t="s">
        <v>27</v>
      </c>
      <c r="O8" s="392" t="s">
        <v>715</v>
      </c>
      <c r="P8" s="153" t="s">
        <v>19</v>
      </c>
      <c r="Q8" s="153" t="s">
        <v>20</v>
      </c>
      <c r="R8" s="153" t="s">
        <v>19</v>
      </c>
      <c r="S8" s="154" t="s">
        <v>27</v>
      </c>
      <c r="T8" s="779" t="s">
        <v>1</v>
      </c>
      <c r="U8" s="780"/>
      <c r="V8" s="153" t="s">
        <v>23</v>
      </c>
      <c r="W8" s="154" t="s">
        <v>27</v>
      </c>
    </row>
    <row r="9" spans="1:23">
      <c r="A9" s="738"/>
      <c r="B9" s="690"/>
      <c r="C9" s="725"/>
      <c r="D9" s="155" t="s">
        <v>635</v>
      </c>
      <c r="E9" s="40" t="s">
        <v>24</v>
      </c>
      <c r="F9" s="170" t="s">
        <v>25</v>
      </c>
      <c r="G9" s="170" t="s">
        <v>25</v>
      </c>
      <c r="H9" s="170" t="s">
        <v>26</v>
      </c>
      <c r="I9" s="170" t="s">
        <v>28</v>
      </c>
      <c r="J9" s="40" t="s">
        <v>24</v>
      </c>
      <c r="K9" s="170" t="s">
        <v>25</v>
      </c>
      <c r="L9" s="170" t="s">
        <v>25</v>
      </c>
      <c r="M9" s="170" t="s">
        <v>26</v>
      </c>
      <c r="N9" s="2" t="s">
        <v>28</v>
      </c>
      <c r="O9" s="40" t="s">
        <v>24</v>
      </c>
      <c r="P9" s="170" t="s">
        <v>25</v>
      </c>
      <c r="Q9" s="170" t="s">
        <v>25</v>
      </c>
      <c r="R9" s="170" t="s">
        <v>26</v>
      </c>
      <c r="S9" s="2" t="s">
        <v>28</v>
      </c>
      <c r="T9" s="781" t="s">
        <v>24</v>
      </c>
      <c r="U9" s="782"/>
      <c r="V9" s="170" t="s">
        <v>19</v>
      </c>
      <c r="W9" s="2" t="s">
        <v>28</v>
      </c>
    </row>
    <row r="10" spans="1:23" ht="18" thickBot="1">
      <c r="A10" s="739"/>
      <c r="B10" s="691"/>
      <c r="C10" s="787"/>
      <c r="D10" s="387"/>
      <c r="E10" s="44" t="s">
        <v>701</v>
      </c>
      <c r="F10" s="224" t="s">
        <v>701</v>
      </c>
      <c r="G10" s="224" t="s">
        <v>731</v>
      </c>
      <c r="H10" s="224" t="s">
        <v>701</v>
      </c>
      <c r="I10" s="224" t="s">
        <v>732</v>
      </c>
      <c r="J10" s="44" t="s">
        <v>701</v>
      </c>
      <c r="K10" s="224" t="s">
        <v>701</v>
      </c>
      <c r="L10" s="224" t="s">
        <v>731</v>
      </c>
      <c r="M10" s="224" t="s">
        <v>701</v>
      </c>
      <c r="N10" s="224" t="s">
        <v>732</v>
      </c>
      <c r="O10" s="44" t="s">
        <v>701</v>
      </c>
      <c r="P10" s="224" t="s">
        <v>701</v>
      </c>
      <c r="Q10" s="224" t="s">
        <v>731</v>
      </c>
      <c r="R10" s="224" t="s">
        <v>701</v>
      </c>
      <c r="S10" s="3" t="s">
        <v>732</v>
      </c>
      <c r="T10" s="677" t="s">
        <v>701</v>
      </c>
      <c r="U10" s="678"/>
      <c r="V10" s="224" t="s">
        <v>701</v>
      </c>
      <c r="W10" s="3" t="s">
        <v>733</v>
      </c>
    </row>
    <row r="11" spans="1:23" ht="15" customHeight="1" thickBot="1">
      <c r="A11" s="789" t="s">
        <v>667</v>
      </c>
      <c r="B11" s="785" t="s">
        <v>734</v>
      </c>
      <c r="C11" s="786"/>
      <c r="D11" s="397"/>
      <c r="E11" s="816"/>
      <c r="F11" s="817"/>
      <c r="G11" s="295" t="s">
        <v>40</v>
      </c>
      <c r="H11" s="380"/>
      <c r="I11" s="295" t="s">
        <v>41</v>
      </c>
      <c r="J11" s="811"/>
      <c r="K11" s="812"/>
      <c r="L11" s="295" t="s">
        <v>42</v>
      </c>
      <c r="M11" s="380"/>
      <c r="N11" s="296" t="s">
        <v>43</v>
      </c>
      <c r="O11" s="811"/>
      <c r="P11" s="812"/>
      <c r="Q11" s="295" t="s">
        <v>44</v>
      </c>
      <c r="R11" s="380"/>
      <c r="S11" s="296" t="s">
        <v>45</v>
      </c>
      <c r="T11" s="813"/>
      <c r="U11" s="813"/>
      <c r="V11" s="813"/>
      <c r="W11" s="296" t="s">
        <v>46</v>
      </c>
    </row>
    <row r="12" spans="1:23">
      <c r="A12" s="790"/>
      <c r="B12" s="35" t="s">
        <v>153</v>
      </c>
      <c r="C12" s="98" t="s">
        <v>6</v>
      </c>
      <c r="D12" s="274" t="str">
        <f>VLOOKUP(B12,RBC!$B$8:$K$268,10,FALSE)</f>
        <v>HI3</v>
      </c>
      <c r="E12" s="22">
        <v>1.9E-3</v>
      </c>
      <c r="F12" s="278">
        <f>VLOOKUP($B12,RBC!$B$5:$J$269,3,FALSE)</f>
        <v>5.5999999999999995E-4</v>
      </c>
      <c r="G12" s="303">
        <f>IF(F12="--","--",E12/F12)</f>
        <v>3.3928571428571432</v>
      </c>
      <c r="H12" s="278">
        <f>VLOOKUP($B12,RBC!$B$5:$J$269,4,FALSE)</f>
        <v>5.0000000000000001E-3</v>
      </c>
      <c r="I12" s="309">
        <f>IF(H12="--","--",E12/H12)</f>
        <v>0.38</v>
      </c>
      <c r="J12" s="22">
        <v>8.3000000000000001E-4</v>
      </c>
      <c r="K12" s="278">
        <f>VLOOKUP($B12,RBC!$B$5:$J$269,5,FALSE)</f>
        <v>1.4E-2</v>
      </c>
      <c r="L12" s="378">
        <f>IF(K12="--","--",J12/K12)</f>
        <v>5.9285714285714282E-2</v>
      </c>
      <c r="M12" s="278">
        <f>VLOOKUP($B12,RBC!$B$5:$J$269,6,FALSE)</f>
        <v>3.6999999999999998E-2</v>
      </c>
      <c r="N12" s="305">
        <f>IF(M12="--","--",J12/M12)</f>
        <v>2.2432432432432432E-2</v>
      </c>
      <c r="O12" s="22">
        <v>8.3000000000000001E-4</v>
      </c>
      <c r="P12" s="278">
        <f>VLOOKUP($B12,RBC!$B$5:$J$269,7,FALSE)</f>
        <v>6.7000000000000002E-3</v>
      </c>
      <c r="Q12" s="309">
        <f>IF(P12="--","--",O12/P12)</f>
        <v>0.12388059701492538</v>
      </c>
      <c r="R12" s="278">
        <f>VLOOKUP($B12,RBC!$B$5:$J$269,8,FALSE)</f>
        <v>3.6999999999999998E-2</v>
      </c>
      <c r="S12" s="305">
        <f>IF(R12="--","--",O12/R12)</f>
        <v>2.2432432432432432E-2</v>
      </c>
      <c r="T12" s="760">
        <v>2.1000000000000001E-2</v>
      </c>
      <c r="U12" s="760"/>
      <c r="V12" s="278">
        <f>VLOOKUP($B12,RBC!$B$5:$J$269,9,FALSE)</f>
        <v>0.03</v>
      </c>
      <c r="W12" s="281">
        <f>IF(V12="--","--",T12/V12)</f>
        <v>0.70000000000000007</v>
      </c>
    </row>
    <row r="13" spans="1:23" ht="15" customHeight="1">
      <c r="A13" s="790"/>
      <c r="B13" s="35" t="s">
        <v>346</v>
      </c>
      <c r="C13" s="98" t="s">
        <v>7</v>
      </c>
      <c r="D13" s="274" t="str">
        <f>VLOOKUP(B13,RBC!$B$8:$K$268,10,FALSE)</f>
        <v>HI3</v>
      </c>
      <c r="E13" s="22">
        <v>8.9999999999999998E-4</v>
      </c>
      <c r="F13" s="278" t="str">
        <f>VLOOKUP($B13,RBC!$B$5:$J$269,3,FALSE)</f>
        <v>--</v>
      </c>
      <c r="G13" s="279" t="str">
        <f>IF(F13="--","--",E13/F13)</f>
        <v>--</v>
      </c>
      <c r="H13" s="278">
        <f>VLOOKUP($B13,RBC!$B$5:$J$269,4,FALSE)</f>
        <v>0.09</v>
      </c>
      <c r="I13" s="378">
        <f t="shared" ref="I13" si="0">IF(H13="--","--",E13/H13)</f>
        <v>0.01</v>
      </c>
      <c r="J13" s="22">
        <v>4.2000000000000002E-4</v>
      </c>
      <c r="K13" s="278" t="str">
        <f>VLOOKUP($B13,RBC!$B$5:$J$269,5,FALSE)</f>
        <v>--</v>
      </c>
      <c r="L13" s="303" t="str">
        <f t="shared" ref="L13:L14" si="1">IF(K13="--","--",J13/K13)</f>
        <v>--</v>
      </c>
      <c r="M13" s="278">
        <f>VLOOKUP($B13,RBC!$B$5:$J$269,6,FALSE)</f>
        <v>0.4</v>
      </c>
      <c r="N13" s="310">
        <f t="shared" ref="N13:N14" si="2">IF(M13="--","--",J13/M13)</f>
        <v>1.0499999999999999E-3</v>
      </c>
      <c r="O13" s="22">
        <v>4.2000000000000002E-4</v>
      </c>
      <c r="P13" s="278" t="str">
        <f>VLOOKUP($B13,RBC!$B$5:$J$269,7,FALSE)</f>
        <v>--</v>
      </c>
      <c r="Q13" s="303" t="str">
        <f t="shared" ref="Q13:Q14" si="3">IF(P13="--","--",O13/P13)</f>
        <v>--</v>
      </c>
      <c r="R13" s="278">
        <f>VLOOKUP($B13,RBC!$B$5:$J$269,8,FALSE)</f>
        <v>0.4</v>
      </c>
      <c r="S13" s="310">
        <f t="shared" ref="S13:S14" si="4">IF(R13="--","--",O13/R13)</f>
        <v>1.0499999999999999E-3</v>
      </c>
      <c r="T13" s="760">
        <v>1.4E-2</v>
      </c>
      <c r="U13" s="760"/>
      <c r="V13" s="278">
        <f>VLOOKUP($B13,RBC!$B$5:$J$269,9,FALSE)</f>
        <v>0.3</v>
      </c>
      <c r="W13" s="305">
        <f>IF(V13="--","--",T13/V13)</f>
        <v>4.6666666666666669E-2</v>
      </c>
    </row>
    <row r="14" spans="1:23" ht="15" customHeight="1" thickBot="1">
      <c r="A14" s="790"/>
      <c r="B14" s="35" t="s">
        <v>370</v>
      </c>
      <c r="C14" s="98" t="s">
        <v>8</v>
      </c>
      <c r="D14" s="274" t="str">
        <f>VLOOKUP(B14,RBC!$B$8:$K$268,10,FALSE)</f>
        <v>HI3</v>
      </c>
      <c r="E14" s="22">
        <v>3.0000000000000001E-3</v>
      </c>
      <c r="F14" s="278">
        <f>VLOOKUP($B14,RBC!$B$5:$J$269,3,FALSE)</f>
        <v>3.8E-3</v>
      </c>
      <c r="G14" s="309">
        <f>IF(F14="--","--",E14/F14)</f>
        <v>0.78947368421052633</v>
      </c>
      <c r="H14" s="278">
        <f>VLOOKUP($B14,RBC!$B$5:$J$269,4,FALSE)</f>
        <v>1.4E-2</v>
      </c>
      <c r="I14" s="309">
        <f>IF(H14="--","--",E14/H14)</f>
        <v>0.21428571428571427</v>
      </c>
      <c r="J14" s="22">
        <v>1.2999999999999999E-3</v>
      </c>
      <c r="K14" s="278">
        <f>VLOOKUP($B14,RBC!$B$5:$J$269,5,FALSE)</f>
        <v>0.1</v>
      </c>
      <c r="L14" s="378">
        <f t="shared" si="1"/>
        <v>1.2999999999999999E-2</v>
      </c>
      <c r="M14" s="278">
        <f>VLOOKUP($B14,RBC!$B$5:$J$269,6,FALSE)</f>
        <v>6.2E-2</v>
      </c>
      <c r="N14" s="305">
        <f t="shared" si="2"/>
        <v>2.0967741935483869E-2</v>
      </c>
      <c r="O14" s="22">
        <v>1.2999999999999999E-3</v>
      </c>
      <c r="P14" s="278">
        <f>VLOOKUP($B14,RBC!$B$5:$J$269,7,FALSE)</f>
        <v>4.5999999999999999E-2</v>
      </c>
      <c r="Q14" s="378">
        <f t="shared" si="3"/>
        <v>2.8260869565217391E-2</v>
      </c>
      <c r="R14" s="278">
        <f>VLOOKUP($B14,RBC!$B$5:$J$269,8,FALSE)</f>
        <v>6.2E-2</v>
      </c>
      <c r="S14" s="305">
        <f t="shared" si="4"/>
        <v>2.0967741935483869E-2</v>
      </c>
      <c r="T14" s="760">
        <v>3.3000000000000002E-2</v>
      </c>
      <c r="U14" s="760"/>
      <c r="V14" s="278">
        <f>VLOOKUP($B14,RBC!$B$5:$J$269,9,FALSE)</f>
        <v>0.2</v>
      </c>
      <c r="W14" s="281">
        <f>IF(V14="--","--",T14/V14)</f>
        <v>0.16500000000000001</v>
      </c>
    </row>
    <row r="15" spans="1:23" s="33" customFormat="1" ht="15.75" customHeight="1" thickBot="1">
      <c r="A15" s="790"/>
      <c r="B15" s="748" t="s">
        <v>29</v>
      </c>
      <c r="C15" s="749"/>
      <c r="D15" s="749"/>
      <c r="E15" s="749"/>
      <c r="F15" s="749"/>
      <c r="G15" s="367">
        <f>SUM(G12:G14)</f>
        <v>4.1823308270676698</v>
      </c>
      <c r="H15" s="295"/>
      <c r="I15" s="373">
        <f>SUM(I12:I14)</f>
        <v>0.60428571428571431</v>
      </c>
      <c r="J15" s="814"/>
      <c r="K15" s="815"/>
      <c r="L15" s="375">
        <f>SUM(L12:L14)</f>
        <v>7.2285714285714286E-2</v>
      </c>
      <c r="M15" s="395"/>
      <c r="N15" s="374">
        <f>SUM(N12:N14)</f>
        <v>4.4450174367916304E-2</v>
      </c>
      <c r="O15" s="809"/>
      <c r="P15" s="810"/>
      <c r="Q15" s="375">
        <f>SUM(Q12:Q14)</f>
        <v>0.15214146658014277</v>
      </c>
      <c r="R15" s="295"/>
      <c r="S15" s="394">
        <f>SUM(S12:S14)</f>
        <v>4.4450174367916304E-2</v>
      </c>
      <c r="T15" s="808"/>
      <c r="U15" s="808"/>
      <c r="V15" s="808"/>
      <c r="W15" s="374">
        <f>SUM(W12:W14)</f>
        <v>0.91166666666666674</v>
      </c>
    </row>
    <row r="16" spans="1:23" ht="15.75" customHeight="1" thickBot="1">
      <c r="A16" s="789" t="s">
        <v>668</v>
      </c>
      <c r="B16" s="785" t="s">
        <v>734</v>
      </c>
      <c r="C16" s="786"/>
      <c r="D16" s="297"/>
      <c r="E16" s="811"/>
      <c r="F16" s="812"/>
      <c r="G16" s="295" t="s">
        <v>40</v>
      </c>
      <c r="H16" s="380"/>
      <c r="I16" s="295" t="s">
        <v>41</v>
      </c>
      <c r="J16" s="811"/>
      <c r="K16" s="812"/>
      <c r="L16" s="295" t="s">
        <v>42</v>
      </c>
      <c r="M16" s="380"/>
      <c r="N16" s="296" t="s">
        <v>43</v>
      </c>
      <c r="O16" s="396"/>
      <c r="P16" s="380"/>
      <c r="Q16" s="295" t="s">
        <v>44</v>
      </c>
      <c r="R16" s="380"/>
      <c r="S16" s="296" t="s">
        <v>45</v>
      </c>
      <c r="T16" s="796"/>
      <c r="U16" s="796"/>
      <c r="V16" s="380"/>
      <c r="W16" s="296" t="s">
        <v>46</v>
      </c>
    </row>
    <row r="17" spans="1:23">
      <c r="A17" s="790"/>
      <c r="B17" s="35" t="s">
        <v>93</v>
      </c>
      <c r="C17" s="5" t="s">
        <v>9</v>
      </c>
      <c r="D17" s="369" t="str">
        <f>VLOOKUP(B17,RBC!$B$8:$K$268,10,FALSE)</f>
        <v>HI3</v>
      </c>
      <c r="E17" s="22">
        <v>0.31</v>
      </c>
      <c r="F17" s="278">
        <f>VLOOKUP($B17,RBC!$B$5:$J$269,3,FALSE)</f>
        <v>0.45</v>
      </c>
      <c r="G17" s="309">
        <f>IF(F17="--","--",E17/F17)</f>
        <v>0.68888888888888888</v>
      </c>
      <c r="H17" s="278">
        <f>VLOOKUP($B17,RBC!$B$5:$J$269,4,FALSE)</f>
        <v>140</v>
      </c>
      <c r="I17" s="379">
        <f>IF(H17="--","--",E17/H17)</f>
        <v>2.2142857142857142E-3</v>
      </c>
      <c r="J17" s="22">
        <v>0.18</v>
      </c>
      <c r="K17" s="278">
        <f>VLOOKUP($B17,RBC!$B$5:$J$269,5,FALSE)</f>
        <v>12</v>
      </c>
      <c r="L17" s="378">
        <f>IF(K17="--","--",J17/K17)</f>
        <v>1.4999999999999999E-2</v>
      </c>
      <c r="M17" s="278">
        <f>VLOOKUP($B17,RBC!$B$5:$J$269,6,FALSE)</f>
        <v>620</v>
      </c>
      <c r="N17" s="289">
        <f>IF(M17="NA","--",J17/M17)</f>
        <v>2.9032258064516127E-4</v>
      </c>
      <c r="O17" s="22">
        <v>0.18</v>
      </c>
      <c r="P17" s="278">
        <f>VLOOKUP($B17,RBC!$B$5:$J$269,7,FALSE)</f>
        <v>5.5</v>
      </c>
      <c r="Q17" s="378">
        <f>IF(P17="--","--",O17/P17)</f>
        <v>3.2727272727272723E-2</v>
      </c>
      <c r="R17" s="278">
        <f>VLOOKUP($B17,RBC!$B$5:$J$269,8,FALSE)</f>
        <v>620</v>
      </c>
      <c r="S17" s="289">
        <f>IF(R17="--","--",O17/R17)</f>
        <v>2.9032258064516127E-4</v>
      </c>
      <c r="T17" s="760">
        <v>3.8</v>
      </c>
      <c r="U17" s="760"/>
      <c r="V17" s="278">
        <f>VLOOKUP($B17,RBC!$B$5:$J$269,9,FALSE)</f>
        <v>470</v>
      </c>
      <c r="W17" s="310">
        <f>IF(V17="--","--",T17/V17)</f>
        <v>8.0851063829787233E-3</v>
      </c>
    </row>
    <row r="18" spans="1:23">
      <c r="A18" s="790"/>
      <c r="B18" s="35" t="s">
        <v>96</v>
      </c>
      <c r="C18" s="5" t="s">
        <v>10</v>
      </c>
      <c r="D18" s="369" t="str">
        <f>VLOOKUP(B18,RBC!$B$8:$K$268,10,FALSE)</f>
        <v>HI3</v>
      </c>
      <c r="E18" s="22">
        <v>0.24</v>
      </c>
      <c r="F18" s="278" t="str">
        <f>VLOOKUP($B18,RBC!$B$5:$J$269,3,FALSE)</f>
        <v>--</v>
      </c>
      <c r="G18" s="279" t="str">
        <f>IF(F18="--","--",E18/F18)</f>
        <v>--</v>
      </c>
      <c r="H18" s="370">
        <f>VLOOKUP($B18,RBC!$B$5:$J$269,4,FALSE)</f>
        <v>31000</v>
      </c>
      <c r="I18" s="399">
        <f t="shared" ref="I18:I19" si="5">IF(H18="--","--",E18/H18)</f>
        <v>7.741935483870968E-6</v>
      </c>
      <c r="J18" s="22">
        <v>0.14000000000000001</v>
      </c>
      <c r="K18" s="278" t="str">
        <f>VLOOKUP($B18,RBC!$B$5:$J$269,5,FALSE)</f>
        <v>--</v>
      </c>
      <c r="L18" s="309" t="str">
        <f>IF(K18="--","--",J18/K18)</f>
        <v>--</v>
      </c>
      <c r="M18" s="370">
        <f>VLOOKUP($B18,RBC!$B$5:$J$269,6,FALSE)</f>
        <v>140000</v>
      </c>
      <c r="N18" s="388">
        <f>IF(M18="NA","--",J18/M18)</f>
        <v>1.0000000000000002E-6</v>
      </c>
      <c r="O18" s="22">
        <v>0.14000000000000001</v>
      </c>
      <c r="P18" s="278" t="str">
        <f>VLOOKUP($B18,RBC!$B$5:$J$269,7,FALSE)</f>
        <v>--</v>
      </c>
      <c r="Q18" s="303" t="str">
        <f t="shared" ref="Q18:Q19" si="6">IF(P18="--","--",O18/P18)</f>
        <v>--</v>
      </c>
      <c r="R18" s="370">
        <f>VLOOKUP($B18,RBC!$B$5:$J$269,8,FALSE)</f>
        <v>140000</v>
      </c>
      <c r="S18" s="388">
        <f t="shared" ref="S18:S19" si="7">IF(R18="--","--",O18/R18)</f>
        <v>1.0000000000000002E-6</v>
      </c>
      <c r="T18" s="760">
        <v>3.2</v>
      </c>
      <c r="U18" s="760"/>
      <c r="V18" s="278">
        <f>VLOOKUP($B18,RBC!$B$5:$J$269,9,FALSE)</f>
        <v>62000</v>
      </c>
      <c r="W18" s="314">
        <f>IF(V18="--","--",T18/V18)</f>
        <v>5.1612903225806458E-5</v>
      </c>
    </row>
    <row r="19" spans="1:23" ht="15.75" thickBot="1">
      <c r="A19" s="790"/>
      <c r="B19" s="35" t="s">
        <v>99</v>
      </c>
      <c r="C19" s="5" t="s">
        <v>11</v>
      </c>
      <c r="D19" s="369" t="str">
        <f>VLOOKUP(B19,RBC!$B$8:$K$268,10,FALSE)</f>
        <v>HI5</v>
      </c>
      <c r="E19" s="22">
        <v>3.1E-2</v>
      </c>
      <c r="F19" s="278" t="str">
        <f>VLOOKUP($B19,RBC!$B$5:$J$269,3,FALSE)</f>
        <v>--</v>
      </c>
      <c r="G19" s="279" t="str">
        <f>IF(F19="--","--",E19/F19)</f>
        <v>--</v>
      </c>
      <c r="H19" s="278">
        <f>VLOOKUP($B19,RBC!$B$5:$J$269,4,FALSE)</f>
        <v>0.35</v>
      </c>
      <c r="I19" s="378">
        <f t="shared" si="5"/>
        <v>8.8571428571428579E-2</v>
      </c>
      <c r="J19" s="22">
        <v>1.7999999999999999E-2</v>
      </c>
      <c r="K19" s="278" t="str">
        <f>VLOOKUP($B19,RBC!$B$5:$J$269,5,FALSE)</f>
        <v>--</v>
      </c>
      <c r="L19" s="309" t="str">
        <f>IF(K19="--","--",J19/K19)</f>
        <v>--</v>
      </c>
      <c r="M19" s="278">
        <f>VLOOKUP($B19,RBC!$B$5:$J$269,6,FALSE)</f>
        <v>1.5</v>
      </c>
      <c r="N19" s="305">
        <f>IF(M19="NA","--",J19/M19)</f>
        <v>1.1999999999999999E-2</v>
      </c>
      <c r="O19" s="22">
        <v>1.7999999999999999E-2</v>
      </c>
      <c r="P19" s="278" t="str">
        <f>VLOOKUP($B19,RBC!$B$5:$J$269,7,FALSE)</f>
        <v>--</v>
      </c>
      <c r="Q19" s="303" t="str">
        <f t="shared" si="6"/>
        <v>--</v>
      </c>
      <c r="R19" s="278">
        <f>VLOOKUP($B19,RBC!$B$5:$J$269,8,FALSE)</f>
        <v>1.5</v>
      </c>
      <c r="S19" s="305">
        <f t="shared" si="7"/>
        <v>1.1999999999999999E-2</v>
      </c>
      <c r="T19" s="760">
        <v>0.6</v>
      </c>
      <c r="U19" s="760"/>
      <c r="V19" s="278">
        <f>VLOOKUP($B19,RBC!$B$5:$J$269,9,FALSE)</f>
        <v>6.9</v>
      </c>
      <c r="W19" s="305">
        <f>IF(V19="--","--",T19/V19)</f>
        <v>8.6956521739130432E-2</v>
      </c>
    </row>
    <row r="20" spans="1:23" s="33" customFormat="1" ht="15.75" thickBot="1">
      <c r="A20" s="790"/>
      <c r="B20" s="748" t="s">
        <v>30</v>
      </c>
      <c r="C20" s="749"/>
      <c r="D20" s="749"/>
      <c r="E20" s="749"/>
      <c r="F20" s="749"/>
      <c r="G20" s="367">
        <f>SUM(G17:G19)</f>
        <v>0.68888888888888888</v>
      </c>
      <c r="H20" s="295"/>
      <c r="I20" s="373">
        <f>SUM(I17:I19)</f>
        <v>9.0793456221198166E-2</v>
      </c>
      <c r="J20" s="726"/>
      <c r="K20" s="727"/>
      <c r="L20" s="393">
        <f>SUM(L17:L19)</f>
        <v>1.4999999999999999E-2</v>
      </c>
      <c r="M20" s="295"/>
      <c r="N20" s="394">
        <f>SUM(N17:N19)</f>
        <v>1.2291322580645159E-2</v>
      </c>
      <c r="O20" s="726"/>
      <c r="P20" s="727"/>
      <c r="Q20" s="375">
        <f>SUM(Q17:Q19)</f>
        <v>3.2727272727272723E-2</v>
      </c>
      <c r="R20" s="295"/>
      <c r="S20" s="394">
        <f>SUM(S17:S19)</f>
        <v>1.2291322580645159E-2</v>
      </c>
      <c r="T20" s="808"/>
      <c r="U20" s="808"/>
      <c r="V20" s="808"/>
      <c r="W20" s="374">
        <f>SUM(W17:W19)</f>
        <v>9.5093241025334965E-2</v>
      </c>
    </row>
    <row r="21" spans="1:23" s="33" customFormat="1">
      <c r="A21" s="789" t="s">
        <v>685</v>
      </c>
      <c r="B21" s="798" t="s">
        <v>82</v>
      </c>
      <c r="C21" s="799"/>
      <c r="D21" s="799"/>
      <c r="E21" s="799"/>
      <c r="F21" s="799"/>
      <c r="G21" s="376">
        <f>SUM(G15,G20)</f>
        <v>4.8712197159565589</v>
      </c>
      <c r="H21" s="806"/>
      <c r="I21" s="389">
        <f>SUM(I15,I20)</f>
        <v>0.69507917050691248</v>
      </c>
      <c r="J21" s="781"/>
      <c r="K21" s="782"/>
      <c r="L21" s="389">
        <f>SUM(L15,L20)</f>
        <v>8.7285714285714286E-2</v>
      </c>
      <c r="M21" s="803"/>
      <c r="N21" s="398">
        <f>SUM(N15,N20)</f>
        <v>5.6741496948561461E-2</v>
      </c>
      <c r="O21" s="802"/>
      <c r="P21" s="803"/>
      <c r="Q21" s="376">
        <f>SUM(Q15,Q20)</f>
        <v>0.18486873930741549</v>
      </c>
      <c r="R21" s="782"/>
      <c r="S21" s="398">
        <f>SUM(S15,S20)</f>
        <v>5.6741496948561461E-2</v>
      </c>
      <c r="T21" s="800"/>
      <c r="U21" s="800"/>
      <c r="V21" s="800"/>
      <c r="W21" s="377">
        <f>SUM(W15,W20)</f>
        <v>1.0067599076920017</v>
      </c>
    </row>
    <row r="22" spans="1:23" s="33" customFormat="1" ht="15.75" thickBot="1">
      <c r="A22" s="790"/>
      <c r="B22" s="767" t="s">
        <v>81</v>
      </c>
      <c r="C22" s="768"/>
      <c r="D22" s="768"/>
      <c r="E22" s="768"/>
      <c r="F22" s="768"/>
      <c r="G22" s="372">
        <f>G21</f>
        <v>4.8712197159565589</v>
      </c>
      <c r="H22" s="807"/>
      <c r="I22" s="391">
        <f>I21</f>
        <v>0.69507917050691248</v>
      </c>
      <c r="J22" s="677"/>
      <c r="K22" s="678"/>
      <c r="L22" s="391">
        <f>L21</f>
        <v>8.7285714285714286E-2</v>
      </c>
      <c r="M22" s="805"/>
      <c r="N22" s="390">
        <f>N21</f>
        <v>5.6741496948561461E-2</v>
      </c>
      <c r="O22" s="804"/>
      <c r="P22" s="805"/>
      <c r="Q22" s="391">
        <f>Q21</f>
        <v>0.18486873930741549</v>
      </c>
      <c r="R22" s="678"/>
      <c r="S22" s="390">
        <f>S21</f>
        <v>5.6741496948561461E-2</v>
      </c>
      <c r="T22" s="801"/>
      <c r="U22" s="801"/>
      <c r="V22" s="801"/>
      <c r="W22" s="366">
        <f>W21</f>
        <v>1.0067599076920017</v>
      </c>
    </row>
    <row r="23" spans="1:23">
      <c r="A23" s="792" t="s">
        <v>744</v>
      </c>
      <c r="B23" s="693"/>
      <c r="C23" s="693"/>
      <c r="D23" s="793"/>
      <c r="E23" s="675" t="s">
        <v>718</v>
      </c>
      <c r="F23" s="676"/>
      <c r="G23" s="791" t="str">
        <f>IF(AND(I22&gt;3.04,COUNTIF($D$12:$D$19,"HI3")&gt;0,COUNTIF($D$12:$D$19,"HI5")&gt;0),"Yes","No")</f>
        <v>No</v>
      </c>
      <c r="H23" s="784" t="s">
        <v>721</v>
      </c>
      <c r="I23" s="755" t="str">
        <f>IF(G23="Yes",(SUMIF($D$12:$D$19,"HI3",I12:I19)/3+SUMIF($D$12:$D$19,"HI5",I12:I19)/5),"N/A")</f>
        <v>N/A</v>
      </c>
      <c r="J23" s="674" t="s">
        <v>718</v>
      </c>
      <c r="K23" s="666"/>
      <c r="L23" s="733" t="str">
        <f>IF(AND(N22&gt;3.04,COUNTIF($D$12:$D$19,"HI3")&gt;0,COUNTIF($D$12:$D$19,"HI5")&gt;0),"Yes","No")</f>
        <v>No</v>
      </c>
      <c r="M23" s="735" t="s">
        <v>721</v>
      </c>
      <c r="N23" s="788" t="str">
        <f>IF(L23="Yes",(SUMIF($D$12:$D$19,"HI3",N12:N19)/3+SUMIF($D$12:$D$19,"HI5",N12:N19)/5),"N/A")</f>
        <v>N/A</v>
      </c>
      <c r="O23" s="674" t="s">
        <v>718</v>
      </c>
      <c r="P23" s="666"/>
      <c r="Q23" s="733" t="str">
        <f>IF(AND(S22&gt;3.04,COUNTIF($D$12:$D$19,"HI3")&gt;0,COUNTIF($D$12:$D$19,"HI5")&gt;0),"Yes","No")</f>
        <v>No</v>
      </c>
      <c r="R23" s="735" t="s">
        <v>721</v>
      </c>
      <c r="S23" s="788" t="str">
        <f>IF(Q23="Yes",(SUMIF($D$12:$D$19,"HI3",S12:S19)/3+SUMIF($D$12:$D$19,"HI5",S12:S19)/5),"N/A")</f>
        <v>N/A</v>
      </c>
      <c r="T23" s="676" t="s">
        <v>718</v>
      </c>
      <c r="U23" s="791" t="str">
        <f>IF(AND(X22&gt;3.04,COUNTIF($D$12:$D$19,"HI3")&gt;0,COUNTIF($D$12:$D$19,"HI5")&gt;0),"Yes","No")</f>
        <v>No</v>
      </c>
      <c r="V23" s="784" t="s">
        <v>721</v>
      </c>
      <c r="W23" s="788" t="str">
        <f>IF(U23="Yes",(SUMIF($D$12:$D$19,"HI3",W12:W19)/3+SUMIF($D$12:$D$19,"HI5",W12:W19)/5),"N/A")</f>
        <v>N/A</v>
      </c>
    </row>
    <row r="24" spans="1:23" ht="15.75" thickBot="1">
      <c r="A24" s="794"/>
      <c r="B24" s="694"/>
      <c r="C24" s="694"/>
      <c r="D24" s="795"/>
      <c r="E24" s="731"/>
      <c r="F24" s="732"/>
      <c r="G24" s="734"/>
      <c r="H24" s="736"/>
      <c r="I24" s="756"/>
      <c r="J24" s="731"/>
      <c r="K24" s="732"/>
      <c r="L24" s="734"/>
      <c r="M24" s="736"/>
      <c r="N24" s="756"/>
      <c r="O24" s="731"/>
      <c r="P24" s="732"/>
      <c r="Q24" s="734"/>
      <c r="R24" s="736"/>
      <c r="S24" s="756"/>
      <c r="T24" s="732"/>
      <c r="U24" s="734"/>
      <c r="V24" s="736"/>
      <c r="W24" s="756"/>
    </row>
    <row r="25" spans="1:23" ht="15.75" thickBot="1">
      <c r="B25" s="750"/>
      <c r="C25" s="750"/>
      <c r="D25" s="750"/>
      <c r="E25" s="750"/>
      <c r="F25" s="750"/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</row>
    <row r="26" spans="1:23" ht="17.25">
      <c r="B26" s="712" t="s">
        <v>665</v>
      </c>
      <c r="C26" s="713"/>
      <c r="D26" s="719" t="s">
        <v>664</v>
      </c>
      <c r="E26" s="716" t="s">
        <v>745</v>
      </c>
      <c r="F26" s="717"/>
      <c r="G26" s="718"/>
      <c r="H26" s="12"/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ht="18" thickBot="1">
      <c r="B27" s="714"/>
      <c r="C27" s="715"/>
      <c r="D27" s="720"/>
      <c r="E27" s="209" t="s">
        <v>679</v>
      </c>
      <c r="F27" s="233" t="s">
        <v>680</v>
      </c>
      <c r="G27" s="232" t="s">
        <v>746</v>
      </c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</row>
    <row r="28" spans="1:23">
      <c r="B28" s="721" t="s">
        <v>84</v>
      </c>
      <c r="C28" s="722"/>
      <c r="D28" s="254">
        <v>0.5</v>
      </c>
      <c r="E28" s="703">
        <v>0.5</v>
      </c>
      <c r="F28" s="704"/>
      <c r="G28" s="707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</row>
    <row r="29" spans="1:23">
      <c r="B29" s="660" t="s">
        <v>77</v>
      </c>
      <c r="C29" s="661"/>
      <c r="D29" s="196">
        <v>25</v>
      </c>
      <c r="E29" s="705">
        <v>1</v>
      </c>
      <c r="F29" s="706"/>
      <c r="G29" s="708"/>
      <c r="H29" s="203"/>
      <c r="I29" s="204"/>
      <c r="J29" s="203"/>
      <c r="K29" s="203"/>
      <c r="L29" s="203"/>
      <c r="M29" s="203"/>
      <c r="N29" s="204"/>
      <c r="O29" s="203"/>
      <c r="P29" s="203"/>
      <c r="Q29" s="203"/>
      <c r="R29" s="203"/>
      <c r="S29" s="204"/>
      <c r="T29" s="204"/>
      <c r="U29" s="203"/>
      <c r="V29" s="203"/>
      <c r="W29" s="204"/>
    </row>
    <row r="30" spans="1:23">
      <c r="B30" s="660" t="s">
        <v>78</v>
      </c>
      <c r="C30" s="661"/>
      <c r="D30" s="196">
        <v>50</v>
      </c>
      <c r="E30" s="252" t="s">
        <v>681</v>
      </c>
      <c r="F30" s="234">
        <v>5</v>
      </c>
      <c r="G30" s="235">
        <v>1</v>
      </c>
      <c r="H30" s="203"/>
      <c r="I30" s="204"/>
      <c r="J30" s="203"/>
      <c r="K30" s="203"/>
      <c r="L30" s="203"/>
      <c r="M30" s="203"/>
      <c r="N30" s="204"/>
      <c r="O30" s="203"/>
      <c r="P30" s="203"/>
      <c r="Q30" s="203"/>
      <c r="R30" s="203"/>
      <c r="S30" s="204"/>
      <c r="T30" s="204"/>
      <c r="U30" s="203"/>
      <c r="V30" s="203"/>
      <c r="W30" s="204"/>
    </row>
    <row r="31" spans="1:23">
      <c r="B31" s="660" t="s">
        <v>79</v>
      </c>
      <c r="C31" s="661"/>
      <c r="D31" s="196">
        <v>200</v>
      </c>
      <c r="E31" s="252" t="s">
        <v>682</v>
      </c>
      <c r="F31" s="234">
        <v>10</v>
      </c>
      <c r="G31" s="235">
        <v>2</v>
      </c>
      <c r="H31" s="203"/>
      <c r="I31" s="204"/>
      <c r="J31" s="203"/>
      <c r="K31" s="203"/>
      <c r="L31" s="203"/>
      <c r="M31" s="203"/>
      <c r="N31" s="204"/>
      <c r="O31" s="203"/>
      <c r="P31" s="203"/>
      <c r="Q31" s="203"/>
      <c r="R31" s="203"/>
      <c r="S31" s="204"/>
      <c r="T31" s="204"/>
      <c r="U31" s="203"/>
      <c r="V31" s="203"/>
      <c r="W31" s="204"/>
    </row>
    <row r="32" spans="1:23" ht="15.75" thickBot="1">
      <c r="B32" s="662" t="s">
        <v>80</v>
      </c>
      <c r="C32" s="663"/>
      <c r="D32" s="255">
        <v>500</v>
      </c>
      <c r="E32" s="253" t="s">
        <v>683</v>
      </c>
      <c r="F32" s="236">
        <v>20</v>
      </c>
      <c r="G32" s="237">
        <v>4</v>
      </c>
    </row>
    <row r="33" spans="1:21">
      <c r="B33" s="194"/>
      <c r="C33" s="194"/>
      <c r="D33" s="194"/>
      <c r="E33" s="359"/>
      <c r="F33" s="385"/>
      <c r="G33" s="386"/>
    </row>
    <row r="34" spans="1:21">
      <c r="A34" s="12" t="s">
        <v>13</v>
      </c>
      <c r="B34" s="12"/>
      <c r="C34" s="27"/>
      <c r="D34" s="27"/>
    </row>
    <row r="35" spans="1:21">
      <c r="A35" s="13" t="s">
        <v>722</v>
      </c>
      <c r="B35" s="37"/>
      <c r="C35" s="27"/>
      <c r="D35" s="27"/>
    </row>
    <row r="36" spans="1:21" ht="16.5">
      <c r="A36" s="13" t="s">
        <v>723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U36" s="15"/>
    </row>
    <row r="37" spans="1:21" ht="16.5">
      <c r="A37" s="13" t="s">
        <v>724</v>
      </c>
      <c r="B37" s="15"/>
      <c r="C37" s="15"/>
      <c r="D37" s="15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U37" s="17"/>
    </row>
    <row r="38" spans="1:21" ht="16.5">
      <c r="A38" s="13" t="s">
        <v>725</v>
      </c>
      <c r="B38" s="15"/>
      <c r="C38" s="15"/>
      <c r="D38" s="15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U38" s="17"/>
    </row>
    <row r="39" spans="1:21">
      <c r="A39" s="15" t="s">
        <v>735</v>
      </c>
      <c r="B39" s="15"/>
      <c r="C39" s="15"/>
      <c r="D39" s="15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5"/>
      <c r="U39" s="17"/>
    </row>
    <row r="40" spans="1:21">
      <c r="A40" s="15" t="s">
        <v>736</v>
      </c>
      <c r="B40" s="15"/>
      <c r="C40" s="15"/>
      <c r="D40" s="15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5"/>
      <c r="U40" s="17"/>
    </row>
    <row r="41" spans="1:21">
      <c r="A41" s="15" t="s">
        <v>737</v>
      </c>
      <c r="B41" s="15"/>
      <c r="C41" s="15"/>
      <c r="D41" s="15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5"/>
      <c r="U41" s="17"/>
    </row>
    <row r="42" spans="1:21">
      <c r="A42" s="15" t="s">
        <v>738</v>
      </c>
      <c r="B42" s="15"/>
      <c r="C42" s="15"/>
      <c r="D42" s="15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5"/>
      <c r="U42" s="17"/>
    </row>
    <row r="43" spans="1:21">
      <c r="A43" s="15" t="s">
        <v>739</v>
      </c>
      <c r="B43" s="15"/>
      <c r="C43" s="15"/>
      <c r="D43" s="15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5"/>
      <c r="U43" s="17"/>
    </row>
    <row r="44" spans="1:21">
      <c r="A44" s="15" t="s">
        <v>740</v>
      </c>
      <c r="B44" s="15"/>
      <c r="C44" s="15"/>
      <c r="D44" s="15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5"/>
      <c r="U44" s="17"/>
    </row>
    <row r="45" spans="1:21">
      <c r="A45" s="15" t="s">
        <v>741</v>
      </c>
      <c r="B45" s="15"/>
      <c r="C45" s="15"/>
      <c r="D45" s="15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5"/>
      <c r="U45" s="17"/>
    </row>
    <row r="46" spans="1:21">
      <c r="A46" s="15" t="s">
        <v>742</v>
      </c>
      <c r="B46" s="15"/>
      <c r="C46" s="15"/>
      <c r="D46" s="15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5"/>
      <c r="U46" s="17"/>
    </row>
    <row r="47" spans="1:21">
      <c r="A47" s="13" t="s">
        <v>870</v>
      </c>
      <c r="B47" s="15"/>
      <c r="C47" s="15"/>
      <c r="D47" s="15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U47" s="17"/>
    </row>
    <row r="48" spans="1:21">
      <c r="A48" s="13" t="s">
        <v>743</v>
      </c>
      <c r="C48" s="15"/>
      <c r="D48" s="15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U48" s="17"/>
    </row>
    <row r="49" spans="1:21" ht="15" customHeight="1">
      <c r="A49" s="13" t="s">
        <v>698</v>
      </c>
      <c r="C49" s="15"/>
      <c r="D49" s="15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U49" s="17"/>
    </row>
    <row r="50" spans="1:21">
      <c r="A50" s="13" t="s">
        <v>699</v>
      </c>
      <c r="C50" s="15"/>
      <c r="D50" s="15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>
      <c r="A51" s="13" t="s">
        <v>700</v>
      </c>
      <c r="C51" s="15"/>
      <c r="D51" s="15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>
      <c r="A52" s="13" t="s">
        <v>867</v>
      </c>
      <c r="C52" s="15"/>
      <c r="D52" s="15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>
      <c r="A53" s="13"/>
      <c r="C53" s="15"/>
      <c r="D53" s="15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>
      <c r="A54" s="13" t="s">
        <v>640</v>
      </c>
      <c r="C54" s="15"/>
      <c r="D54" s="15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>
      <c r="A55" s="13" t="s">
        <v>632</v>
      </c>
      <c r="C55" s="15"/>
      <c r="D55" s="15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>
      <c r="A56" s="13" t="s">
        <v>641</v>
      </c>
      <c r="B56" s="13"/>
    </row>
    <row r="57" spans="1:21">
      <c r="A57" s="37" t="s">
        <v>74</v>
      </c>
      <c r="B57" s="13"/>
    </row>
    <row r="58" spans="1:21">
      <c r="A58" s="37"/>
      <c r="B58" s="13"/>
    </row>
    <row r="59" spans="1:21">
      <c r="A59" s="14" t="s">
        <v>697</v>
      </c>
      <c r="B59" s="13"/>
    </row>
    <row r="60" spans="1:21">
      <c r="A60" s="37" t="s">
        <v>696</v>
      </c>
      <c r="B60" s="13"/>
    </row>
    <row r="61" spans="1:21">
      <c r="B61" s="13"/>
    </row>
    <row r="62" spans="1:21">
      <c r="B62" s="13"/>
    </row>
  </sheetData>
  <mergeCells count="74">
    <mergeCell ref="O11:P11"/>
    <mergeCell ref="T11:V11"/>
    <mergeCell ref="J15:K15"/>
    <mergeCell ref="E16:F16"/>
    <mergeCell ref="J16:K16"/>
    <mergeCell ref="E11:F11"/>
    <mergeCell ref="J11:K11"/>
    <mergeCell ref="T12:U12"/>
    <mergeCell ref="T7:W7"/>
    <mergeCell ref="B15:F15"/>
    <mergeCell ref="B20:F20"/>
    <mergeCell ref="B21:F21"/>
    <mergeCell ref="B22:F22"/>
    <mergeCell ref="T21:V22"/>
    <mergeCell ref="R21:R22"/>
    <mergeCell ref="O21:P22"/>
    <mergeCell ref="O20:P20"/>
    <mergeCell ref="J20:K20"/>
    <mergeCell ref="J21:K22"/>
    <mergeCell ref="M21:M22"/>
    <mergeCell ref="H21:H22"/>
    <mergeCell ref="T20:V20"/>
    <mergeCell ref="T15:V15"/>
    <mergeCell ref="O15:P15"/>
    <mergeCell ref="T10:U10"/>
    <mergeCell ref="T9:U9"/>
    <mergeCell ref="T8:U8"/>
    <mergeCell ref="T17:U17"/>
    <mergeCell ref="T16:U16"/>
    <mergeCell ref="T14:U14"/>
    <mergeCell ref="T13:U13"/>
    <mergeCell ref="N23:N24"/>
    <mergeCell ref="O23:P24"/>
    <mergeCell ref="T19:U19"/>
    <mergeCell ref="T18:U18"/>
    <mergeCell ref="W23:W24"/>
    <mergeCell ref="T23:T24"/>
    <mergeCell ref="U23:U24"/>
    <mergeCell ref="V23:V24"/>
    <mergeCell ref="B30:C30"/>
    <mergeCell ref="B31:C31"/>
    <mergeCell ref="B32:C32"/>
    <mergeCell ref="A21:A22"/>
    <mergeCell ref="A23:D24"/>
    <mergeCell ref="B28:C28"/>
    <mergeCell ref="E28:F28"/>
    <mergeCell ref="G28:G29"/>
    <mergeCell ref="B29:C29"/>
    <mergeCell ref="E29:F29"/>
    <mergeCell ref="A7:A10"/>
    <mergeCell ref="A11:A15"/>
    <mergeCell ref="A16:A20"/>
    <mergeCell ref="B25:F25"/>
    <mergeCell ref="E23:F24"/>
    <mergeCell ref="B26:C27"/>
    <mergeCell ref="D26:D27"/>
    <mergeCell ref="E26:G26"/>
    <mergeCell ref="G23:G24"/>
    <mergeCell ref="H23:H24"/>
    <mergeCell ref="I23:I24"/>
    <mergeCell ref="B5:V5"/>
    <mergeCell ref="E7:I7"/>
    <mergeCell ref="J7:N7"/>
    <mergeCell ref="B16:C16"/>
    <mergeCell ref="B11:C11"/>
    <mergeCell ref="B7:B10"/>
    <mergeCell ref="C7:C10"/>
    <mergeCell ref="O7:S7"/>
    <mergeCell ref="Q23:Q24"/>
    <mergeCell ref="R23:R24"/>
    <mergeCell ref="S23:S24"/>
    <mergeCell ref="J23:K24"/>
    <mergeCell ref="L23:L24"/>
    <mergeCell ref="M23:M24"/>
  </mergeCells>
  <conditionalFormatting sqref="G23">
    <cfRule type="cellIs" dxfId="23" priority="7" operator="equal">
      <formula>"No"</formula>
    </cfRule>
    <cfRule type="cellIs" dxfId="22" priority="8" operator="equal">
      <formula>"Yes"</formula>
    </cfRule>
  </conditionalFormatting>
  <conditionalFormatting sqref="L23">
    <cfRule type="cellIs" dxfId="21" priority="5" operator="equal">
      <formula>"No"</formula>
    </cfRule>
    <cfRule type="cellIs" dxfId="20" priority="6" operator="equal">
      <formula>"Yes"</formula>
    </cfRule>
  </conditionalFormatting>
  <conditionalFormatting sqref="Q23">
    <cfRule type="cellIs" dxfId="19" priority="3" operator="equal">
      <formula>"No"</formula>
    </cfRule>
    <cfRule type="cellIs" dxfId="18" priority="4" operator="equal">
      <formula>"Yes"</formula>
    </cfRule>
  </conditionalFormatting>
  <conditionalFormatting sqref="U23">
    <cfRule type="cellIs" dxfId="17" priority="1" operator="equal">
      <formula>"No"</formula>
    </cfRule>
    <cfRule type="cellIs" dxfId="16" priority="2" operator="equal">
      <formula>"Yes"</formula>
    </cfRule>
  </conditionalFormatting>
  <pageMargins left="0.7" right="0.7" top="0.75" bottom="0.75" header="0.3" footer="0.3"/>
  <pageSetup paperSize="3" scale="42" orientation="landscape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  <pageSetUpPr fitToPage="1"/>
  </sheetPr>
  <dimension ref="A5:W36"/>
  <sheetViews>
    <sheetView view="pageBreakPreview" zoomScale="90" zoomScaleNormal="100" zoomScaleSheetLayoutView="90" workbookViewId="0">
      <selection activeCell="A29" sqref="A29"/>
    </sheetView>
  </sheetViews>
  <sheetFormatPr defaultColWidth="9.140625" defaultRowHeight="15"/>
  <cols>
    <col min="1" max="1" width="18.5703125" style="10" customWidth="1"/>
    <col min="2" max="3" width="21.85546875" style="10" customWidth="1"/>
    <col min="4" max="4" width="15.42578125" style="10" customWidth="1"/>
    <col min="5" max="5" width="11.42578125" style="10" customWidth="1"/>
    <col min="6" max="6" width="11" style="10" customWidth="1"/>
    <col min="7" max="7" width="15.85546875" style="10" customWidth="1"/>
    <col min="8" max="8" width="11.42578125" style="10" customWidth="1"/>
    <col min="9" max="9" width="10.5703125" style="10" customWidth="1"/>
    <col min="10" max="10" width="15.85546875" style="10" customWidth="1"/>
    <col min="11" max="11" width="11.140625" style="10" customWidth="1"/>
    <col min="12" max="12" width="15.5703125" style="10" customWidth="1"/>
    <col min="13" max="16384" width="9.140625" style="10"/>
  </cols>
  <sheetData>
    <row r="5" spans="1:23" ht="23.25">
      <c r="A5" s="819" t="s">
        <v>836</v>
      </c>
      <c r="B5" s="819"/>
      <c r="C5" s="819"/>
      <c r="D5" s="819"/>
      <c r="E5" s="819"/>
      <c r="F5" s="819"/>
      <c r="G5" s="819"/>
      <c r="H5" s="819"/>
      <c r="I5" s="819"/>
      <c r="J5" s="819"/>
      <c r="K5" s="819"/>
      <c r="L5" s="134"/>
    </row>
    <row r="6" spans="1:23" ht="15.75" thickBot="1"/>
    <row r="7" spans="1:23" ht="27.95" customHeight="1" thickBot="1">
      <c r="A7" s="828" t="s">
        <v>48</v>
      </c>
      <c r="B7" s="818" t="s">
        <v>14</v>
      </c>
      <c r="C7" s="818"/>
      <c r="D7" s="818"/>
      <c r="E7" s="823" t="s">
        <v>15</v>
      </c>
      <c r="F7" s="817"/>
      <c r="G7" s="824"/>
      <c r="H7" s="823" t="s">
        <v>16</v>
      </c>
      <c r="I7" s="817"/>
      <c r="J7" s="817"/>
      <c r="K7" s="816" t="s">
        <v>17</v>
      </c>
      <c r="L7" s="825"/>
    </row>
    <row r="8" spans="1:23" ht="15" customHeight="1">
      <c r="A8" s="829"/>
      <c r="B8" s="826" t="s">
        <v>49</v>
      </c>
      <c r="C8" s="820" t="s">
        <v>625</v>
      </c>
      <c r="D8" s="821"/>
      <c r="E8" s="826" t="s">
        <v>49</v>
      </c>
      <c r="F8" s="820" t="s">
        <v>625</v>
      </c>
      <c r="G8" s="821"/>
      <c r="H8" s="826" t="s">
        <v>49</v>
      </c>
      <c r="I8" s="820" t="s">
        <v>625</v>
      </c>
      <c r="J8" s="821"/>
      <c r="K8" s="820" t="s">
        <v>625</v>
      </c>
      <c r="L8" s="822"/>
    </row>
    <row r="9" spans="1:23" ht="45.75" thickBot="1">
      <c r="A9" s="830"/>
      <c r="B9" s="827"/>
      <c r="C9" s="141" t="s">
        <v>752</v>
      </c>
      <c r="D9" s="141" t="s">
        <v>630</v>
      </c>
      <c r="E9" s="827"/>
      <c r="F9" s="141" t="s">
        <v>752</v>
      </c>
      <c r="G9" s="141" t="s">
        <v>630</v>
      </c>
      <c r="H9" s="827"/>
      <c r="I9" s="141" t="s">
        <v>752</v>
      </c>
      <c r="J9" s="141" t="s">
        <v>630</v>
      </c>
      <c r="K9" s="141" t="s">
        <v>752</v>
      </c>
      <c r="L9" s="142" t="s">
        <v>630</v>
      </c>
    </row>
    <row r="10" spans="1:23">
      <c r="A10" s="619" t="s">
        <v>50</v>
      </c>
      <c r="B10" s="491">
        <f>'A-3'!G20</f>
        <v>268.69883040935673</v>
      </c>
      <c r="C10" s="492">
        <f>'A-3'!I20</f>
        <v>38.348057757296473</v>
      </c>
      <c r="D10" s="493">
        <f>'A-16'!I24</f>
        <v>12.135066871479776</v>
      </c>
      <c r="E10" s="492">
        <f>'A-3'!L20</f>
        <v>4.8593333333333328</v>
      </c>
      <c r="F10" s="492">
        <f>'A-3'!N20</f>
        <v>3.1602192323660061</v>
      </c>
      <c r="G10" s="493">
        <f>'A-16'!N24</f>
        <v>0.9645175218997798</v>
      </c>
      <c r="H10" s="492">
        <f>'A-3'!Q20</f>
        <v>10.291965075806736</v>
      </c>
      <c r="I10" s="492">
        <f>'A-3'!S20</f>
        <v>3.1602192323660061</v>
      </c>
      <c r="J10" s="493">
        <f>'A-16'!S24</f>
        <v>0.9645175218997798</v>
      </c>
      <c r="K10" s="492">
        <f>'A-3'!W20</f>
        <v>49.916863154744796</v>
      </c>
      <c r="L10" s="494">
        <f>'A-16'!V24</f>
        <v>16.025427814866621</v>
      </c>
    </row>
    <row r="11" spans="1:23">
      <c r="A11" s="620" t="s">
        <v>51</v>
      </c>
      <c r="B11" s="495">
        <f>'A-4'!G20</f>
        <v>80.609649122807028</v>
      </c>
      <c r="C11" s="496">
        <f>'A-4'!I20</f>
        <v>11.504417327188941</v>
      </c>
      <c r="D11" s="497">
        <f>('A-4'!I14/3)+(SUM('A-4'!I15:I16)/3+'A-4'!I17/5)</f>
        <v>3.6405200614439326</v>
      </c>
      <c r="E11" s="496">
        <f>'A-4'!L20</f>
        <v>1.4577999999999998</v>
      </c>
      <c r="F11" s="496">
        <f>'A-4'!N20</f>
        <v>0.94806576970980194</v>
      </c>
      <c r="G11" s="497" t="s">
        <v>0</v>
      </c>
      <c r="H11" s="496">
        <f>'A-4'!Q20</f>
        <v>3.0875895227420207</v>
      </c>
      <c r="I11" s="496">
        <f>'A-4'!S20</f>
        <v>0.94806576970980194</v>
      </c>
      <c r="J11" s="497" t="s">
        <v>0</v>
      </c>
      <c r="K11" s="496">
        <f>'A-4'!W20</f>
        <v>9.9833726309489599</v>
      </c>
      <c r="L11" s="498">
        <f>('A-4'!W14/3)+(SUM('A-4'!W15:W16)/3+'A-4'!W17/5)</f>
        <v>3.2050855629733253</v>
      </c>
    </row>
    <row r="12" spans="1:23" ht="15.75" thickBot="1">
      <c r="A12" s="621" t="s">
        <v>52</v>
      </c>
      <c r="B12" s="499">
        <f>'A-5'!G22</f>
        <v>4.8712197159565589</v>
      </c>
      <c r="C12" s="500">
        <f>'A-5'!I22</f>
        <v>0.69507917050691248</v>
      </c>
      <c r="D12" s="500" t="s">
        <v>0</v>
      </c>
      <c r="E12" s="500">
        <f>'A-5'!L22</f>
        <v>8.7285714285714286E-2</v>
      </c>
      <c r="F12" s="500">
        <f>'A-5'!N22</f>
        <v>5.6741496948561461E-2</v>
      </c>
      <c r="G12" s="500" t="s">
        <v>0</v>
      </c>
      <c r="H12" s="500">
        <f>'A-5'!Q22</f>
        <v>0.18486873930741549</v>
      </c>
      <c r="I12" s="500">
        <f>'A-5'!S22</f>
        <v>5.6741496948561461E-2</v>
      </c>
      <c r="J12" s="500" t="s">
        <v>0</v>
      </c>
      <c r="K12" s="501">
        <f>'A-5'!W22</f>
        <v>1.0067599076920017</v>
      </c>
      <c r="L12" s="502" t="s">
        <v>0</v>
      </c>
    </row>
    <row r="13" spans="1:23" ht="15.75" thickBot="1">
      <c r="B13" s="750"/>
      <c r="C13" s="750"/>
      <c r="D13" s="750"/>
      <c r="E13" s="750"/>
      <c r="F13" s="75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60"/>
      <c r="R13" s="360"/>
      <c r="S13" s="360"/>
      <c r="T13" s="360"/>
      <c r="U13" s="360"/>
      <c r="V13" s="360"/>
      <c r="W13" s="360"/>
    </row>
    <row r="14" spans="1:23" ht="17.25">
      <c r="B14" s="712" t="s">
        <v>665</v>
      </c>
      <c r="C14" s="713"/>
      <c r="D14" s="719" t="s">
        <v>664</v>
      </c>
      <c r="E14" s="716" t="s">
        <v>750</v>
      </c>
      <c r="F14" s="717"/>
      <c r="G14" s="718"/>
      <c r="H14" s="12"/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18" thickBot="1">
      <c r="B15" s="714"/>
      <c r="C15" s="715"/>
      <c r="D15" s="720"/>
      <c r="E15" s="209" t="s">
        <v>679</v>
      </c>
      <c r="F15" s="233" t="s">
        <v>680</v>
      </c>
      <c r="G15" s="232" t="s">
        <v>751</v>
      </c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</row>
    <row r="16" spans="1:23">
      <c r="B16" s="721" t="s">
        <v>84</v>
      </c>
      <c r="C16" s="722"/>
      <c r="D16" s="254">
        <v>0.5</v>
      </c>
      <c r="E16" s="703">
        <v>0.5</v>
      </c>
      <c r="F16" s="704"/>
      <c r="G16" s="707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</row>
    <row r="17" spans="1:23">
      <c r="B17" s="660" t="s">
        <v>77</v>
      </c>
      <c r="C17" s="661"/>
      <c r="D17" s="196">
        <v>25</v>
      </c>
      <c r="E17" s="705">
        <v>1</v>
      </c>
      <c r="F17" s="706"/>
      <c r="G17" s="708"/>
      <c r="H17" s="203"/>
      <c r="I17" s="204"/>
      <c r="J17" s="203"/>
      <c r="K17" s="203"/>
      <c r="L17" s="203"/>
      <c r="M17" s="203"/>
      <c r="N17" s="204"/>
      <c r="O17" s="203"/>
      <c r="P17" s="203"/>
      <c r="Q17" s="203"/>
      <c r="R17" s="203"/>
      <c r="S17" s="204"/>
      <c r="T17" s="204"/>
      <c r="U17" s="203"/>
      <c r="V17" s="203"/>
      <c r="W17" s="204"/>
    </row>
    <row r="18" spans="1:23">
      <c r="B18" s="660" t="s">
        <v>78</v>
      </c>
      <c r="C18" s="661"/>
      <c r="D18" s="196">
        <v>50</v>
      </c>
      <c r="E18" s="252" t="s">
        <v>681</v>
      </c>
      <c r="F18" s="234">
        <v>5</v>
      </c>
      <c r="G18" s="235">
        <v>1</v>
      </c>
      <c r="H18" s="203"/>
      <c r="I18" s="204"/>
      <c r="J18" s="203"/>
      <c r="K18" s="203"/>
      <c r="L18" s="203"/>
      <c r="M18" s="203"/>
      <c r="N18" s="204"/>
      <c r="O18" s="203"/>
      <c r="P18" s="203"/>
      <c r="Q18" s="203"/>
      <c r="R18" s="203"/>
      <c r="S18" s="204"/>
      <c r="T18" s="204"/>
      <c r="U18" s="203"/>
      <c r="V18" s="203"/>
      <c r="W18" s="204"/>
    </row>
    <row r="19" spans="1:23">
      <c r="B19" s="660" t="s">
        <v>79</v>
      </c>
      <c r="C19" s="661"/>
      <c r="D19" s="196">
        <v>200</v>
      </c>
      <c r="E19" s="252" t="s">
        <v>682</v>
      </c>
      <c r="F19" s="234">
        <v>10</v>
      </c>
      <c r="G19" s="235">
        <v>2</v>
      </c>
      <c r="H19" s="203"/>
      <c r="I19" s="204"/>
      <c r="J19" s="203"/>
      <c r="K19" s="203"/>
      <c r="L19" s="203"/>
      <c r="M19" s="203"/>
      <c r="N19" s="204"/>
      <c r="O19" s="203"/>
      <c r="P19" s="203"/>
      <c r="Q19" s="203"/>
      <c r="R19" s="203"/>
      <c r="S19" s="204"/>
      <c r="T19" s="204"/>
      <c r="U19" s="203"/>
      <c r="V19" s="203"/>
      <c r="W19" s="204"/>
    </row>
    <row r="20" spans="1:23" ht="15.75" thickBot="1">
      <c r="B20" s="662" t="s">
        <v>80</v>
      </c>
      <c r="C20" s="663"/>
      <c r="D20" s="255">
        <v>500</v>
      </c>
      <c r="E20" s="253" t="s">
        <v>683</v>
      </c>
      <c r="F20" s="236">
        <v>20</v>
      </c>
      <c r="G20" s="237">
        <v>4</v>
      </c>
    </row>
    <row r="22" spans="1:23">
      <c r="A22" s="12" t="s">
        <v>13</v>
      </c>
    </row>
    <row r="23" spans="1:23">
      <c r="A23" s="37" t="s">
        <v>747</v>
      </c>
    </row>
    <row r="24" spans="1:23">
      <c r="A24" s="37" t="s">
        <v>748</v>
      </c>
    </row>
    <row r="25" spans="1:23">
      <c r="A25" s="13" t="s">
        <v>749</v>
      </c>
      <c r="C25" s="15"/>
      <c r="D25" s="15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U25" s="17"/>
    </row>
    <row r="26" spans="1:23" ht="15" customHeight="1">
      <c r="A26" s="13" t="s">
        <v>698</v>
      </c>
      <c r="C26" s="15"/>
      <c r="D26" s="15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U26" s="17"/>
    </row>
    <row r="27" spans="1:23">
      <c r="A27" s="13" t="s">
        <v>699</v>
      </c>
      <c r="C27" s="15"/>
      <c r="D27" s="15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3">
      <c r="A28" s="13" t="s">
        <v>700</v>
      </c>
      <c r="C28" s="15"/>
      <c r="D28" s="15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3">
      <c r="A29" s="13" t="s">
        <v>859</v>
      </c>
      <c r="C29" s="15"/>
      <c r="D29" s="15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3">
      <c r="A30" s="13" t="s">
        <v>868</v>
      </c>
      <c r="C30" s="15"/>
      <c r="D30" s="15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3">
      <c r="A31" s="13"/>
      <c r="C31" s="15"/>
      <c r="D31" s="15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3">
      <c r="A32" s="37" t="s">
        <v>640</v>
      </c>
    </row>
    <row r="33" spans="1:1">
      <c r="A33" s="37" t="s">
        <v>632</v>
      </c>
    </row>
    <row r="35" spans="1:1">
      <c r="A35" s="14" t="s">
        <v>697</v>
      </c>
    </row>
    <row r="36" spans="1:1">
      <c r="A36" s="37" t="s">
        <v>696</v>
      </c>
    </row>
  </sheetData>
  <mergeCells count="25">
    <mergeCell ref="B18:C18"/>
    <mergeCell ref="B19:C19"/>
    <mergeCell ref="B20:C20"/>
    <mergeCell ref="B8:B9"/>
    <mergeCell ref="E8:E9"/>
    <mergeCell ref="B13:F13"/>
    <mergeCell ref="B14:C15"/>
    <mergeCell ref="D14:D15"/>
    <mergeCell ref="E14:G14"/>
    <mergeCell ref="B16:C16"/>
    <mergeCell ref="E16:F16"/>
    <mergeCell ref="G16:G17"/>
    <mergeCell ref="B17:C17"/>
    <mergeCell ref="E17:F17"/>
    <mergeCell ref="B7:D7"/>
    <mergeCell ref="A5:K5"/>
    <mergeCell ref="C8:D8"/>
    <mergeCell ref="F8:G8"/>
    <mergeCell ref="I8:J8"/>
    <mergeCell ref="K8:L8"/>
    <mergeCell ref="E7:G7"/>
    <mergeCell ref="H7:J7"/>
    <mergeCell ref="K7:L7"/>
    <mergeCell ref="H8:H9"/>
    <mergeCell ref="A7:A9"/>
  </mergeCells>
  <pageMargins left="0.7" right="0.7" top="0.75" bottom="0.75" header="0.3" footer="0.3"/>
  <pageSetup paperSize="3" scale="67" orientation="landscape" r:id="rId1"/>
  <headerFooter>
    <oddHeader>&amp;C&amp;G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  <pageSetUpPr fitToPage="1"/>
  </sheetPr>
  <dimension ref="A5:X52"/>
  <sheetViews>
    <sheetView view="pageBreakPreview" zoomScale="90" zoomScaleNormal="100" zoomScaleSheetLayoutView="90" workbookViewId="0">
      <selection activeCell="A43" sqref="A43"/>
    </sheetView>
  </sheetViews>
  <sheetFormatPr defaultColWidth="9.140625" defaultRowHeight="15"/>
  <cols>
    <col min="1" max="1" width="12.42578125" style="10" customWidth="1"/>
    <col min="2" max="2" width="14.85546875" style="10" customWidth="1"/>
    <col min="3" max="3" width="20.5703125" style="10" customWidth="1"/>
    <col min="4" max="4" width="16.5703125" style="10" customWidth="1"/>
    <col min="5" max="5" width="17.42578125" style="10" bestFit="1" customWidth="1"/>
    <col min="6" max="6" width="17.5703125" style="10" customWidth="1"/>
    <col min="7" max="7" width="11.42578125" style="10" customWidth="1"/>
    <col min="8" max="8" width="17.42578125" style="10" bestFit="1" customWidth="1"/>
    <col min="9" max="9" width="11.42578125" style="10" customWidth="1"/>
    <col min="10" max="10" width="17.42578125" style="10" bestFit="1" customWidth="1"/>
    <col min="11" max="11" width="11.42578125" style="10" customWidth="1"/>
    <col min="12" max="12" width="17.42578125" style="10" bestFit="1" customWidth="1"/>
    <col min="13" max="13" width="11.42578125" style="10" customWidth="1"/>
    <col min="14" max="16384" width="9.140625" style="10"/>
  </cols>
  <sheetData>
    <row r="5" spans="1:13" ht="19.5">
      <c r="B5" s="831" t="s">
        <v>63</v>
      </c>
      <c r="C5" s="831"/>
      <c r="D5" s="831"/>
      <c r="E5" s="831"/>
      <c r="F5" s="831"/>
      <c r="G5" s="831"/>
      <c r="H5" s="831"/>
      <c r="I5" s="831"/>
      <c r="J5" s="831"/>
      <c r="K5" s="831"/>
      <c r="L5" s="831"/>
    </row>
    <row r="6" spans="1:13" ht="15.75" thickBot="1"/>
    <row r="7" spans="1:13" ht="15.75" customHeight="1" thickBot="1">
      <c r="A7" s="670" t="s">
        <v>678</v>
      </c>
      <c r="B7" s="838" t="s">
        <v>754</v>
      </c>
      <c r="C7" s="724" t="s">
        <v>3</v>
      </c>
      <c r="D7" s="724" t="s">
        <v>642</v>
      </c>
      <c r="E7" s="841" t="s">
        <v>53</v>
      </c>
      <c r="F7" s="842"/>
      <c r="G7" s="842"/>
      <c r="H7" s="842"/>
      <c r="I7" s="842"/>
      <c r="J7" s="842"/>
      <c r="K7" s="842"/>
      <c r="L7" s="842"/>
      <c r="M7" s="843"/>
    </row>
    <row r="8" spans="1:13" ht="15" customHeight="1">
      <c r="A8" s="671"/>
      <c r="B8" s="839"/>
      <c r="C8" s="725"/>
      <c r="D8" s="725"/>
      <c r="E8" s="104" t="s">
        <v>756</v>
      </c>
      <c r="F8" s="836" t="s">
        <v>54</v>
      </c>
      <c r="G8" s="837"/>
      <c r="H8" s="836" t="s">
        <v>55</v>
      </c>
      <c r="I8" s="837"/>
      <c r="J8" s="836" t="s">
        <v>56</v>
      </c>
      <c r="K8" s="837"/>
      <c r="L8" s="836" t="s">
        <v>57</v>
      </c>
      <c r="M8" s="837"/>
    </row>
    <row r="9" spans="1:13" ht="15" customHeight="1">
      <c r="A9" s="671"/>
      <c r="B9" s="839"/>
      <c r="C9" s="725"/>
      <c r="D9" s="725"/>
      <c r="E9" s="852" t="s">
        <v>758</v>
      </c>
      <c r="F9" s="832" t="s">
        <v>753</v>
      </c>
      <c r="G9" s="834" t="s">
        <v>755</v>
      </c>
      <c r="H9" s="832" t="s">
        <v>753</v>
      </c>
      <c r="I9" s="834" t="s">
        <v>755</v>
      </c>
      <c r="J9" s="832" t="s">
        <v>753</v>
      </c>
      <c r="K9" s="834" t="s">
        <v>755</v>
      </c>
      <c r="L9" s="832" t="s">
        <v>753</v>
      </c>
      <c r="M9" s="834" t="s">
        <v>755</v>
      </c>
    </row>
    <row r="10" spans="1:13">
      <c r="A10" s="671"/>
      <c r="B10" s="839"/>
      <c r="C10" s="725"/>
      <c r="D10" s="725"/>
      <c r="E10" s="852"/>
      <c r="F10" s="832"/>
      <c r="G10" s="834"/>
      <c r="H10" s="832"/>
      <c r="I10" s="834"/>
      <c r="J10" s="832"/>
      <c r="K10" s="834"/>
      <c r="L10" s="832"/>
      <c r="M10" s="834"/>
    </row>
    <row r="11" spans="1:13">
      <c r="A11" s="671"/>
      <c r="B11" s="839"/>
      <c r="C11" s="725"/>
      <c r="D11" s="725"/>
      <c r="E11" s="852"/>
      <c r="F11" s="832"/>
      <c r="G11" s="834"/>
      <c r="H11" s="832"/>
      <c r="I11" s="834"/>
      <c r="J11" s="832"/>
      <c r="K11" s="834"/>
      <c r="L11" s="832"/>
      <c r="M11" s="834"/>
    </row>
    <row r="12" spans="1:13" ht="15.75" thickBot="1">
      <c r="A12" s="672"/>
      <c r="B12" s="840"/>
      <c r="C12" s="787"/>
      <c r="D12" s="787"/>
      <c r="E12" s="853"/>
      <c r="F12" s="833"/>
      <c r="G12" s="835"/>
      <c r="H12" s="833"/>
      <c r="I12" s="835"/>
      <c r="J12" s="833"/>
      <c r="K12" s="835"/>
      <c r="L12" s="833"/>
      <c r="M12" s="835"/>
    </row>
    <row r="13" spans="1:13">
      <c r="A13" s="670" t="s">
        <v>667</v>
      </c>
      <c r="B13" s="47" t="s">
        <v>153</v>
      </c>
      <c r="C13" s="405" t="s">
        <v>6</v>
      </c>
      <c r="D13" s="276" t="str">
        <f>VLOOKUP(B13,RBC!$B$8:$K$268,10,FALSE)</f>
        <v>HI3</v>
      </c>
      <c r="E13" s="406">
        <v>3.2000000000000001E-2</v>
      </c>
      <c r="F13" s="285">
        <f>VLOOKUP($B13,RBC!$B$5:$J$269,4,FALSE)</f>
        <v>5.0000000000000001E-3</v>
      </c>
      <c r="G13" s="368">
        <f>IFERROR($E13/F13,"")</f>
        <v>6.4</v>
      </c>
      <c r="H13" s="128"/>
      <c r="I13" s="407" t="str">
        <f>IFERROR($E13/H13,"")</f>
        <v/>
      </c>
      <c r="J13" s="128"/>
      <c r="K13" s="407" t="str">
        <f>IFERROR($E13/J13,"")</f>
        <v/>
      </c>
      <c r="L13" s="128"/>
      <c r="M13" s="407" t="str">
        <f>IFERROR($E13/L13,"")</f>
        <v/>
      </c>
    </row>
    <row r="14" spans="1:13">
      <c r="A14" s="671"/>
      <c r="B14" s="35" t="s">
        <v>346</v>
      </c>
      <c r="C14" s="89" t="s">
        <v>7</v>
      </c>
      <c r="D14" s="274" t="str">
        <f>VLOOKUP(B14,RBC!$B$8:$K$268,10,FALSE)</f>
        <v>HI3</v>
      </c>
      <c r="E14" s="106">
        <v>1.6E-2</v>
      </c>
      <c r="F14" s="433"/>
      <c r="G14" s="9" t="str">
        <f>IFERROR($E14/F14,"")</f>
        <v/>
      </c>
      <c r="H14" s="424">
        <f>VLOOKUP($B14,RBC!$B$5:$J$269,4,FALSE)</f>
        <v>0.09</v>
      </c>
      <c r="I14" s="431">
        <f>IFERROR($E14/H14,"")</f>
        <v>0.17777777777777778</v>
      </c>
      <c r="J14" s="22"/>
      <c r="K14" s="58" t="str">
        <f>IFERROR($E14/J14,"")</f>
        <v/>
      </c>
      <c r="L14" s="22"/>
      <c r="M14" s="58" t="str">
        <f>IFERROR($E14/L14,"")</f>
        <v/>
      </c>
    </row>
    <row r="15" spans="1:13" ht="15.75" thickBot="1">
      <c r="A15" s="671"/>
      <c r="B15" s="48" t="s">
        <v>370</v>
      </c>
      <c r="C15" s="435" t="s">
        <v>8</v>
      </c>
      <c r="D15" s="277" t="str">
        <f>VLOOKUP(B15,RBC!$B$8:$K$268,10,FALSE)</f>
        <v>HI3</v>
      </c>
      <c r="E15" s="107">
        <v>0.05</v>
      </c>
      <c r="F15" s="434"/>
      <c r="G15" s="165" t="str">
        <f>IFERROR($E15/F15,"")</f>
        <v/>
      </c>
      <c r="H15" s="110"/>
      <c r="I15" s="436" t="str">
        <f>IFERROR($E15/H15,"")</f>
        <v/>
      </c>
      <c r="J15" s="437">
        <f>VLOOKUP($B15,RBC!$B$5:$J$269,4,FALSE)</f>
        <v>1.4E-2</v>
      </c>
      <c r="K15" s="438">
        <f>IFERROR($E15/J15,"")</f>
        <v>3.5714285714285716</v>
      </c>
      <c r="L15" s="437">
        <f>VLOOKUP($B15,RBC!$B$5:$J$269,4,FALSE)</f>
        <v>1.4E-2</v>
      </c>
      <c r="M15" s="438">
        <f>IFERROR($E15/L15,"")</f>
        <v>3.5714285714285716</v>
      </c>
    </row>
    <row r="16" spans="1:13" ht="15.75" thickBot="1">
      <c r="A16" s="672"/>
      <c r="B16" s="854" t="s">
        <v>29</v>
      </c>
      <c r="C16" s="855"/>
      <c r="D16" s="855"/>
      <c r="E16" s="856"/>
      <c r="F16" s="434"/>
      <c r="G16" s="432">
        <f>SUM(G13:G15)</f>
        <v>6.4</v>
      </c>
      <c r="H16" s="103"/>
      <c r="I16" s="430">
        <f>SUM(I13:I15)</f>
        <v>0.17777777777777778</v>
      </c>
      <c r="J16" s="103"/>
      <c r="K16" s="420">
        <f>SUM(K13:K15)</f>
        <v>3.5714285714285716</v>
      </c>
      <c r="L16" s="103"/>
      <c r="M16" s="420">
        <f>SUM(M13:M15)</f>
        <v>3.5714285714285716</v>
      </c>
    </row>
    <row r="17" spans="1:24">
      <c r="A17" s="670" t="s">
        <v>668</v>
      </c>
      <c r="B17" s="47" t="s">
        <v>93</v>
      </c>
      <c r="C17" s="405" t="s">
        <v>9</v>
      </c>
      <c r="D17" s="276" t="str">
        <f>VLOOKUP(B17,RBC!$B$8:$K$268,10,FALSE)</f>
        <v>HI3</v>
      </c>
      <c r="E17" s="406">
        <v>5</v>
      </c>
      <c r="F17" s="128"/>
      <c r="G17" s="407" t="str">
        <f>IFERROR($E17/F17,"")</f>
        <v/>
      </c>
      <c r="H17" s="128"/>
      <c r="I17" s="407" t="str">
        <f>IFERROR($E17/H17,"")</f>
        <v/>
      </c>
      <c r="J17" s="128"/>
      <c r="K17" s="407" t="str">
        <f>IFERROR($E17/J17,"")</f>
        <v/>
      </c>
      <c r="L17" s="285">
        <f>VLOOKUP($B17,RBC!$B$5:$J$269,4,FALSE)</f>
        <v>140</v>
      </c>
      <c r="M17" s="423">
        <f>IFERROR($E17/L17,"")</f>
        <v>3.5714285714285712E-2</v>
      </c>
    </row>
    <row r="18" spans="1:24">
      <c r="A18" s="671"/>
      <c r="B18" s="35" t="s">
        <v>96</v>
      </c>
      <c r="C18" s="89" t="s">
        <v>10</v>
      </c>
      <c r="D18" s="274" t="str">
        <f>VLOOKUP(B18,RBC!$B$8:$K$268,10,FALSE)</f>
        <v>HI3</v>
      </c>
      <c r="E18" s="106">
        <v>4</v>
      </c>
      <c r="F18" s="22"/>
      <c r="G18" s="58" t="str">
        <f>IFERROR($E18/F18,"")</f>
        <v/>
      </c>
      <c r="H18" s="429">
        <f>VLOOKUP($B18,RBC!$B$5:$J$269,4,FALSE)</f>
        <v>31000</v>
      </c>
      <c r="I18" s="428">
        <f>IFERROR($E18/H18,"")</f>
        <v>1.2903225806451613E-4</v>
      </c>
      <c r="J18" s="22"/>
      <c r="K18" s="58" t="str">
        <f>IFERROR($E18/J18,"")</f>
        <v/>
      </c>
      <c r="L18" s="9"/>
      <c r="M18" s="58" t="str">
        <f>IFERROR($E18/L18,"")</f>
        <v/>
      </c>
    </row>
    <row r="19" spans="1:24" ht="15.75" thickBot="1">
      <c r="A19" s="671"/>
      <c r="B19" s="48" t="s">
        <v>99</v>
      </c>
      <c r="C19" s="435" t="s">
        <v>11</v>
      </c>
      <c r="D19" s="277" t="str">
        <f>VLOOKUP(B19,RBC!$B$8:$K$268,10,FALSE)</f>
        <v>HI5</v>
      </c>
      <c r="E19" s="107">
        <v>0.5</v>
      </c>
      <c r="F19" s="110"/>
      <c r="G19" s="439" t="str">
        <f>IFERROR($E19/F19,"")</f>
        <v/>
      </c>
      <c r="H19" s="110"/>
      <c r="I19" s="440" t="str">
        <f>IFERROR($E19/H19,"")</f>
        <v/>
      </c>
      <c r="J19" s="110"/>
      <c r="K19" s="439" t="str">
        <f>IFERROR($E19/J19,"")</f>
        <v/>
      </c>
      <c r="L19" s="290">
        <f>VLOOKUP($B19,RBC!$B$5:$J$269,4,FALSE)</f>
        <v>0.35</v>
      </c>
      <c r="M19" s="438">
        <f>IFERROR($E19/L19,"")</f>
        <v>1.4285714285714286</v>
      </c>
    </row>
    <row r="20" spans="1:24" ht="15.75" thickBot="1">
      <c r="A20" s="672"/>
      <c r="B20" s="854" t="s">
        <v>30</v>
      </c>
      <c r="C20" s="855"/>
      <c r="D20" s="855"/>
      <c r="E20" s="856"/>
      <c r="F20" s="109"/>
      <c r="G20" s="67"/>
      <c r="H20" s="103"/>
      <c r="I20" s="425">
        <f>SUM(I17:I19)</f>
        <v>1.2903225806451613E-4</v>
      </c>
      <c r="J20" s="103"/>
      <c r="K20" s="67"/>
      <c r="L20" s="43"/>
      <c r="M20" s="420">
        <f>SUM(M17:M19)</f>
        <v>1.4642857142857144</v>
      </c>
    </row>
    <row r="21" spans="1:24">
      <c r="A21" s="670" t="s">
        <v>685</v>
      </c>
      <c r="B21" s="857" t="s">
        <v>82</v>
      </c>
      <c r="C21" s="858"/>
      <c r="D21" s="858"/>
      <c r="E21" s="859"/>
      <c r="F21" s="836"/>
      <c r="G21" s="421">
        <f>SUM(G20,G16)</f>
        <v>6.4</v>
      </c>
      <c r="H21" s="64"/>
      <c r="I21" s="426">
        <f>SUM(I20,I16)</f>
        <v>0.1779068100358423</v>
      </c>
      <c r="J21" s="64"/>
      <c r="K21" s="421">
        <f>SUM(K20,K16)</f>
        <v>3.5714285714285716</v>
      </c>
      <c r="L21" s="72"/>
      <c r="M21" s="421">
        <f>SUM(M20,M16)</f>
        <v>5.0357142857142865</v>
      </c>
    </row>
    <row r="22" spans="1:24" ht="15.75" customHeight="1" thickBot="1">
      <c r="A22" s="672"/>
      <c r="B22" s="854" t="s">
        <v>31</v>
      </c>
      <c r="C22" s="855"/>
      <c r="D22" s="855"/>
      <c r="E22" s="856"/>
      <c r="F22" s="833"/>
      <c r="G22" s="422">
        <f>SUM(G20,G16)</f>
        <v>6.4</v>
      </c>
      <c r="H22" s="62"/>
      <c r="I22" s="427">
        <f>SUM(I20,I16)</f>
        <v>0.1779068100358423</v>
      </c>
      <c r="J22" s="62"/>
      <c r="K22" s="422">
        <f>SUM(K20,K16)</f>
        <v>3.5714285714285716</v>
      </c>
      <c r="L22" s="73"/>
      <c r="M22" s="422">
        <f>SUM(M20,M16)</f>
        <v>5.0357142857142865</v>
      </c>
    </row>
    <row r="23" spans="1:24" ht="24.75" customHeight="1">
      <c r="A23" s="779" t="s">
        <v>762</v>
      </c>
      <c r="B23" s="780"/>
      <c r="C23" s="780"/>
      <c r="D23" s="780"/>
      <c r="E23" s="797"/>
      <c r="F23" s="169" t="s">
        <v>718</v>
      </c>
      <c r="G23" s="419" t="str">
        <f>IF(AND(G22&gt;3.04,COUNTIF($D$13:$D$19,"HI3")&gt;0,COUNTIF($D$13:$D$19,"HI5")&gt;0),"Yes","No")</f>
        <v>Yes</v>
      </c>
      <c r="H23" s="169" t="s">
        <v>718</v>
      </c>
      <c r="I23" s="419" t="str">
        <f>IF(AND(I22&gt;3.04,COUNTIF($D$13:$D$19,"HI3")&gt;0,COUNTIF($D$13:$D$19,"HI5")&gt;0),"Yes","No")</f>
        <v>No</v>
      </c>
      <c r="J23" s="169" t="s">
        <v>718</v>
      </c>
      <c r="K23" s="419" t="str">
        <f>IF(AND(K22&gt;3.04,COUNTIF($D$13:$D$19,"HI3")&gt;0,COUNTIF($D$13:$D$19,"HI5")&gt;0),"Yes","No")</f>
        <v>Yes</v>
      </c>
      <c r="L23" s="169" t="s">
        <v>718</v>
      </c>
      <c r="M23" s="419" t="str">
        <f>IF(AND(M22&gt;3.04,COUNTIF($D$13:$D$19,"HI3")&gt;0,COUNTIF($D$13:$D$19,"HI5")&gt;0),"Yes","No")</f>
        <v>Yes</v>
      </c>
    </row>
    <row r="24" spans="1:24" ht="15.75" customHeight="1" thickBot="1">
      <c r="A24" s="677"/>
      <c r="B24" s="678"/>
      <c r="C24" s="678"/>
      <c r="D24" s="678"/>
      <c r="E24" s="783"/>
      <c r="F24" s="408" t="s">
        <v>721</v>
      </c>
      <c r="G24" s="384">
        <f>IF(G23="Yes",(SUMIF($D$13:$D$19,"HI3",G13:G19)/3+SUMIF($D$13:$D$19,"HI5",G13:G19)/5),"N/A")</f>
        <v>2.1333333333333333</v>
      </c>
      <c r="H24" s="408" t="s">
        <v>721</v>
      </c>
      <c r="I24" s="384" t="str">
        <f>IF(I23="Yes",(SUMIF($D$13:$D$19,"HI3",I13:I19)/3+SUMIF($D$13:$D$19,"HI5",I13:I19)/5),"N/A")</f>
        <v>N/A</v>
      </c>
      <c r="J24" s="408" t="s">
        <v>721</v>
      </c>
      <c r="K24" s="384">
        <f>IF(K23="Yes",(SUMIF($D$13:$D$19,"HI3",K13:K19)/3+SUMIF($D$13:$D$19,"HI5",K13:K19)/5),"N/A")</f>
        <v>1.1904761904761905</v>
      </c>
      <c r="L24" s="408" t="s">
        <v>721</v>
      </c>
      <c r="M24" s="384">
        <f>IF(M23="Yes",(SUMIF($D$13:$D$19,"HI3",M13:M19)/3+SUMIF($D$13:$D$19,"HI5",M13:M19)/5),"N/A")</f>
        <v>1.4880952380952381</v>
      </c>
    </row>
    <row r="25" spans="1:24" ht="15.75" thickBot="1">
      <c r="C25" s="750"/>
      <c r="D25" s="750"/>
      <c r="E25" s="750"/>
      <c r="F25" s="750"/>
      <c r="G25" s="75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</row>
    <row r="26" spans="1:24" ht="17.25">
      <c r="B26" s="847" t="s">
        <v>665</v>
      </c>
      <c r="C26" s="848"/>
      <c r="D26" s="719" t="s">
        <v>664</v>
      </c>
      <c r="E26" s="716" t="s">
        <v>763</v>
      </c>
      <c r="F26" s="717"/>
      <c r="G26" s="718"/>
      <c r="I26" s="12"/>
      <c r="J26" s="12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8" thickBot="1">
      <c r="B27" s="849"/>
      <c r="C27" s="850"/>
      <c r="D27" s="720"/>
      <c r="E27" s="209" t="s">
        <v>679</v>
      </c>
      <c r="F27" s="233" t="s">
        <v>680</v>
      </c>
      <c r="G27" s="232" t="s">
        <v>764</v>
      </c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</row>
    <row r="28" spans="1:24">
      <c r="B28" s="703" t="s">
        <v>84</v>
      </c>
      <c r="C28" s="851"/>
      <c r="D28" s="254">
        <v>0.5</v>
      </c>
      <c r="E28" s="703">
        <v>0.5</v>
      </c>
      <c r="F28" s="704"/>
      <c r="G28" s="4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</row>
    <row r="29" spans="1:24">
      <c r="B29" s="705" t="s">
        <v>77</v>
      </c>
      <c r="C29" s="844"/>
      <c r="D29" s="196">
        <v>25</v>
      </c>
      <c r="E29" s="705">
        <v>1</v>
      </c>
      <c r="F29" s="706"/>
      <c r="G29" s="404"/>
      <c r="I29" s="203"/>
      <c r="J29" s="204"/>
      <c r="K29" s="203"/>
      <c r="L29" s="203"/>
      <c r="M29" s="203"/>
      <c r="N29" s="203"/>
      <c r="O29" s="204"/>
      <c r="P29" s="203"/>
      <c r="Q29" s="203"/>
      <c r="R29" s="203"/>
      <c r="S29" s="203"/>
      <c r="T29" s="204"/>
      <c r="U29" s="204"/>
      <c r="V29" s="203"/>
      <c r="W29" s="203"/>
      <c r="X29" s="204"/>
    </row>
    <row r="30" spans="1:24">
      <c r="B30" s="705" t="s">
        <v>78</v>
      </c>
      <c r="C30" s="844"/>
      <c r="D30" s="196">
        <v>50</v>
      </c>
      <c r="E30" s="252" t="s">
        <v>681</v>
      </c>
      <c r="F30" s="234">
        <v>5</v>
      </c>
      <c r="G30" s="235">
        <v>1</v>
      </c>
      <c r="I30" s="203"/>
      <c r="J30" s="204"/>
      <c r="K30" s="203"/>
      <c r="L30" s="203"/>
      <c r="M30" s="203"/>
      <c r="N30" s="203"/>
      <c r="O30" s="204"/>
      <c r="P30" s="203"/>
      <c r="Q30" s="203"/>
      <c r="R30" s="203"/>
      <c r="S30" s="203"/>
      <c r="T30" s="204"/>
      <c r="U30" s="204"/>
      <c r="V30" s="203"/>
      <c r="W30" s="203"/>
      <c r="X30" s="204"/>
    </row>
    <row r="31" spans="1:24">
      <c r="B31" s="705" t="s">
        <v>79</v>
      </c>
      <c r="C31" s="844"/>
      <c r="D31" s="196">
        <v>200</v>
      </c>
      <c r="E31" s="252" t="s">
        <v>682</v>
      </c>
      <c r="F31" s="234">
        <v>10</v>
      </c>
      <c r="G31" s="235">
        <v>2</v>
      </c>
      <c r="I31" s="203"/>
      <c r="J31" s="204"/>
      <c r="K31" s="203"/>
      <c r="L31" s="203"/>
      <c r="M31" s="203"/>
      <c r="N31" s="203"/>
      <c r="O31" s="204"/>
      <c r="P31" s="203"/>
      <c r="Q31" s="203"/>
      <c r="R31" s="203"/>
      <c r="S31" s="203"/>
      <c r="T31" s="204"/>
      <c r="U31" s="204"/>
      <c r="V31" s="203"/>
      <c r="W31" s="203"/>
      <c r="X31" s="204"/>
    </row>
    <row r="32" spans="1:24" ht="15.75" thickBot="1">
      <c r="B32" s="845" t="s">
        <v>80</v>
      </c>
      <c r="C32" s="846"/>
      <c r="D32" s="255">
        <v>500</v>
      </c>
      <c r="E32" s="253" t="s">
        <v>683</v>
      </c>
      <c r="F32" s="236">
        <v>20</v>
      </c>
      <c r="G32" s="237">
        <v>4</v>
      </c>
    </row>
    <row r="33" spans="1:21">
      <c r="B33" s="203"/>
      <c r="C33" s="203"/>
      <c r="D33" s="203"/>
      <c r="E33" s="204"/>
      <c r="F33" s="385"/>
      <c r="G33" s="386"/>
    </row>
    <row r="34" spans="1:21">
      <c r="A34" s="63" t="s">
        <v>58</v>
      </c>
    </row>
    <row r="35" spans="1:21" s="37" customFormat="1" ht="14.25">
      <c r="A35" s="13" t="s">
        <v>722</v>
      </c>
      <c r="D35" s="193"/>
      <c r="E35" s="193"/>
    </row>
    <row r="36" spans="1:21" s="37" customFormat="1" ht="14.25">
      <c r="A36" s="13" t="s">
        <v>757</v>
      </c>
      <c r="D36" s="193"/>
      <c r="E36" s="193"/>
    </row>
    <row r="37" spans="1:21" ht="16.5">
      <c r="A37" s="13" t="s">
        <v>724</v>
      </c>
      <c r="B37" s="15"/>
      <c r="C37" s="15"/>
      <c r="D37" s="15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U37" s="17"/>
    </row>
    <row r="38" spans="1:21">
      <c r="A38" s="13" t="s">
        <v>760</v>
      </c>
      <c r="B38" s="15"/>
      <c r="C38" s="15"/>
      <c r="D38" s="15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U38" s="17"/>
    </row>
    <row r="39" spans="1:21">
      <c r="A39" s="13" t="s">
        <v>761</v>
      </c>
      <c r="C39" s="15"/>
      <c r="D39" s="15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U39" s="17"/>
    </row>
    <row r="40" spans="1:21" ht="15" customHeight="1">
      <c r="A40" s="13" t="s">
        <v>698</v>
      </c>
      <c r="C40" s="15"/>
      <c r="D40" s="15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U40" s="17"/>
    </row>
    <row r="41" spans="1:21">
      <c r="A41" s="13" t="s">
        <v>699</v>
      </c>
      <c r="C41" s="15"/>
      <c r="D41" s="15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>
      <c r="A42" s="13" t="s">
        <v>700</v>
      </c>
      <c r="C42" s="15"/>
      <c r="D42" s="15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>
      <c r="A43" s="13" t="s">
        <v>860</v>
      </c>
      <c r="C43" s="15"/>
      <c r="D43" s="15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>
      <c r="A44" s="13" t="s">
        <v>868</v>
      </c>
      <c r="C44" s="15"/>
      <c r="D44" s="15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>
      <c r="B45" s="13"/>
    </row>
    <row r="46" spans="1:21">
      <c r="A46" s="13" t="s">
        <v>640</v>
      </c>
    </row>
    <row r="47" spans="1:21">
      <c r="A47" s="13" t="s">
        <v>632</v>
      </c>
    </row>
    <row r="48" spans="1:21">
      <c r="A48" s="13" t="s">
        <v>641</v>
      </c>
    </row>
    <row r="49" spans="1:1">
      <c r="A49" s="11" t="s">
        <v>59</v>
      </c>
    </row>
    <row r="51" spans="1:1">
      <c r="A51" s="14" t="s">
        <v>697</v>
      </c>
    </row>
    <row r="52" spans="1:1">
      <c r="A52" s="37" t="s">
        <v>696</v>
      </c>
    </row>
  </sheetData>
  <mergeCells count="39">
    <mergeCell ref="A7:A12"/>
    <mergeCell ref="B16:E16"/>
    <mergeCell ref="B21:E21"/>
    <mergeCell ref="B22:E22"/>
    <mergeCell ref="F21:F22"/>
    <mergeCell ref="A13:A16"/>
    <mergeCell ref="A17:A20"/>
    <mergeCell ref="A21:A22"/>
    <mergeCell ref="B31:C31"/>
    <mergeCell ref="B32:C32"/>
    <mergeCell ref="C25:G25"/>
    <mergeCell ref="H9:H12"/>
    <mergeCell ref="I9:I12"/>
    <mergeCell ref="E26:G26"/>
    <mergeCell ref="E29:F29"/>
    <mergeCell ref="E28:F28"/>
    <mergeCell ref="B26:C27"/>
    <mergeCell ref="D26:D27"/>
    <mergeCell ref="B28:C28"/>
    <mergeCell ref="B29:C29"/>
    <mergeCell ref="B30:C30"/>
    <mergeCell ref="E9:E12"/>
    <mergeCell ref="A23:E24"/>
    <mergeCell ref="B20:E20"/>
    <mergeCell ref="B5:L5"/>
    <mergeCell ref="J9:J12"/>
    <mergeCell ref="K9:K12"/>
    <mergeCell ref="L9:L12"/>
    <mergeCell ref="F8:G8"/>
    <mergeCell ref="H8:I8"/>
    <mergeCell ref="J8:K8"/>
    <mergeCell ref="L8:M8"/>
    <mergeCell ref="F9:F12"/>
    <mergeCell ref="G9:G12"/>
    <mergeCell ref="B7:B12"/>
    <mergeCell ref="C7:C12"/>
    <mergeCell ref="D7:D12"/>
    <mergeCell ref="E7:M7"/>
    <mergeCell ref="M9:M12"/>
  </mergeCells>
  <conditionalFormatting sqref="G23">
    <cfRule type="cellIs" dxfId="15" priority="13" operator="equal">
      <formula>"No"</formula>
    </cfRule>
    <cfRule type="cellIs" dxfId="14" priority="14" operator="equal">
      <formula>"Yes"</formula>
    </cfRule>
  </conditionalFormatting>
  <conditionalFormatting sqref="I23">
    <cfRule type="cellIs" dxfId="13" priority="5" operator="equal">
      <formula>"No"</formula>
    </cfRule>
    <cfRule type="cellIs" dxfId="12" priority="6" operator="equal">
      <formula>"Yes"</formula>
    </cfRule>
  </conditionalFormatting>
  <conditionalFormatting sqref="K23">
    <cfRule type="cellIs" dxfId="11" priority="3" operator="equal">
      <formula>"No"</formula>
    </cfRule>
    <cfRule type="cellIs" dxfId="10" priority="4" operator="equal">
      <formula>"Yes"</formula>
    </cfRule>
  </conditionalFormatting>
  <conditionalFormatting sqref="M23">
    <cfRule type="cellIs" dxfId="9" priority="1" operator="equal">
      <formula>"No"</formula>
    </cfRule>
    <cfRule type="cellIs" dxfId="8" priority="2" operator="equal">
      <formula>"Yes"</formula>
    </cfRule>
  </conditionalFormatting>
  <pageMargins left="0.7" right="0.7" top="0.75" bottom="0.75" header="0.3" footer="0.3"/>
  <pageSetup paperSize="3" scale="61" orientation="landscape" r:id="rId1"/>
  <headerFooter>
    <oddHeader>&amp;C&amp;G</oddHeader>
  </headerFooter>
  <ignoredErrors>
    <ignoredError sqref="L15:L16 J15 H14:H16 L17:L19 H17:H19" 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  <pageSetUpPr fitToPage="1"/>
  </sheetPr>
  <dimension ref="A5:X52"/>
  <sheetViews>
    <sheetView view="pageBreakPreview" zoomScaleNormal="100" zoomScaleSheetLayoutView="100" workbookViewId="0">
      <selection activeCell="A44" sqref="A44"/>
    </sheetView>
  </sheetViews>
  <sheetFormatPr defaultColWidth="9.140625" defaultRowHeight="15"/>
  <cols>
    <col min="1" max="1" width="11.42578125" style="10" customWidth="1"/>
    <col min="2" max="2" width="13.85546875" style="10" customWidth="1"/>
    <col min="3" max="3" width="17.42578125" style="10" customWidth="1"/>
    <col min="4" max="4" width="13.5703125" style="10" customWidth="1"/>
    <col min="5" max="5" width="17.5703125" style="10" customWidth="1"/>
    <col min="6" max="6" width="17.42578125" style="10" customWidth="1"/>
    <col min="7" max="7" width="14.85546875" style="10" customWidth="1"/>
    <col min="8" max="8" width="17.42578125" style="10" bestFit="1" customWidth="1"/>
    <col min="9" max="9" width="13.85546875" style="10" customWidth="1"/>
    <col min="10" max="10" width="17.42578125" style="10" bestFit="1" customWidth="1"/>
    <col min="11" max="11" width="15.42578125" style="10" customWidth="1"/>
    <col min="12" max="12" width="17.42578125" style="10" bestFit="1" customWidth="1"/>
    <col min="13" max="13" width="9.5703125" style="10" bestFit="1" customWidth="1"/>
    <col min="14" max="16384" width="9.140625" style="10"/>
  </cols>
  <sheetData>
    <row r="5" spans="1:13" ht="19.5">
      <c r="B5" s="831" t="s">
        <v>62</v>
      </c>
      <c r="C5" s="831"/>
      <c r="D5" s="831"/>
      <c r="E5" s="831"/>
      <c r="F5" s="831"/>
      <c r="G5" s="831"/>
      <c r="H5" s="831"/>
      <c r="I5" s="831"/>
      <c r="J5" s="831"/>
      <c r="K5" s="831"/>
      <c r="L5" s="831"/>
    </row>
    <row r="6" spans="1:13" ht="15.75" thickBot="1"/>
    <row r="7" spans="1:13" ht="15.75" customHeight="1" thickBot="1">
      <c r="A7" s="670" t="s">
        <v>678</v>
      </c>
      <c r="B7" s="838" t="s">
        <v>754</v>
      </c>
      <c r="C7" s="724" t="s">
        <v>3</v>
      </c>
      <c r="D7" s="724" t="s">
        <v>642</v>
      </c>
      <c r="E7" s="841" t="s">
        <v>60</v>
      </c>
      <c r="F7" s="842"/>
      <c r="G7" s="842"/>
      <c r="H7" s="842"/>
      <c r="I7" s="842"/>
      <c r="J7" s="842"/>
      <c r="K7" s="842"/>
      <c r="L7" s="842"/>
      <c r="M7" s="843"/>
    </row>
    <row r="8" spans="1:13" ht="15.75" customHeight="1" thickBot="1">
      <c r="A8" s="671"/>
      <c r="B8" s="839"/>
      <c r="C8" s="725"/>
      <c r="D8" s="725"/>
      <c r="E8" s="104" t="s">
        <v>756</v>
      </c>
      <c r="F8" s="841" t="s">
        <v>61</v>
      </c>
      <c r="G8" s="843"/>
      <c r="H8" s="841" t="s">
        <v>55</v>
      </c>
      <c r="I8" s="843"/>
      <c r="J8" s="841" t="s">
        <v>56</v>
      </c>
      <c r="K8" s="843"/>
      <c r="L8" s="841" t="s">
        <v>57</v>
      </c>
      <c r="M8" s="843"/>
    </row>
    <row r="9" spans="1:13" ht="14.45" customHeight="1">
      <c r="A9" s="671"/>
      <c r="B9" s="839"/>
      <c r="C9" s="725"/>
      <c r="D9" s="725"/>
      <c r="E9" s="837" t="s">
        <v>759</v>
      </c>
      <c r="F9" s="836" t="s">
        <v>753</v>
      </c>
      <c r="G9" s="834" t="s">
        <v>755</v>
      </c>
      <c r="H9" s="836" t="s">
        <v>753</v>
      </c>
      <c r="I9" s="834" t="s">
        <v>755</v>
      </c>
      <c r="J9" s="836" t="s">
        <v>753</v>
      </c>
      <c r="K9" s="837" t="s">
        <v>628</v>
      </c>
      <c r="L9" s="836" t="s">
        <v>753</v>
      </c>
      <c r="M9" s="834" t="s">
        <v>755</v>
      </c>
    </row>
    <row r="10" spans="1:13">
      <c r="A10" s="671"/>
      <c r="B10" s="839"/>
      <c r="C10" s="725"/>
      <c r="D10" s="725"/>
      <c r="E10" s="834"/>
      <c r="F10" s="832"/>
      <c r="G10" s="834"/>
      <c r="H10" s="832"/>
      <c r="I10" s="834"/>
      <c r="J10" s="832"/>
      <c r="K10" s="834"/>
      <c r="L10" s="832"/>
      <c r="M10" s="834"/>
    </row>
    <row r="11" spans="1:13">
      <c r="A11" s="671"/>
      <c r="B11" s="839"/>
      <c r="C11" s="725"/>
      <c r="D11" s="725"/>
      <c r="E11" s="834"/>
      <c r="F11" s="832"/>
      <c r="G11" s="834"/>
      <c r="H11" s="832"/>
      <c r="I11" s="834"/>
      <c r="J11" s="832"/>
      <c r="K11" s="834"/>
      <c r="L11" s="832"/>
      <c r="M11" s="834"/>
    </row>
    <row r="12" spans="1:13" ht="15.75" thickBot="1">
      <c r="A12" s="672"/>
      <c r="B12" s="840"/>
      <c r="C12" s="725"/>
      <c r="D12" s="787"/>
      <c r="E12" s="834"/>
      <c r="F12" s="832"/>
      <c r="G12" s="835"/>
      <c r="H12" s="832"/>
      <c r="I12" s="835"/>
      <c r="J12" s="832"/>
      <c r="K12" s="834"/>
      <c r="L12" s="832"/>
      <c r="M12" s="835"/>
    </row>
    <row r="13" spans="1:13">
      <c r="A13" s="670" t="s">
        <v>667</v>
      </c>
      <c r="B13" s="47" t="s">
        <v>153</v>
      </c>
      <c r="C13" s="361" t="s">
        <v>6</v>
      </c>
      <c r="D13" s="276" t="str">
        <f>VLOOKUP(B13,RBC!$B$8:$K$268,10,FALSE)</f>
        <v>HI3</v>
      </c>
      <c r="E13" s="128">
        <v>0.21</v>
      </c>
      <c r="F13" s="128"/>
      <c r="G13" s="407" t="str">
        <f>IFERROR($E13/F13,"")</f>
        <v/>
      </c>
      <c r="H13" s="127"/>
      <c r="I13" s="407" t="str">
        <f>IFERROR($E13/H13,"")</f>
        <v/>
      </c>
      <c r="J13" s="127"/>
      <c r="K13" s="407" t="str">
        <f>IFERROR($E13/J13,"")</f>
        <v/>
      </c>
      <c r="L13" s="285">
        <f>VLOOKUP($B13,RBC!$B$5:$J$269,9,FALSE)</f>
        <v>0.03</v>
      </c>
      <c r="M13" s="443">
        <f>IFERROR($E13/L13,"")</f>
        <v>7</v>
      </c>
    </row>
    <row r="14" spans="1:13">
      <c r="A14" s="671"/>
      <c r="B14" s="35" t="s">
        <v>346</v>
      </c>
      <c r="C14" s="98" t="s">
        <v>7</v>
      </c>
      <c r="D14" s="274" t="str">
        <f>VLOOKUP(B14,RBC!$B$8:$K$268,10,FALSE)</f>
        <v>HI3</v>
      </c>
      <c r="E14" s="22">
        <v>0.14000000000000001</v>
      </c>
      <c r="F14" s="22"/>
      <c r="G14" s="58" t="str">
        <f t="shared" ref="G14:I15" si="0">IFERROR($E14/F14,"")</f>
        <v/>
      </c>
      <c r="H14" s="278">
        <f>VLOOKUP($B14,RBC!$B$5:$J$269,9,FALSE)</f>
        <v>0.3</v>
      </c>
      <c r="I14" s="431">
        <f t="shared" si="0"/>
        <v>0.46666666666666673</v>
      </c>
      <c r="J14" s="9"/>
      <c r="K14" s="68" t="str">
        <f t="shared" ref="K14" si="1">IFERROR($E14/J14,"")</f>
        <v/>
      </c>
      <c r="L14" s="9"/>
      <c r="M14" s="68" t="str">
        <f t="shared" ref="M14" si="2">IFERROR($E14/L14,"")</f>
        <v/>
      </c>
    </row>
    <row r="15" spans="1:13" ht="15.75" thickBot="1">
      <c r="A15" s="671"/>
      <c r="B15" s="48" t="s">
        <v>370</v>
      </c>
      <c r="C15" s="441" t="s">
        <v>8</v>
      </c>
      <c r="D15" s="277" t="str">
        <f>VLOOKUP(B15,RBC!$B$8:$K$268,10,FALSE)</f>
        <v>HI3</v>
      </c>
      <c r="E15" s="110">
        <v>0.33</v>
      </c>
      <c r="F15" s="110"/>
      <c r="G15" s="439" t="str">
        <f t="shared" si="0"/>
        <v/>
      </c>
      <c r="H15" s="165"/>
      <c r="I15" s="436" t="str">
        <f t="shared" si="0"/>
        <v/>
      </c>
      <c r="J15" s="290">
        <f>VLOOKUP($B15,RBC!$B$5:$J$269,9,FALSE)</f>
        <v>0.2</v>
      </c>
      <c r="K15" s="442">
        <f t="shared" ref="K15" si="3">IFERROR($E15/J15,"")</f>
        <v>1.65</v>
      </c>
      <c r="L15" s="165"/>
      <c r="M15" s="436" t="str">
        <f t="shared" ref="M15" si="4">IFERROR($E15/L15,"")</f>
        <v/>
      </c>
    </row>
    <row r="16" spans="1:13" ht="15.75" thickBot="1">
      <c r="A16" s="672"/>
      <c r="B16" s="785" t="s">
        <v>29</v>
      </c>
      <c r="C16" s="860"/>
      <c r="D16" s="860"/>
      <c r="E16" s="786"/>
      <c r="F16" s="110"/>
      <c r="G16" s="67"/>
      <c r="H16" s="43"/>
      <c r="I16" s="430">
        <f>SUM(I13:I15)</f>
        <v>0.46666666666666673</v>
      </c>
      <c r="J16" s="43"/>
      <c r="K16" s="430">
        <f>SUM(K13:K15)</f>
        <v>1.65</v>
      </c>
      <c r="L16" s="43"/>
      <c r="M16" s="420">
        <f>SUM(M13:M15)</f>
        <v>7</v>
      </c>
    </row>
    <row r="17" spans="1:24">
      <c r="A17" s="670" t="s">
        <v>668</v>
      </c>
      <c r="B17" s="47" t="s">
        <v>93</v>
      </c>
      <c r="C17" s="361" t="s">
        <v>9</v>
      </c>
      <c r="D17" s="276" t="str">
        <f>VLOOKUP(B17,RBC!$B$8:$K$268,10,FALSE)</f>
        <v>HI3</v>
      </c>
      <c r="E17" s="128">
        <v>38</v>
      </c>
      <c r="F17" s="444">
        <f>VLOOKUP($B17,RBC!$B$5:$J$269,9,FALSE)</f>
        <v>470</v>
      </c>
      <c r="G17" s="445">
        <f>IFERROR($E17/F17,"")</f>
        <v>8.085106382978724E-2</v>
      </c>
      <c r="H17" s="127"/>
      <c r="I17" s="407" t="str">
        <f>IFERROR($E17/H17,"")</f>
        <v/>
      </c>
      <c r="J17" s="127"/>
      <c r="K17" s="407"/>
      <c r="L17" s="285">
        <f>VLOOKUP($B17,RBC!$B$5:$J$269,9,FALSE)</f>
        <v>470</v>
      </c>
      <c r="M17" s="443">
        <f>IFERROR($E17/L17,"")</f>
        <v>8.085106382978724E-2</v>
      </c>
    </row>
    <row r="18" spans="1:24">
      <c r="A18" s="671"/>
      <c r="B18" s="35" t="s">
        <v>96</v>
      </c>
      <c r="C18" s="98" t="s">
        <v>10</v>
      </c>
      <c r="D18" s="274" t="str">
        <f>VLOOKUP(B18,RBC!$B$8:$K$268,10,FALSE)</f>
        <v>HI3</v>
      </c>
      <c r="E18" s="22">
        <v>32</v>
      </c>
      <c r="F18" s="22"/>
      <c r="G18" s="68" t="str">
        <f t="shared" ref="G18" si="5">IFERROR($E18/F18,"")</f>
        <v/>
      </c>
      <c r="H18" s="370">
        <f>VLOOKUP($B18,RBC!$B$5:$J$269,9,FALSE)</f>
        <v>62000</v>
      </c>
      <c r="I18" s="428">
        <f t="shared" ref="I18" si="6">IFERROR($E18/H18,"")</f>
        <v>5.1612903225806454E-4</v>
      </c>
      <c r="J18" s="9"/>
      <c r="K18" s="58"/>
      <c r="L18" s="9"/>
      <c r="M18" s="69" t="str">
        <f t="shared" ref="M18" si="7">IFERROR($E18/L18,"")</f>
        <v/>
      </c>
    </row>
    <row r="19" spans="1:24" ht="15.75" thickBot="1">
      <c r="A19" s="671"/>
      <c r="B19" s="48" t="s">
        <v>99</v>
      </c>
      <c r="C19" s="441" t="s">
        <v>11</v>
      </c>
      <c r="D19" s="277" t="str">
        <f>VLOOKUP(B19,RBC!$B$8:$K$268,10,FALSE)</f>
        <v>HI5</v>
      </c>
      <c r="E19" s="110">
        <v>6.4</v>
      </c>
      <c r="F19" s="110"/>
      <c r="G19" s="436" t="str">
        <f t="shared" ref="G19" si="8">IFERROR($E19/F19,"")</f>
        <v/>
      </c>
      <c r="H19" s="165"/>
      <c r="I19" s="440" t="str">
        <f t="shared" ref="I19" si="9">IFERROR($E19/H19,"")</f>
        <v/>
      </c>
      <c r="J19" s="165"/>
      <c r="K19" s="439"/>
      <c r="L19" s="290">
        <f>VLOOKUP($B19,RBC!$B$5:$J$269,9,FALSE)</f>
        <v>6.9</v>
      </c>
      <c r="M19" s="438">
        <f t="shared" ref="M19" si="10">IFERROR($E19/L19,"")</f>
        <v>0.92753623188405798</v>
      </c>
    </row>
    <row r="20" spans="1:24" ht="15.75" thickBot="1">
      <c r="A20" s="672"/>
      <c r="B20" s="785" t="s">
        <v>30</v>
      </c>
      <c r="C20" s="860"/>
      <c r="D20" s="860"/>
      <c r="E20" s="786"/>
      <c r="F20" s="111"/>
      <c r="G20" s="446">
        <f>SUM(G17:G19)</f>
        <v>8.085106382978724E-2</v>
      </c>
      <c r="H20" s="66"/>
      <c r="I20" s="449">
        <f>SUM(I17:I19)</f>
        <v>5.1612903225806454E-4</v>
      </c>
      <c r="J20" s="66"/>
      <c r="K20" s="57"/>
      <c r="L20" s="66"/>
      <c r="M20" s="451">
        <f>SUM(M17:M19)</f>
        <v>1.0083872957138453</v>
      </c>
    </row>
    <row r="21" spans="1:24">
      <c r="A21" s="670" t="s">
        <v>685</v>
      </c>
      <c r="B21" s="798" t="s">
        <v>82</v>
      </c>
      <c r="C21" s="799"/>
      <c r="D21" s="799"/>
      <c r="E21" s="861"/>
      <c r="F21" s="135"/>
      <c r="G21" s="447">
        <f>SUM(G16,G20)</f>
        <v>8.085106382978724E-2</v>
      </c>
      <c r="H21" s="108"/>
      <c r="I21" s="447">
        <f>SUM(I16,I20)</f>
        <v>0.46718279569892479</v>
      </c>
      <c r="J21" s="108"/>
      <c r="K21" s="447">
        <f>SUM(K16,K20)</f>
        <v>1.65</v>
      </c>
      <c r="L21" s="108"/>
      <c r="M21" s="447">
        <f>SUM(M16,M20)</f>
        <v>8.0083872957138453</v>
      </c>
    </row>
    <row r="22" spans="1:24" ht="15.75" customHeight="1" thickBot="1">
      <c r="A22" s="671"/>
      <c r="B22" s="862" t="s">
        <v>31</v>
      </c>
      <c r="C22" s="863"/>
      <c r="D22" s="863"/>
      <c r="E22" s="864"/>
      <c r="F22" s="113"/>
      <c r="G22" s="448">
        <f>G21</f>
        <v>8.085106382978724E-2</v>
      </c>
      <c r="H22" s="120"/>
      <c r="I22" s="448">
        <f>I21</f>
        <v>0.46718279569892479</v>
      </c>
      <c r="J22" s="120"/>
      <c r="K22" s="450">
        <f>K21</f>
        <v>1.65</v>
      </c>
      <c r="L22" s="120"/>
      <c r="M22" s="450">
        <f>M21</f>
        <v>8.0083872957138453</v>
      </c>
    </row>
    <row r="23" spans="1:24" ht="15.75" customHeight="1">
      <c r="A23" s="779" t="s">
        <v>762</v>
      </c>
      <c r="B23" s="780"/>
      <c r="C23" s="780"/>
      <c r="D23" s="780"/>
      <c r="E23" s="797"/>
      <c r="F23" s="169" t="s">
        <v>718</v>
      </c>
      <c r="G23" s="419" t="str">
        <f>IF(AND(G22&gt;3.04,COUNTIF($D$13:$D$19,"HI3")&gt;0,COUNTIF($D$13:$D$19,"HI5")&gt;0),"Yes","No")</f>
        <v>No</v>
      </c>
      <c r="H23" s="169" t="s">
        <v>718</v>
      </c>
      <c r="I23" s="419" t="str">
        <f>IF(AND(I22&gt;3.04,COUNTIF($D$13:$D$19,"HI3")&gt;0,COUNTIF($D$13:$D$19,"HI5")&gt;0),"Yes","No")</f>
        <v>No</v>
      </c>
      <c r="J23" s="169" t="s">
        <v>718</v>
      </c>
      <c r="K23" s="419" t="str">
        <f>IF(AND(K22&gt;3.04,COUNTIF($D$13:$D$19,"HI3")&gt;0,COUNTIF($D$13:$D$19,"HI5")&gt;0),"Yes","No")</f>
        <v>No</v>
      </c>
      <c r="L23" s="169" t="s">
        <v>718</v>
      </c>
      <c r="M23" s="419" t="str">
        <f>IF(AND(M22&gt;3.04,COUNTIF($D$13:$D$19,"HI3")&gt;0,COUNTIF($D$13:$D$19,"HI5")&gt;0),"Yes","No")</f>
        <v>Yes</v>
      </c>
    </row>
    <row r="24" spans="1:24" ht="15.75" customHeight="1" thickBot="1">
      <c r="A24" s="677"/>
      <c r="B24" s="678"/>
      <c r="C24" s="678"/>
      <c r="D24" s="678"/>
      <c r="E24" s="783"/>
      <c r="F24" s="408" t="s">
        <v>721</v>
      </c>
      <c r="G24" s="384" t="str">
        <f>IF(G23="Yes",(SUMIF($D$13:$D$19,"HI3",G13:G19)/3+SUMIF($D$13:$D$19,"HI5",G13:G19)/5),"N/A")</f>
        <v>N/A</v>
      </c>
      <c r="H24" s="408" t="s">
        <v>721</v>
      </c>
      <c r="I24" s="384" t="str">
        <f>IF(I23="Yes",(SUMIF($D$13:$D$19,"HI3",I13:I19)/3+SUMIF($D$13:$D$19,"HI5",I13:I19)/5),"N/A")</f>
        <v>N/A</v>
      </c>
      <c r="J24" s="408" t="s">
        <v>721</v>
      </c>
      <c r="K24" s="384" t="str">
        <f>IF(K23="Yes",(SUMIF($D$13:$D$19,"HI3",K13:K19)/3+SUMIF($D$13:$D$19,"HI5",K13:K19)/5),"N/A")</f>
        <v>N/A</v>
      </c>
      <c r="L24" s="408" t="s">
        <v>721</v>
      </c>
      <c r="M24" s="384">
        <f>IF(M23="Yes",(SUMIF($D$13:$D$19,"HI3",M13:M19)/3+SUMIF($D$13:$D$19,"HI5",M13:M19)/5),"N/A")</f>
        <v>2.545790934320074</v>
      </c>
    </row>
    <row r="25" spans="1:24" ht="15.75" thickBot="1">
      <c r="C25" s="750"/>
      <c r="D25" s="750"/>
      <c r="E25" s="750"/>
      <c r="F25" s="750"/>
      <c r="G25" s="75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</row>
    <row r="26" spans="1:24" ht="17.25">
      <c r="B26" s="847" t="s">
        <v>665</v>
      </c>
      <c r="C26" s="848"/>
      <c r="D26" s="719" t="s">
        <v>664</v>
      </c>
      <c r="E26" s="716" t="s">
        <v>763</v>
      </c>
      <c r="F26" s="717"/>
      <c r="G26" s="718"/>
      <c r="I26" s="12"/>
      <c r="J26" s="12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8" thickBot="1">
      <c r="B27" s="849"/>
      <c r="C27" s="850"/>
      <c r="D27" s="720"/>
      <c r="E27" s="209" t="s">
        <v>679</v>
      </c>
      <c r="F27" s="233" t="s">
        <v>680</v>
      </c>
      <c r="G27" s="232" t="s">
        <v>764</v>
      </c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</row>
    <row r="28" spans="1:24">
      <c r="B28" s="703" t="s">
        <v>84</v>
      </c>
      <c r="C28" s="851"/>
      <c r="D28" s="254">
        <v>0.5</v>
      </c>
      <c r="E28" s="703">
        <v>0.5</v>
      </c>
      <c r="F28" s="704"/>
      <c r="G28" s="4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</row>
    <row r="29" spans="1:24">
      <c r="B29" s="705" t="s">
        <v>77</v>
      </c>
      <c r="C29" s="844"/>
      <c r="D29" s="196">
        <v>25</v>
      </c>
      <c r="E29" s="705">
        <v>1</v>
      </c>
      <c r="F29" s="706"/>
      <c r="G29" s="404"/>
      <c r="I29" s="203"/>
      <c r="J29" s="204"/>
      <c r="K29" s="203"/>
      <c r="L29" s="203"/>
      <c r="M29" s="203"/>
      <c r="N29" s="203"/>
      <c r="O29" s="204"/>
      <c r="P29" s="203"/>
      <c r="Q29" s="203"/>
      <c r="R29" s="203"/>
      <c r="S29" s="203"/>
      <c r="T29" s="204"/>
      <c r="U29" s="204"/>
      <c r="V29" s="203"/>
      <c r="W29" s="203"/>
      <c r="X29" s="204"/>
    </row>
    <row r="30" spans="1:24">
      <c r="B30" s="705" t="s">
        <v>78</v>
      </c>
      <c r="C30" s="844"/>
      <c r="D30" s="196">
        <v>50</v>
      </c>
      <c r="E30" s="252" t="s">
        <v>681</v>
      </c>
      <c r="F30" s="234">
        <v>5</v>
      </c>
      <c r="G30" s="235">
        <v>1</v>
      </c>
      <c r="I30" s="203"/>
      <c r="J30" s="204"/>
      <c r="K30" s="203"/>
      <c r="L30" s="203"/>
      <c r="M30" s="203"/>
      <c r="N30" s="203"/>
      <c r="O30" s="204"/>
      <c r="P30" s="203"/>
      <c r="Q30" s="203"/>
      <c r="R30" s="203"/>
      <c r="S30" s="203"/>
      <c r="T30" s="204"/>
      <c r="U30" s="204"/>
      <c r="V30" s="203"/>
      <c r="W30" s="203"/>
      <c r="X30" s="204"/>
    </row>
    <row r="31" spans="1:24">
      <c r="B31" s="705" t="s">
        <v>79</v>
      </c>
      <c r="C31" s="844"/>
      <c r="D31" s="196">
        <v>200</v>
      </c>
      <c r="E31" s="252" t="s">
        <v>682</v>
      </c>
      <c r="F31" s="234">
        <v>10</v>
      </c>
      <c r="G31" s="235">
        <v>2</v>
      </c>
      <c r="I31" s="203"/>
      <c r="J31" s="204"/>
      <c r="K31" s="203"/>
      <c r="L31" s="203"/>
      <c r="M31" s="203"/>
      <c r="N31" s="203"/>
      <c r="O31" s="204"/>
      <c r="P31" s="203"/>
      <c r="Q31" s="203"/>
      <c r="R31" s="203"/>
      <c r="S31" s="203"/>
      <c r="T31" s="204"/>
      <c r="U31" s="204"/>
      <c r="V31" s="203"/>
      <c r="W31" s="203"/>
      <c r="X31" s="204"/>
    </row>
    <row r="32" spans="1:24" ht="15.75" thickBot="1">
      <c r="B32" s="845" t="s">
        <v>80</v>
      </c>
      <c r="C32" s="846"/>
      <c r="D32" s="255">
        <v>500</v>
      </c>
      <c r="E32" s="253" t="s">
        <v>683</v>
      </c>
      <c r="F32" s="236">
        <v>20</v>
      </c>
      <c r="G32" s="237">
        <v>4</v>
      </c>
    </row>
    <row r="33" spans="1:21">
      <c r="B33" s="203"/>
      <c r="C33" s="203"/>
      <c r="D33" s="203"/>
      <c r="E33" s="204"/>
      <c r="F33" s="385"/>
      <c r="G33" s="386"/>
    </row>
    <row r="34" spans="1:21">
      <c r="A34" s="63" t="s">
        <v>58</v>
      </c>
      <c r="B34" s="203"/>
      <c r="C34" s="203"/>
      <c r="D34" s="203"/>
      <c r="E34" s="204"/>
      <c r="F34" s="385"/>
      <c r="G34" s="386"/>
    </row>
    <row r="35" spans="1:21" s="37" customFormat="1" ht="14.25">
      <c r="A35" s="13" t="s">
        <v>722</v>
      </c>
      <c r="D35" s="193"/>
      <c r="E35" s="193"/>
    </row>
    <row r="36" spans="1:21" s="37" customFormat="1" ht="14.25">
      <c r="A36" s="13" t="s">
        <v>757</v>
      </c>
      <c r="D36" s="193"/>
      <c r="E36" s="193"/>
    </row>
    <row r="37" spans="1:21">
      <c r="A37" s="13" t="s">
        <v>765</v>
      </c>
      <c r="B37" s="15"/>
      <c r="C37" s="15"/>
      <c r="D37" s="15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U37" s="17"/>
    </row>
    <row r="38" spans="1:21">
      <c r="A38" s="13" t="s">
        <v>760</v>
      </c>
      <c r="B38" s="15"/>
      <c r="C38" s="15"/>
      <c r="D38" s="15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U38" s="17"/>
    </row>
    <row r="39" spans="1:21">
      <c r="A39" s="13" t="s">
        <v>761</v>
      </c>
      <c r="C39" s="15"/>
      <c r="D39" s="15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U39" s="17"/>
    </row>
    <row r="40" spans="1:21" ht="15" customHeight="1">
      <c r="A40" s="13" t="s">
        <v>698</v>
      </c>
      <c r="C40" s="15"/>
      <c r="D40" s="15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U40" s="17"/>
    </row>
    <row r="41" spans="1:21">
      <c r="A41" s="13" t="s">
        <v>699</v>
      </c>
      <c r="C41" s="15"/>
      <c r="D41" s="15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>
      <c r="A42" s="13" t="s">
        <v>700</v>
      </c>
      <c r="C42" s="15"/>
      <c r="D42" s="15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>
      <c r="A43" s="13" t="s">
        <v>860</v>
      </c>
      <c r="C43" s="15"/>
      <c r="D43" s="15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>
      <c r="A44" s="13" t="s">
        <v>868</v>
      </c>
      <c r="C44" s="15"/>
      <c r="D44" s="15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>
      <c r="B45" s="13"/>
    </row>
    <row r="46" spans="1:21">
      <c r="A46" s="13" t="s">
        <v>640</v>
      </c>
    </row>
    <row r="47" spans="1:21">
      <c r="A47" s="13" t="s">
        <v>632</v>
      </c>
    </row>
    <row r="48" spans="1:21">
      <c r="A48" s="13" t="s">
        <v>641</v>
      </c>
    </row>
    <row r="49" spans="1:1">
      <c r="A49" s="11" t="s">
        <v>59</v>
      </c>
    </row>
    <row r="51" spans="1:1">
      <c r="A51" s="14" t="s">
        <v>697</v>
      </c>
    </row>
    <row r="52" spans="1:1">
      <c r="A52" s="37" t="s">
        <v>696</v>
      </c>
    </row>
  </sheetData>
  <mergeCells count="38">
    <mergeCell ref="L9:L12"/>
    <mergeCell ref="M9:M12"/>
    <mergeCell ref="B5:L5"/>
    <mergeCell ref="A7:A12"/>
    <mergeCell ref="D7:D12"/>
    <mergeCell ref="E7:M7"/>
    <mergeCell ref="B7:B12"/>
    <mergeCell ref="C7:C12"/>
    <mergeCell ref="J9:J12"/>
    <mergeCell ref="K9:K12"/>
    <mergeCell ref="F8:G8"/>
    <mergeCell ref="H8:I8"/>
    <mergeCell ref="J8:K8"/>
    <mergeCell ref="L8:M8"/>
    <mergeCell ref="E9:E12"/>
    <mergeCell ref="F9:F12"/>
    <mergeCell ref="B26:C27"/>
    <mergeCell ref="D26:D27"/>
    <mergeCell ref="E26:G26"/>
    <mergeCell ref="H9:H12"/>
    <mergeCell ref="I9:I12"/>
    <mergeCell ref="G9:G12"/>
    <mergeCell ref="B32:C32"/>
    <mergeCell ref="A13:A16"/>
    <mergeCell ref="A17:A20"/>
    <mergeCell ref="A21:A22"/>
    <mergeCell ref="B16:E16"/>
    <mergeCell ref="B20:E20"/>
    <mergeCell ref="B21:E21"/>
    <mergeCell ref="B22:E22"/>
    <mergeCell ref="A23:E24"/>
    <mergeCell ref="B28:C28"/>
    <mergeCell ref="E28:F28"/>
    <mergeCell ref="B29:C29"/>
    <mergeCell ref="B30:C30"/>
    <mergeCell ref="B31:C31"/>
    <mergeCell ref="E29:F29"/>
    <mergeCell ref="C25:G25"/>
  </mergeCells>
  <conditionalFormatting sqref="G23">
    <cfRule type="cellIs" dxfId="7" priority="13" operator="equal">
      <formula>"No"</formula>
    </cfRule>
    <cfRule type="cellIs" dxfId="6" priority="14" operator="equal">
      <formula>"Yes"</formula>
    </cfRule>
  </conditionalFormatting>
  <conditionalFormatting sqref="I23">
    <cfRule type="cellIs" dxfId="5" priority="5" operator="equal">
      <formula>"No"</formula>
    </cfRule>
    <cfRule type="cellIs" dxfId="4" priority="6" operator="equal">
      <formula>"Yes"</formula>
    </cfRule>
  </conditionalFormatting>
  <conditionalFormatting sqref="K23">
    <cfRule type="cellIs" dxfId="3" priority="3" operator="equal">
      <formula>"No"</formula>
    </cfRule>
    <cfRule type="cellIs" dxfId="2" priority="4" operator="equal">
      <formula>"Yes"</formula>
    </cfRule>
  </conditionalFormatting>
  <conditionalFormatting sqref="M23">
    <cfRule type="cellIs" dxfId="1" priority="1" operator="equal">
      <formula>"No"</formula>
    </cfRule>
    <cfRule type="cellIs" dxfId="0" priority="2" operator="equal">
      <formula>"Yes"</formula>
    </cfRule>
  </conditionalFormatting>
  <pageMargins left="0.7" right="0.7" top="0.75" bottom="0.75" header="0.3" footer="0.3"/>
  <pageSetup paperSize="3" scale="62" orientation="landscape" r:id="rId1"/>
  <headerFooter>
    <oddHeader>&amp;C&amp;G</oddHeader>
  </headerFooter>
  <ignoredErrors>
    <ignoredError sqref="H14:H16 L13:L15 H17:H19" 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59999389629810485"/>
    <pageSetUpPr fitToPage="1"/>
  </sheetPr>
  <dimension ref="A5:U35"/>
  <sheetViews>
    <sheetView view="pageBreakPreview" zoomScale="90" zoomScaleNormal="90" zoomScaleSheetLayoutView="90" workbookViewId="0">
      <selection activeCell="A6" sqref="A6"/>
    </sheetView>
  </sheetViews>
  <sheetFormatPr defaultColWidth="9.140625" defaultRowHeight="15"/>
  <cols>
    <col min="1" max="1" width="12.42578125" style="10" customWidth="1"/>
    <col min="2" max="2" width="14.5703125" style="10" customWidth="1"/>
    <col min="3" max="3" width="18.5703125" style="10" customWidth="1"/>
    <col min="4" max="4" width="11.85546875" style="10" customWidth="1"/>
    <col min="5" max="5" width="10.5703125" style="10" customWidth="1"/>
    <col min="6" max="6" width="10.42578125" style="10" customWidth="1"/>
    <col min="7" max="8" width="11.42578125" style="10" customWidth="1"/>
    <col min="9" max="10" width="11.85546875" style="10" customWidth="1"/>
    <col min="11" max="11" width="12" style="10" customWidth="1"/>
    <col min="12" max="12" width="11.42578125" style="10" customWidth="1"/>
    <col min="13" max="15" width="12.140625" style="10" customWidth="1"/>
    <col min="16" max="16" width="11.42578125" style="10" customWidth="1"/>
    <col min="17" max="17" width="11.5703125" style="10" customWidth="1"/>
    <col min="18" max="18" width="12.42578125" style="10" customWidth="1"/>
    <col min="19" max="19" width="11.5703125" style="10" customWidth="1"/>
    <col min="20" max="20" width="11.42578125" style="10" customWidth="1"/>
    <col min="21" max="21" width="12.85546875" style="10" bestFit="1" customWidth="1"/>
    <col min="22" max="16384" width="9.140625" style="10"/>
  </cols>
  <sheetData>
    <row r="5" spans="1:21" ht="19.5">
      <c r="B5" s="831" t="s">
        <v>655</v>
      </c>
      <c r="C5" s="831"/>
      <c r="D5" s="831"/>
      <c r="E5" s="831"/>
      <c r="F5" s="831"/>
      <c r="G5" s="831"/>
      <c r="H5" s="831"/>
      <c r="I5" s="831"/>
      <c r="J5" s="831"/>
      <c r="K5" s="831"/>
      <c r="L5" s="831"/>
      <c r="M5" s="831"/>
      <c r="N5" s="831"/>
      <c r="O5" s="831"/>
      <c r="P5" s="831"/>
      <c r="Q5" s="831"/>
      <c r="R5" s="831"/>
      <c r="S5" s="831"/>
      <c r="T5" s="831"/>
      <c r="U5" s="831"/>
    </row>
    <row r="6" spans="1:21" ht="15.75" thickBot="1"/>
    <row r="7" spans="1:21" ht="15" customHeight="1" thickBot="1">
      <c r="A7" s="670" t="s">
        <v>678</v>
      </c>
      <c r="B7" s="838" t="s">
        <v>754</v>
      </c>
      <c r="C7" s="724" t="s">
        <v>3</v>
      </c>
      <c r="D7" s="836" t="s">
        <v>73</v>
      </c>
      <c r="E7" s="876"/>
      <c r="F7" s="876"/>
      <c r="G7" s="837"/>
      <c r="H7" s="841" t="s">
        <v>64</v>
      </c>
      <c r="I7" s="842"/>
      <c r="J7" s="842"/>
      <c r="K7" s="842"/>
      <c r="L7" s="841" t="s">
        <v>65</v>
      </c>
      <c r="M7" s="842"/>
      <c r="N7" s="842"/>
      <c r="O7" s="843"/>
      <c r="P7" s="841" t="s">
        <v>66</v>
      </c>
      <c r="Q7" s="842"/>
      <c r="R7" s="842"/>
      <c r="S7" s="843"/>
      <c r="T7" s="836" t="s">
        <v>23</v>
      </c>
      <c r="U7" s="837"/>
    </row>
    <row r="8" spans="1:21" ht="15" customHeight="1" thickBot="1">
      <c r="A8" s="671"/>
      <c r="B8" s="839"/>
      <c r="C8" s="725"/>
      <c r="D8" s="833"/>
      <c r="E8" s="877"/>
      <c r="F8" s="877"/>
      <c r="G8" s="835"/>
      <c r="H8" s="833" t="s">
        <v>25</v>
      </c>
      <c r="I8" s="877"/>
      <c r="J8" s="877" t="s">
        <v>26</v>
      </c>
      <c r="K8" s="877"/>
      <c r="L8" s="833" t="s">
        <v>25</v>
      </c>
      <c r="M8" s="877"/>
      <c r="N8" s="877" t="s">
        <v>26</v>
      </c>
      <c r="O8" s="835"/>
      <c r="P8" s="833" t="s">
        <v>25</v>
      </c>
      <c r="Q8" s="877"/>
      <c r="R8" s="877" t="s">
        <v>26</v>
      </c>
      <c r="S8" s="835"/>
      <c r="T8" s="833"/>
      <c r="U8" s="835"/>
    </row>
    <row r="9" spans="1:21" ht="15" customHeight="1">
      <c r="A9" s="671"/>
      <c r="B9" s="839"/>
      <c r="C9" s="725"/>
      <c r="D9" s="832" t="s">
        <v>768</v>
      </c>
      <c r="E9" s="880"/>
      <c r="F9" s="881" t="s">
        <v>769</v>
      </c>
      <c r="G9" s="834"/>
      <c r="H9" s="112" t="s">
        <v>19</v>
      </c>
      <c r="I9" s="880" t="s">
        <v>67</v>
      </c>
      <c r="J9" s="595" t="s">
        <v>19</v>
      </c>
      <c r="K9" s="834" t="s">
        <v>67</v>
      </c>
      <c r="L9" s="112" t="s">
        <v>19</v>
      </c>
      <c r="M9" s="880" t="s">
        <v>67</v>
      </c>
      <c r="N9" s="595" t="s">
        <v>19</v>
      </c>
      <c r="O9" s="834" t="s">
        <v>67</v>
      </c>
      <c r="P9" s="112" t="s">
        <v>19</v>
      </c>
      <c r="Q9" s="880" t="s">
        <v>67</v>
      </c>
      <c r="R9" s="595" t="s">
        <v>19</v>
      </c>
      <c r="S9" s="834" t="s">
        <v>67</v>
      </c>
      <c r="T9" s="832" t="s">
        <v>68</v>
      </c>
      <c r="U9" s="834" t="s">
        <v>69</v>
      </c>
    </row>
    <row r="10" spans="1:21" ht="30">
      <c r="A10" s="671"/>
      <c r="B10" s="839"/>
      <c r="C10" s="725"/>
      <c r="D10" s="832"/>
      <c r="E10" s="880"/>
      <c r="F10" s="881"/>
      <c r="G10" s="834"/>
      <c r="H10" s="112" t="s">
        <v>25</v>
      </c>
      <c r="I10" s="880"/>
      <c r="J10" s="595" t="s">
        <v>26</v>
      </c>
      <c r="K10" s="834"/>
      <c r="L10" s="112" t="s">
        <v>25</v>
      </c>
      <c r="M10" s="880"/>
      <c r="N10" s="595" t="s">
        <v>26</v>
      </c>
      <c r="O10" s="834"/>
      <c r="P10" s="112" t="s">
        <v>25</v>
      </c>
      <c r="Q10" s="880"/>
      <c r="R10" s="595" t="s">
        <v>26</v>
      </c>
      <c r="S10" s="834"/>
      <c r="T10" s="832"/>
      <c r="U10" s="834"/>
    </row>
    <row r="11" spans="1:21" ht="33" thickBot="1">
      <c r="A11" s="671"/>
      <c r="B11" s="840"/>
      <c r="C11" s="787"/>
      <c r="D11" s="113" t="s">
        <v>4</v>
      </c>
      <c r="E11" s="581" t="s">
        <v>70</v>
      </c>
      <c r="F11" s="195" t="s">
        <v>5</v>
      </c>
      <c r="G11" s="580" t="s">
        <v>70</v>
      </c>
      <c r="H11" s="113" t="s">
        <v>71</v>
      </c>
      <c r="I11" s="581" t="s">
        <v>72</v>
      </c>
      <c r="J11" s="581" t="s">
        <v>71</v>
      </c>
      <c r="K11" s="580" t="s">
        <v>72</v>
      </c>
      <c r="L11" s="113" t="s">
        <v>71</v>
      </c>
      <c r="M11" s="581" t="s">
        <v>72</v>
      </c>
      <c r="N11" s="581" t="s">
        <v>71</v>
      </c>
      <c r="O11" s="580" t="s">
        <v>72</v>
      </c>
      <c r="P11" s="113" t="s">
        <v>71</v>
      </c>
      <c r="Q11" s="581" t="s">
        <v>72</v>
      </c>
      <c r="R11" s="581" t="s">
        <v>71</v>
      </c>
      <c r="S11" s="580" t="s">
        <v>72</v>
      </c>
      <c r="T11" s="113" t="s">
        <v>71</v>
      </c>
      <c r="U11" s="580" t="s">
        <v>72</v>
      </c>
    </row>
    <row r="12" spans="1:21">
      <c r="A12" s="873" t="s">
        <v>667</v>
      </c>
      <c r="B12" s="47" t="s">
        <v>153</v>
      </c>
      <c r="C12" s="105" t="s">
        <v>6</v>
      </c>
      <c r="D12" s="108">
        <v>140</v>
      </c>
      <c r="E12" s="457">
        <f>D12*(453.592/(365*24*60*60))</f>
        <v>2.0136631151699644E-3</v>
      </c>
      <c r="F12" s="75">
        <v>0.38</v>
      </c>
      <c r="G12" s="460">
        <f>F12*453.592/(24*60*60)</f>
        <v>1.9949648148148147E-3</v>
      </c>
      <c r="H12" s="424">
        <f>VLOOKUP($B12,RBC!$B$5:$J$269,3,FALSE)</f>
        <v>5.5999999999999995E-4</v>
      </c>
      <c r="I12" s="461">
        <f>IF(H12="--","",$E12/H12)</f>
        <v>3.595826991374937</v>
      </c>
      <c r="J12" s="278">
        <f>VLOOKUP($B12,RBC!$B$5:$J$269,4,FALSE)</f>
        <v>5.0000000000000001E-3</v>
      </c>
      <c r="K12" s="426">
        <f>IF(J12="--","",$E12/J12)</f>
        <v>0.40273262303399288</v>
      </c>
      <c r="L12" s="424">
        <f>VLOOKUP($B12,RBC!$B$5:$J$269,5,FALSE)</f>
        <v>1.4E-2</v>
      </c>
      <c r="M12" s="459">
        <f>IF(L12="--","",$E12/L12)</f>
        <v>0.14383307965499745</v>
      </c>
      <c r="N12" s="278">
        <f>VLOOKUP($B12,RBC!$B$5:$J$269,6,FALSE)</f>
        <v>3.6999999999999998E-2</v>
      </c>
      <c r="O12" s="463">
        <f>IF(N12="--","",$E12/N12)</f>
        <v>5.4423327437026069E-2</v>
      </c>
      <c r="P12" s="424">
        <f>VLOOKUP($B12,RBC!$B$5:$J$269,7,FALSE)</f>
        <v>6.7000000000000002E-3</v>
      </c>
      <c r="Q12" s="459">
        <f>IF(P12="--","",$E12/P12)</f>
        <v>0.30054673360745737</v>
      </c>
      <c r="R12" s="278">
        <f>VLOOKUP($B12,RBC!$B$5:$J$269,8,FALSE)</f>
        <v>3.6999999999999998E-2</v>
      </c>
      <c r="S12" s="463">
        <f>IF(R12="--","",$E12/R12)</f>
        <v>5.4423327437026069E-2</v>
      </c>
      <c r="T12" s="278">
        <f>VLOOKUP($B12,RBC!$B$5:$J$269,9,FALSE)</f>
        <v>0.03</v>
      </c>
      <c r="U12" s="463">
        <f>IF(T12="--","",$G12/T12)</f>
        <v>6.6498827160493823E-2</v>
      </c>
    </row>
    <row r="13" spans="1:21">
      <c r="A13" s="874"/>
      <c r="B13" s="35" t="s">
        <v>346</v>
      </c>
      <c r="C13" s="70" t="s">
        <v>7</v>
      </c>
      <c r="D13" s="111">
        <v>70</v>
      </c>
      <c r="E13" s="458">
        <f t="shared" ref="E13:E14" si="0">D13*(453.592/(365*24*60*60))</f>
        <v>1.0068315575849822E-3</v>
      </c>
      <c r="F13" s="65">
        <v>0.25</v>
      </c>
      <c r="G13" s="462">
        <f t="shared" ref="G13:G14" si="1">F13*453.592/(24*60*60)</f>
        <v>1.3124768518518518E-3</v>
      </c>
      <c r="H13" s="424" t="str">
        <f>VLOOKUP($B13,RBC!$B$5:$J$269,3,FALSE)</f>
        <v>--</v>
      </c>
      <c r="I13" s="461" t="str">
        <f t="shared" ref="I13:I14" si="2">IF(H13="--","",$E13/H13)</f>
        <v/>
      </c>
      <c r="J13" s="278">
        <f>VLOOKUP($B13,RBC!$B$5:$J$269,4,FALSE)</f>
        <v>0.09</v>
      </c>
      <c r="K13" s="463">
        <f>IF(J13="--","",$E13/J13)</f>
        <v>1.1187017306499803E-2</v>
      </c>
      <c r="L13" s="424" t="str">
        <f>VLOOKUP($B13,RBC!$B$5:$J$269,5,FALSE)</f>
        <v>--</v>
      </c>
      <c r="M13" s="459" t="str">
        <f t="shared" ref="M13:M14" si="3">IF(L13="--","",$E13/L13)</f>
        <v/>
      </c>
      <c r="N13" s="278">
        <f>VLOOKUP($B13,RBC!$B$5:$J$269,6,FALSE)</f>
        <v>0.4</v>
      </c>
      <c r="O13" s="462">
        <f t="shared" ref="O13:O14" si="4">IF(N13="--","",$E13/N13)</f>
        <v>2.5170788939624556E-3</v>
      </c>
      <c r="P13" s="424" t="str">
        <f>VLOOKUP($B13,RBC!$B$5:$J$269,7,FALSE)</f>
        <v>--</v>
      </c>
      <c r="Q13" s="459" t="str">
        <f t="shared" ref="Q13:Q14" si="5">IF(P13="--","",$E13/P13)</f>
        <v/>
      </c>
      <c r="R13" s="278">
        <f>VLOOKUP($B13,RBC!$B$5:$J$269,8,FALSE)</f>
        <v>0.4</v>
      </c>
      <c r="S13" s="462">
        <f t="shared" ref="S13:S14" si="6">IF(R13="--","",$E13/R13)</f>
        <v>2.5170788939624556E-3</v>
      </c>
      <c r="T13" s="278">
        <f>VLOOKUP($B13,RBC!$B$5:$J$269,9,FALSE)</f>
        <v>0.3</v>
      </c>
      <c r="U13" s="462">
        <f t="shared" ref="U13:U14" si="7">IF(T13="--","",$G13/T13)</f>
        <v>4.3749228395061728E-3</v>
      </c>
    </row>
    <row r="14" spans="1:21" ht="15.75" thickBot="1">
      <c r="A14" s="874"/>
      <c r="B14" s="35" t="s">
        <v>370</v>
      </c>
      <c r="C14" s="452" t="s">
        <v>8</v>
      </c>
      <c r="D14" s="111">
        <v>220</v>
      </c>
      <c r="E14" s="458">
        <f t="shared" si="0"/>
        <v>3.164327752409944E-3</v>
      </c>
      <c r="F14" s="65">
        <v>0.6</v>
      </c>
      <c r="G14" s="462">
        <f t="shared" si="1"/>
        <v>3.1499444444444444E-3</v>
      </c>
      <c r="H14" s="424">
        <f>VLOOKUP($B14,RBC!$B$5:$J$269,3,FALSE)</f>
        <v>3.8E-3</v>
      </c>
      <c r="I14" s="459">
        <f t="shared" si="2"/>
        <v>0.83271782958156426</v>
      </c>
      <c r="J14" s="278">
        <f>VLOOKUP($B14,RBC!$B$5:$J$269,4,FALSE)</f>
        <v>1.4E-2</v>
      </c>
      <c r="K14" s="426">
        <f>IF(J14="--","",$E14/J14)</f>
        <v>0.22602341088642458</v>
      </c>
      <c r="L14" s="465">
        <f>VLOOKUP($B14,RBC!$B$5:$J$269,5,FALSE)</f>
        <v>0.1</v>
      </c>
      <c r="M14" s="466">
        <f t="shared" si="3"/>
        <v>3.1643277524099435E-2</v>
      </c>
      <c r="N14" s="278">
        <f>VLOOKUP($B14,RBC!$B$5:$J$269,6,FALSE)</f>
        <v>6.2E-2</v>
      </c>
      <c r="O14" s="463">
        <f t="shared" si="4"/>
        <v>5.1037544393708778E-2</v>
      </c>
      <c r="P14" s="424">
        <f>VLOOKUP($B14,RBC!$B$5:$J$269,7,FALSE)</f>
        <v>4.5999999999999999E-2</v>
      </c>
      <c r="Q14" s="466">
        <f t="shared" si="5"/>
        <v>6.8789733748042259E-2</v>
      </c>
      <c r="R14" s="278">
        <f>VLOOKUP($B14,RBC!$B$5:$J$269,8,FALSE)</f>
        <v>6.2E-2</v>
      </c>
      <c r="S14" s="463">
        <f t="shared" si="6"/>
        <v>5.1037544393708778E-2</v>
      </c>
      <c r="T14" s="278">
        <f>VLOOKUP($B14,RBC!$B$5:$J$269,9,FALSE)</f>
        <v>0.2</v>
      </c>
      <c r="U14" s="463">
        <f t="shared" si="7"/>
        <v>1.5749722222222221E-2</v>
      </c>
    </row>
    <row r="15" spans="1:21">
      <c r="A15" s="874"/>
      <c r="B15" s="865" t="s">
        <v>685</v>
      </c>
      <c r="C15" s="867" t="s">
        <v>633</v>
      </c>
      <c r="D15" s="868"/>
      <c r="E15" s="868"/>
      <c r="F15" s="868"/>
      <c r="G15" s="869"/>
      <c r="H15" s="118"/>
      <c r="I15" s="468">
        <f>SUM(I12:I14)</f>
        <v>4.4285448209565015</v>
      </c>
      <c r="J15" s="75"/>
      <c r="K15" s="447">
        <f>SUM(K12:K14)</f>
        <v>0.6399430512269173</v>
      </c>
      <c r="L15" s="118"/>
      <c r="M15" s="474">
        <f>SUM(M12:M14)</f>
        <v>0.17547635717909688</v>
      </c>
      <c r="N15" s="75"/>
      <c r="O15" s="447">
        <f>SUM(O12:O14)</f>
        <v>0.10797795072469731</v>
      </c>
      <c r="P15" s="118"/>
      <c r="Q15" s="474">
        <f>SUM(Q12:Q14)</f>
        <v>0.36933646735549963</v>
      </c>
      <c r="R15" s="75"/>
      <c r="S15" s="447">
        <f>SUM(S12:S14)</f>
        <v>0.10797795072469731</v>
      </c>
      <c r="T15" s="108"/>
      <c r="U15" s="475">
        <f>SUM(U12:U14)</f>
        <v>8.662347222222222E-2</v>
      </c>
    </row>
    <row r="16" spans="1:21" ht="15.75" thickBot="1">
      <c r="A16" s="875"/>
      <c r="B16" s="866"/>
      <c r="C16" s="870" t="s">
        <v>634</v>
      </c>
      <c r="D16" s="871"/>
      <c r="E16" s="871"/>
      <c r="F16" s="871"/>
      <c r="G16" s="872"/>
      <c r="H16" s="150"/>
      <c r="I16" s="161"/>
      <c r="J16" s="61"/>
      <c r="K16" s="473">
        <f>SUM(K12:K14)/3</f>
        <v>0.21331435040897243</v>
      </c>
      <c r="L16" s="150"/>
      <c r="M16" s="161"/>
      <c r="N16" s="61"/>
      <c r="O16" s="470">
        <f>SUM(O12:O14)/3</f>
        <v>3.5992650241565768E-2</v>
      </c>
      <c r="P16" s="453"/>
      <c r="Q16" s="149"/>
      <c r="R16" s="149"/>
      <c r="S16" s="470">
        <f>SUM(S12:S14)/3</f>
        <v>3.5992650241565768E-2</v>
      </c>
      <c r="T16" s="454"/>
      <c r="U16" s="470">
        <f>SUM(U12:U14)/3</f>
        <v>2.8874490740740739E-2</v>
      </c>
    </row>
    <row r="17" spans="1:21">
      <c r="A17" s="873" t="s">
        <v>668</v>
      </c>
      <c r="B17" s="35" t="s">
        <v>93</v>
      </c>
      <c r="C17" s="70" t="s">
        <v>9</v>
      </c>
      <c r="D17" s="117">
        <v>100000</v>
      </c>
      <c r="E17" s="459">
        <f>D17*(453.592/(365*24*60*60))</f>
        <v>1.4383307965499745</v>
      </c>
      <c r="F17" s="65">
        <v>300</v>
      </c>
      <c r="G17" s="426">
        <f>F17*453.592/(24*60*60)</f>
        <v>1.5749722222222222</v>
      </c>
      <c r="H17" s="424">
        <f>VLOOKUP($B17,RBC!$B$5:$J$269,3,FALSE)</f>
        <v>0.45</v>
      </c>
      <c r="I17" s="461">
        <f t="shared" ref="I17:I19" si="8">IF(H17="--","",$E17/H17)</f>
        <v>3.1962906589999434</v>
      </c>
      <c r="J17" s="278">
        <f>VLOOKUP($B17,RBC!$B$5:$J$269,4,FALSE)</f>
        <v>140</v>
      </c>
      <c r="K17" s="463">
        <f>IF(J17="--","",$E17/J17)</f>
        <v>1.027379140392839E-2</v>
      </c>
      <c r="L17" s="424">
        <f>VLOOKUP($B17,RBC!$B$5:$J$269,5,FALSE)</f>
        <v>12</v>
      </c>
      <c r="M17" s="459">
        <f t="shared" ref="M17:M19" si="9">IF(L17="--","",$E17/L17)</f>
        <v>0.11986089971249787</v>
      </c>
      <c r="N17" s="278">
        <f>VLOOKUP($B17,RBC!$B$5:$J$269,6,FALSE)</f>
        <v>620</v>
      </c>
      <c r="O17" s="462">
        <f t="shared" ref="O17:O19" si="10">IF(N17="--","",$E17/N17)</f>
        <v>2.3198883815322168E-3</v>
      </c>
      <c r="P17" s="424">
        <f>VLOOKUP($B17,RBC!$B$5:$J$269,7,FALSE)</f>
        <v>5.5</v>
      </c>
      <c r="Q17" s="459">
        <f t="shared" ref="Q17:Q19" si="11">IF(P17="--","",$E17/P17)</f>
        <v>0.26151469028181357</v>
      </c>
      <c r="R17" s="278">
        <f>VLOOKUP($B17,RBC!$B$5:$J$269,8,FALSE)</f>
        <v>620</v>
      </c>
      <c r="S17" s="462">
        <f t="shared" ref="S17:S19" si="12">IF(R17="--","",$E17/R17)</f>
        <v>2.3198883815322168E-3</v>
      </c>
      <c r="T17" s="278">
        <f>VLOOKUP($B17,RBC!$B$5:$J$269,9,FALSE)</f>
        <v>470</v>
      </c>
      <c r="U17" s="462">
        <f t="shared" ref="U17:U19" si="13">IF(T17="--","",$G17/T17)</f>
        <v>3.3510047281323876E-3</v>
      </c>
    </row>
    <row r="18" spans="1:21">
      <c r="A18" s="874"/>
      <c r="B18" s="35" t="s">
        <v>96</v>
      </c>
      <c r="C18" s="70" t="s">
        <v>10</v>
      </c>
      <c r="D18" s="117">
        <v>80000</v>
      </c>
      <c r="E18" s="459">
        <f t="shared" ref="E18:E19" si="14">D18*(453.592/(365*24*60*60))</f>
        <v>1.1506646372399796</v>
      </c>
      <c r="F18" s="65">
        <v>250</v>
      </c>
      <c r="G18" s="426">
        <f t="shared" ref="G18:G19" si="15">F18*453.592/(24*60*60)</f>
        <v>1.3124768518518519</v>
      </c>
      <c r="H18" s="424" t="str">
        <f>VLOOKUP($B18,RBC!$B$5:$J$269,3,FALSE)</f>
        <v>--</v>
      </c>
      <c r="I18" s="461" t="str">
        <f t="shared" si="8"/>
        <v/>
      </c>
      <c r="J18" s="370">
        <f>VLOOKUP($B18,RBC!$B$5:$J$269,4,FALSE)</f>
        <v>31000</v>
      </c>
      <c r="K18" s="464">
        <f>IF(J18="--","",$E18/J18)</f>
        <v>3.7118214104515468E-5</v>
      </c>
      <c r="L18" s="424" t="str">
        <f>VLOOKUP($B18,RBC!$B$5:$J$269,5,FALSE)</f>
        <v>--</v>
      </c>
      <c r="M18" s="459" t="str">
        <f t="shared" si="9"/>
        <v/>
      </c>
      <c r="N18" s="370">
        <f>VLOOKUP($B18,RBC!$B$5:$J$269,6,FALSE)</f>
        <v>140000</v>
      </c>
      <c r="O18" s="467">
        <f t="shared" si="10"/>
        <v>8.2190331231427111E-6</v>
      </c>
      <c r="P18" s="424" t="str">
        <f>VLOOKUP($B18,RBC!$B$5:$J$269,7,FALSE)</f>
        <v>--</v>
      </c>
      <c r="Q18" s="459" t="str">
        <f t="shared" si="11"/>
        <v/>
      </c>
      <c r="R18" s="370">
        <f>VLOOKUP($B18,RBC!$B$5:$J$269,8,FALSE)</f>
        <v>140000</v>
      </c>
      <c r="S18" s="464">
        <f t="shared" si="12"/>
        <v>8.2190331231427111E-6</v>
      </c>
      <c r="T18" s="278">
        <f>VLOOKUP($B18,RBC!$B$5:$J$269,9,FALSE)</f>
        <v>62000</v>
      </c>
      <c r="U18" s="464">
        <f t="shared" si="13"/>
        <v>2.1168981481481484E-5</v>
      </c>
    </row>
    <row r="19" spans="1:21" ht="15.75" thickBot="1">
      <c r="A19" s="874"/>
      <c r="B19" s="35" t="s">
        <v>99</v>
      </c>
      <c r="C19" s="70" t="s">
        <v>11</v>
      </c>
      <c r="D19" s="117">
        <v>10000</v>
      </c>
      <c r="E19" s="459">
        <f t="shared" si="14"/>
        <v>0.14383307965499745</v>
      </c>
      <c r="F19" s="65">
        <v>50</v>
      </c>
      <c r="G19" s="426">
        <f t="shared" si="15"/>
        <v>0.26249537037037035</v>
      </c>
      <c r="H19" s="424" t="str">
        <f>VLOOKUP($B19,RBC!$B$5:$J$269,3,FALSE)</f>
        <v>--</v>
      </c>
      <c r="I19" s="461" t="str">
        <f t="shared" si="8"/>
        <v/>
      </c>
      <c r="J19" s="278">
        <f>VLOOKUP($B19,RBC!$B$5:$J$269,4,FALSE)</f>
        <v>0.35</v>
      </c>
      <c r="K19" s="426">
        <f>IF(J19="--","",$E19/J19)</f>
        <v>0.41095165615713558</v>
      </c>
      <c r="L19" s="424" t="str">
        <f>VLOOKUP($B19,RBC!$B$5:$J$269,5,FALSE)</f>
        <v>--</v>
      </c>
      <c r="M19" s="459" t="str">
        <f t="shared" si="9"/>
        <v/>
      </c>
      <c r="N19" s="278">
        <f>VLOOKUP($B19,RBC!$B$5:$J$269,6,FALSE)</f>
        <v>1.5</v>
      </c>
      <c r="O19" s="426">
        <f t="shared" si="10"/>
        <v>9.5888719769998298E-2</v>
      </c>
      <c r="P19" s="424" t="str">
        <f>VLOOKUP($B19,RBC!$B$5:$J$269,7,FALSE)</f>
        <v>--</v>
      </c>
      <c r="Q19" s="459" t="str">
        <f t="shared" si="11"/>
        <v/>
      </c>
      <c r="R19" s="278">
        <f>VLOOKUP($B19,RBC!$B$5:$J$269,8,FALSE)</f>
        <v>1.5</v>
      </c>
      <c r="S19" s="426">
        <f t="shared" si="12"/>
        <v>9.5888719769998298E-2</v>
      </c>
      <c r="T19" s="278">
        <f>VLOOKUP($B19,RBC!$B$5:$J$269,9,FALSE)</f>
        <v>6.9</v>
      </c>
      <c r="U19" s="463">
        <f t="shared" si="13"/>
        <v>3.8042807300053674E-2</v>
      </c>
    </row>
    <row r="20" spans="1:21">
      <c r="A20" s="874"/>
      <c r="B20" s="865" t="s">
        <v>685</v>
      </c>
      <c r="C20" s="867" t="s">
        <v>633</v>
      </c>
      <c r="D20" s="868"/>
      <c r="E20" s="868"/>
      <c r="F20" s="868"/>
      <c r="G20" s="869"/>
      <c r="H20" s="118"/>
      <c r="I20" s="468">
        <f>SUM(I17:I19)</f>
        <v>3.1962906589999434</v>
      </c>
      <c r="J20" s="75"/>
      <c r="K20" s="447">
        <f>SUM(K17:K19)</f>
        <v>0.42126256577516846</v>
      </c>
      <c r="L20" s="118"/>
      <c r="M20" s="474">
        <f>SUM(M17:M19)</f>
        <v>0.11986089971249787</v>
      </c>
      <c r="N20" s="75"/>
      <c r="O20" s="447">
        <f>SUM(O17:O19)</f>
        <v>9.821682718465366E-2</v>
      </c>
      <c r="P20" s="118"/>
      <c r="Q20" s="474">
        <f>SUM(Q17:Q19)</f>
        <v>0.26151469028181357</v>
      </c>
      <c r="R20" s="75"/>
      <c r="S20" s="447">
        <f>SUM(S17:S19)</f>
        <v>9.821682718465366E-2</v>
      </c>
      <c r="T20" s="108"/>
      <c r="U20" s="475">
        <f>SUM(U17:U19)</f>
        <v>4.1414981009667541E-2</v>
      </c>
    </row>
    <row r="21" spans="1:21" s="143" customFormat="1" ht="15" customHeight="1" thickBot="1">
      <c r="A21" s="875"/>
      <c r="B21" s="866"/>
      <c r="C21" s="870" t="s">
        <v>634</v>
      </c>
      <c r="D21" s="871"/>
      <c r="E21" s="871"/>
      <c r="F21" s="871"/>
      <c r="G21" s="872"/>
      <c r="H21" s="46"/>
      <c r="I21" s="161"/>
      <c r="J21" s="581"/>
      <c r="K21" s="470">
        <f>SUM(K17:K18)/3+K19/5</f>
        <v>8.5627301104104755E-2</v>
      </c>
      <c r="L21" s="46"/>
      <c r="M21" s="161"/>
      <c r="N21" s="581"/>
      <c r="O21" s="470">
        <f>SUM(O17:O18)/3+O19/5</f>
        <v>1.9953779758884779E-2</v>
      </c>
      <c r="P21" s="200"/>
      <c r="Q21" s="149"/>
      <c r="R21" s="201"/>
      <c r="S21" s="470">
        <f>SUM(S17:S18)/3+S19/5</f>
        <v>1.9953779758884779E-2</v>
      </c>
      <c r="T21" s="202"/>
      <c r="U21" s="470">
        <f>SUM(U17:U18)/3+U19/5</f>
        <v>8.7326193632153576E-3</v>
      </c>
    </row>
    <row r="22" spans="1:21" ht="15.75" thickBot="1">
      <c r="A22" s="873" t="s">
        <v>685</v>
      </c>
      <c r="B22" s="748" t="s">
        <v>633</v>
      </c>
      <c r="C22" s="749"/>
      <c r="D22" s="749"/>
      <c r="E22" s="749"/>
      <c r="F22" s="749"/>
      <c r="G22" s="878"/>
      <c r="H22" s="594"/>
      <c r="I22" s="469">
        <f>SUM(I15,I20)</f>
        <v>7.6248354799564453</v>
      </c>
      <c r="J22" s="455"/>
      <c r="K22" s="471">
        <f>SUM(K15,K20)</f>
        <v>1.0612056170020858</v>
      </c>
      <c r="L22" s="594"/>
      <c r="M22" s="469">
        <f>SUM(M15,M20)</f>
        <v>0.29533725689159473</v>
      </c>
      <c r="N22" s="455"/>
      <c r="O22" s="471">
        <f>SUM(O15,O20)</f>
        <v>0.20619477790935098</v>
      </c>
      <c r="P22" s="594"/>
      <c r="Q22" s="469">
        <f>SUM(Q15,Q20)</f>
        <v>0.63085115763731325</v>
      </c>
      <c r="R22" s="455"/>
      <c r="S22" s="471">
        <f>SUM(S15,S20)</f>
        <v>0.20619477790935098</v>
      </c>
      <c r="T22" s="456"/>
      <c r="U22" s="471">
        <f>SUM(U15,U20)</f>
        <v>0.12803845323188975</v>
      </c>
    </row>
    <row r="23" spans="1:21" s="143" customFormat="1" ht="15" customHeight="1" thickBot="1">
      <c r="A23" s="875"/>
      <c r="B23" s="767" t="s">
        <v>634</v>
      </c>
      <c r="C23" s="768"/>
      <c r="D23" s="768"/>
      <c r="E23" s="768"/>
      <c r="F23" s="768"/>
      <c r="G23" s="879"/>
      <c r="H23" s="46"/>
      <c r="I23" s="157"/>
      <c r="J23" s="581"/>
      <c r="K23" s="472">
        <f>SUM(K16,K21)</f>
        <v>0.29894165151307717</v>
      </c>
      <c r="L23" s="46"/>
      <c r="M23" s="157"/>
      <c r="N23" s="581"/>
      <c r="O23" s="472">
        <f>SUM(O16,O21)</f>
        <v>5.5946430000450548E-2</v>
      </c>
      <c r="P23" s="200"/>
      <c r="Q23" s="157"/>
      <c r="R23" s="581"/>
      <c r="S23" s="472">
        <f>SUM(S16,S21)</f>
        <v>5.5946430000450548E-2</v>
      </c>
      <c r="T23" s="202"/>
      <c r="U23" s="472">
        <f>SUM(U16,U21)</f>
        <v>3.7607110103956093E-2</v>
      </c>
    </row>
    <row r="24" spans="1:21">
      <c r="B24" s="119"/>
      <c r="C24" s="119"/>
    </row>
    <row r="25" spans="1:21">
      <c r="A25" s="63" t="s">
        <v>13</v>
      </c>
    </row>
    <row r="26" spans="1:21" s="37" customFormat="1" ht="14.25">
      <c r="A26" s="13" t="s">
        <v>722</v>
      </c>
      <c r="D26" s="193"/>
      <c r="E26" s="193"/>
    </row>
    <row r="27" spans="1:21">
      <c r="A27" s="11" t="s">
        <v>766</v>
      </c>
    </row>
    <row r="28" spans="1:21">
      <c r="A28" s="11" t="s">
        <v>767</v>
      </c>
    </row>
    <row r="30" spans="1:21">
      <c r="A30" s="11" t="s">
        <v>640</v>
      </c>
    </row>
    <row r="31" spans="1:21">
      <c r="A31" s="11" t="s">
        <v>74</v>
      </c>
    </row>
    <row r="32" spans="1:21">
      <c r="A32" s="11" t="s">
        <v>75</v>
      </c>
    </row>
    <row r="34" spans="1:1">
      <c r="A34" s="14" t="s">
        <v>697</v>
      </c>
    </row>
    <row r="35" spans="1:1">
      <c r="A35" s="37" t="s">
        <v>696</v>
      </c>
    </row>
  </sheetData>
  <mergeCells count="36">
    <mergeCell ref="B5:U5"/>
    <mergeCell ref="B7:B11"/>
    <mergeCell ref="D9:E10"/>
    <mergeCell ref="F9:G10"/>
    <mergeCell ref="I9:I10"/>
    <mergeCell ref="M9:M10"/>
    <mergeCell ref="O9:O10"/>
    <mergeCell ref="Q9:Q10"/>
    <mergeCell ref="S9:S10"/>
    <mergeCell ref="H8:I8"/>
    <mergeCell ref="J8:K8"/>
    <mergeCell ref="R8:S8"/>
    <mergeCell ref="T7:U8"/>
    <mergeCell ref="U9:U10"/>
    <mergeCell ref="A12:A16"/>
    <mergeCell ref="A17:A21"/>
    <mergeCell ref="A22:A23"/>
    <mergeCell ref="A7:A11"/>
    <mergeCell ref="T9:T10"/>
    <mergeCell ref="K9:K10"/>
    <mergeCell ref="D7:G8"/>
    <mergeCell ref="C7:C11"/>
    <mergeCell ref="H7:K7"/>
    <mergeCell ref="L7:O7"/>
    <mergeCell ref="P7:S7"/>
    <mergeCell ref="L8:M8"/>
    <mergeCell ref="N8:O8"/>
    <mergeCell ref="P8:Q8"/>
    <mergeCell ref="B22:G22"/>
    <mergeCell ref="B23:G23"/>
    <mergeCell ref="B15:B16"/>
    <mergeCell ref="B20:B21"/>
    <mergeCell ref="C15:G15"/>
    <mergeCell ref="C16:G16"/>
    <mergeCell ref="C20:G20"/>
    <mergeCell ref="C21:G21"/>
  </mergeCells>
  <pageMargins left="0.7" right="0.7" top="0.75" bottom="0.75" header="0.3" footer="0.3"/>
  <pageSetup paperSize="3" scale="47" orientation="landscape" r:id="rId1"/>
  <headerFooter>
    <oddHeader>&amp;C&amp;G</oddHeader>
  </headerFooter>
  <ignoredErrors>
    <ignoredError sqref="J12:J14 L12:L14 N12:N14 P12:P14 R12:R14 J17:J19 L17:L19 N17:N19 P17:P19 R17:R19" 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D4B9B62E87C4191FB63136FA21716" ma:contentTypeVersion="3" ma:contentTypeDescription="Create a new document." ma:contentTypeScope="" ma:versionID="52f34a55bcb4604769b5b26f83c610df">
  <xsd:schema xmlns:xsd="http://www.w3.org/2001/XMLSchema" xmlns:xs="http://www.w3.org/2001/XMLSchema" xmlns:p="http://schemas.microsoft.com/office/2006/metadata/properties" xmlns:ns1="http://schemas.microsoft.com/sharepoint/v3" xmlns:ns2="89cdaa30-7b22-4a6a-9ff8-e919efaf11cd" xmlns:ns3="4d0624c3-f678-473a-aaed-aa14d03be472" targetNamespace="http://schemas.microsoft.com/office/2006/metadata/properties" ma:root="true" ma:fieldsID="2d7cf663f22e1939383caf4bb963b843" ns1:_="" ns2:_="" ns3:_="">
    <xsd:import namespace="http://schemas.microsoft.com/sharepoint/v3"/>
    <xsd:import namespace="89cdaa30-7b22-4a6a-9ff8-e919efaf11cd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acil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daa30-7b22-4a6a-9ff8-e919efaf11cd" elementFormDefault="qualified">
    <xsd:import namespace="http://schemas.microsoft.com/office/2006/documentManagement/types"/>
    <xsd:import namespace="http://schemas.microsoft.com/office/infopath/2007/PartnerControls"/>
    <xsd:element name="Facility" ma:index="10" nillable="true" ma:displayName="Facility" ma:default="select..." ma:format="Dropdown" ma:internalName="Facility">
      <xsd:simpleType>
        <xsd:union memberTypes="dms:Text">
          <xsd:simpleType>
            <xsd:restriction base="dms:Choice">
              <xsd:enumeration value="select..."/>
              <xsd:enumeration value="General document"/>
              <xsd:enumeration value="Permit document"/>
              <xsd:enumeration value="AmeriTies West"/>
              <xsd:enumeration value="Cascade Steel"/>
              <xsd:enumeration value="ChemWaste"/>
              <xsd:enumeration value="Collins Pine"/>
              <xsd:enumeration value="Columbia Steel"/>
              <xsd:enumeration value="Covanta"/>
              <xsd:enumeration value="Eagle"/>
              <xsd:enumeration value="EcoLube"/>
              <xsd:enumeration value="Entek"/>
              <xsd:enumeration value="Genentech"/>
              <xsd:enumeration value="HollingsworthVose"/>
              <xsd:enumeration value="Hydro Extrusion"/>
              <xsd:enumeration value="NEXT"/>
              <xsd:enumeration value="NWMetals"/>
              <xsd:enumeration value="ORRCO"/>
              <xsd:enumeration value="Owens Brockway"/>
              <xsd:enumeration value="Packaging Corporation of America"/>
              <xsd:enumeration value="PCC Structurals"/>
              <xsd:enumeration value="QTS"/>
              <xsd:enumeration value="Roseburg FP Medford"/>
              <xsd:enumeration value="Stimson Lumber"/>
              <xsd:enumeration value="Wolf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acility xmlns="89cdaa30-7b22-4a6a-9ff8-e919efaf11cd">General document</Facility>
  </documentManagement>
</p:properties>
</file>

<file path=customXml/itemProps1.xml><?xml version="1.0" encoding="utf-8"?>
<ds:datastoreItem xmlns:ds="http://schemas.openxmlformats.org/officeDocument/2006/customXml" ds:itemID="{27C0EC05-19F6-4AA2-8F57-F7191B70CE8C}"/>
</file>

<file path=customXml/itemProps2.xml><?xml version="1.0" encoding="utf-8"?>
<ds:datastoreItem xmlns:ds="http://schemas.openxmlformats.org/officeDocument/2006/customXml" ds:itemID="{B51C7765-61CB-4E16-AA8E-9833BD9C46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B9EA12-955D-494F-AFCF-71DCA2F3A7D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9cdaa30-7b22-4a6a-9ff8-e919efaf11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10</vt:i4>
      </vt:variant>
    </vt:vector>
  </HeadingPairs>
  <TitlesOfParts>
    <vt:vector size="29" baseType="lpstr"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A-10</vt:lpstr>
      <vt:lpstr>A-11</vt:lpstr>
      <vt:lpstr>A-12</vt:lpstr>
      <vt:lpstr>A-13</vt:lpstr>
      <vt:lpstr>A-14</vt:lpstr>
      <vt:lpstr>A-15</vt:lpstr>
      <vt:lpstr>A-16</vt:lpstr>
      <vt:lpstr>A-17</vt:lpstr>
      <vt:lpstr>RBC</vt:lpstr>
      <vt:lpstr>Revision History</vt:lpstr>
      <vt:lpstr>'A-10'!Print_Area</vt:lpstr>
      <vt:lpstr>'A-12'!Print_Area</vt:lpstr>
      <vt:lpstr>'A-13'!Print_Area</vt:lpstr>
      <vt:lpstr>'A-14'!Print_Area</vt:lpstr>
      <vt:lpstr>'A-16'!Print_Area</vt:lpstr>
      <vt:lpstr>'A-17'!Print_Area</vt:lpstr>
      <vt:lpstr>'A-3'!Print_Area</vt:lpstr>
      <vt:lpstr>'A-6'!Print_Area</vt:lpstr>
      <vt:lpstr>'A-7'!Print_Area</vt:lpstr>
      <vt:lpstr>'A-8'!Print_Area</vt:lpstr>
    </vt:vector>
  </TitlesOfParts>
  <Company>Oregon Department of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MARTIN Kristen</dc:creator>
  <cp:lastModifiedBy>THOMPSON Michele</cp:lastModifiedBy>
  <cp:lastPrinted>2022-08-22T16:03:33Z</cp:lastPrinted>
  <dcterms:created xsi:type="dcterms:W3CDTF">2020-03-04T21:01:23Z</dcterms:created>
  <dcterms:modified xsi:type="dcterms:W3CDTF">2022-12-05T23:00:21Z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0x0101002D0D4B9B62E87C4191FB63136FA21716</vt:lpwstr>
  </property>
  <property fmtid="{D5CDD505-2E9C-101B-9397-08002B2CF9AE}" pid="3" name="MSIP_Label_48dc084e-eed9-453b-9f9c-5d9aa1c06e04_Enabled">
    <vt:lpwstr>true</vt:lpwstr>
  </property>
  <property fmtid="{D5CDD505-2E9C-101B-9397-08002B2CF9AE}" pid="4" name="MSIP_Label_48dc084e-eed9-453b-9f9c-5d9aa1c06e04_SetDate">
    <vt:lpwstr>2022-10-26T19:20:06Z</vt:lpwstr>
  </property>
  <property fmtid="{D5CDD505-2E9C-101B-9397-08002B2CF9AE}" pid="5" name="MSIP_Label_48dc084e-eed9-453b-9f9c-5d9aa1c06e04_Method">
    <vt:lpwstr>Standard</vt:lpwstr>
  </property>
  <property fmtid="{D5CDD505-2E9C-101B-9397-08002B2CF9AE}" pid="6" name="MSIP_Label_48dc084e-eed9-453b-9f9c-5d9aa1c06e04_Name">
    <vt:lpwstr>Unclassified (Items)</vt:lpwstr>
  </property>
  <property fmtid="{D5CDD505-2E9C-101B-9397-08002B2CF9AE}" pid="7" name="MSIP_Label_48dc084e-eed9-453b-9f9c-5d9aa1c06e04_SiteId">
    <vt:lpwstr>aa3f6932-fa7c-47b4-a0ce-a598cad161cf</vt:lpwstr>
  </property>
  <property fmtid="{D5CDD505-2E9C-101B-9397-08002B2CF9AE}" pid="8" name="MSIP_Label_48dc084e-eed9-453b-9f9c-5d9aa1c06e04_ActionId">
    <vt:lpwstr>a1661278-d07a-4377-ad80-c39dac708f24</vt:lpwstr>
  </property>
  <property fmtid="{D5CDD505-2E9C-101B-9397-08002B2CF9AE}" pid="9" name="MSIP_Label_48dc084e-eed9-453b-9f9c-5d9aa1c06e04_ContentBits">
    <vt:lpwstr>4</vt:lpwstr>
  </property>
</Properties>
</file>