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ortland\Projects\Columbia Steel Casting Co., Inc\Cleaner Air Oregon\DEQ Response Data\DEQ Response_due 2022-08-23\Deliverable\"/>
    </mc:Choice>
  </mc:AlternateContent>
  <xr:revisionPtr revIDLastSave="0" documentId="13_ncr:1_{F9CCCF85-2215-4C0E-8962-A074F1B40658}" xr6:coauthVersionLast="47" xr6:coauthVersionMax="47" xr10:uidLastSave="{00000000-0000-0000-0000-000000000000}"/>
  <bookViews>
    <workbookView xWindow="-120" yWindow="-120" windowWidth="29040" windowHeight="15840" xr2:uid="{291E9752-8E13-4D62-8D92-261ABCC503DC}"/>
  </bookViews>
  <sheets>
    <sheet name="Welding_EF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2" l="1"/>
  <c r="H42" i="2"/>
  <c r="I42" i="2" s="1"/>
  <c r="I39" i="2"/>
  <c r="J17" i="2"/>
  <c r="Q17" i="2" s="1"/>
  <c r="H17" i="2"/>
  <c r="O17" i="2" s="1"/>
  <c r="G17" i="2"/>
  <c r="N17" i="2" s="1"/>
  <c r="H16" i="2"/>
  <c r="O16" i="2" s="1"/>
  <c r="G16" i="2"/>
  <c r="N16" i="2" s="1"/>
  <c r="M15" i="2"/>
  <c r="T15" i="2" s="1"/>
  <c r="H15" i="2"/>
  <c r="O15" i="2" s="1"/>
  <c r="M14" i="2"/>
  <c r="T14" i="2" s="1"/>
  <c r="H14" i="2"/>
  <c r="O14" i="2" s="1"/>
  <c r="M13" i="2"/>
  <c r="T13" i="2" s="1"/>
  <c r="H13" i="2"/>
  <c r="O13" i="2" s="1"/>
  <c r="M12" i="2"/>
  <c r="T12" i="2" s="1"/>
  <c r="H12" i="2"/>
  <c r="O12" i="2" s="1"/>
  <c r="M26" i="2"/>
  <c r="T26" i="2" s="1"/>
  <c r="I26" i="2"/>
  <c r="P26" i="2" s="1"/>
  <c r="H26" i="2"/>
  <c r="O26" i="2" s="1"/>
  <c r="M25" i="2"/>
  <c r="T25" i="2" s="1"/>
  <c r="J25" i="2"/>
  <c r="Q25" i="2" s="1"/>
  <c r="J24" i="2"/>
  <c r="Q24" i="2" s="1"/>
  <c r="H24" i="2"/>
  <c r="O24" i="2" s="1"/>
  <c r="G24" i="2"/>
  <c r="N24" i="2" s="1"/>
  <c r="M23" i="2"/>
  <c r="T23" i="2" s="1"/>
  <c r="H23" i="2"/>
  <c r="O23" i="2" s="1"/>
  <c r="G23" i="2"/>
  <c r="N23" i="2" s="1"/>
  <c r="H22" i="2"/>
  <c r="O22" i="2" s="1"/>
  <c r="G22" i="2"/>
  <c r="N22" i="2" s="1"/>
  <c r="M21" i="2"/>
  <c r="T21" i="2" s="1"/>
  <c r="J21" i="2"/>
  <c r="Q21" i="2" s="1"/>
  <c r="I21" i="2"/>
  <c r="P21" i="2" s="1"/>
  <c r="H21" i="2"/>
  <c r="O21" i="2" s="1"/>
  <c r="G21" i="2"/>
  <c r="N21" i="2" s="1"/>
  <c r="J20" i="2"/>
  <c r="Q20" i="2" s="1"/>
  <c r="H20" i="2"/>
  <c r="O20" i="2" s="1"/>
  <c r="G20" i="2"/>
  <c r="N20" i="2" s="1"/>
  <c r="M19" i="2"/>
  <c r="T19" i="2" s="1"/>
  <c r="H19" i="2"/>
  <c r="O19" i="2" s="1"/>
  <c r="M18" i="2"/>
  <c r="T18" i="2" s="1"/>
  <c r="H18" i="2"/>
  <c r="O18" i="2" s="1"/>
  <c r="J11" i="2"/>
  <c r="Q11" i="2" s="1"/>
  <c r="H11" i="2"/>
  <c r="O11" i="2" s="1"/>
  <c r="G11" i="2"/>
  <c r="N11" i="2" s="1"/>
  <c r="H10" i="2"/>
  <c r="O10" i="2" s="1"/>
  <c r="G10" i="2"/>
  <c r="N10" i="2" s="1"/>
  <c r="H9" i="2"/>
  <c r="O9" i="2" s="1"/>
  <c r="L8" i="2"/>
  <c r="S8" i="2" s="1"/>
  <c r="K8" i="2"/>
  <c r="R8" i="2" s="1"/>
  <c r="J8" i="2"/>
  <c r="Q8" i="2" s="1"/>
  <c r="I8" i="2"/>
  <c r="P8" i="2" s="1"/>
  <c r="H8" i="2"/>
  <c r="O8" i="2" s="1"/>
  <c r="G8" i="2"/>
  <c r="N8" i="2" s="1"/>
  <c r="I47" i="2" l="1"/>
  <c r="G47" i="2"/>
  <c r="I46" i="2"/>
  <c r="G45" i="2"/>
  <c r="H45" i="2" s="1"/>
  <c r="I45" i="2" s="1"/>
  <c r="I44" i="2"/>
  <c r="I43" i="2" s="1"/>
  <c r="G43" i="2"/>
  <c r="G44" i="2" s="1"/>
  <c r="G40" i="2"/>
  <c r="G46" i="2" s="1"/>
  <c r="G39" i="2"/>
  <c r="G38" i="2"/>
</calcChain>
</file>

<file path=xl/sharedStrings.xml><?xml version="1.0" encoding="utf-8"?>
<sst xmlns="http://schemas.openxmlformats.org/spreadsheetml/2006/main" count="231" uniqueCount="74">
  <si>
    <t>Columbia Steel Casting Co., Inc.</t>
  </si>
  <si>
    <t xml:space="preserve">Building </t>
  </si>
  <si>
    <t>TEU</t>
  </si>
  <si>
    <t>Welding Material</t>
  </si>
  <si>
    <t>Welding Type</t>
  </si>
  <si>
    <t>Concentration (%)</t>
  </si>
  <si>
    <t>18540-29-9</t>
  </si>
  <si>
    <t>Fug01</t>
  </si>
  <si>
    <t>312 SS SOLID WIRE 1/16" 3</t>
  </si>
  <si>
    <t>GMAW - ER316</t>
  </si>
  <si>
    <t>LINCORE 15CRMN LI15CM-25#</t>
  </si>
  <si>
    <t>SMAW - 14Mn-4Cr</t>
  </si>
  <si>
    <t>1/16-71 ELITE</t>
  </si>
  <si>
    <t>FCAW-G - E71T</t>
  </si>
  <si>
    <t>5/64"L-60 LINCOLN WELD WI</t>
  </si>
  <si>
    <t>SMAW - E308</t>
  </si>
  <si>
    <t>LINCOLN H560 FLUX  3840#</t>
  </si>
  <si>
    <t>SAW</t>
  </si>
  <si>
    <t>5/32 STAINLESS WELD ROD #</t>
  </si>
  <si>
    <t>STICK ELECTRODE E310 1/8X</t>
  </si>
  <si>
    <t>SMAW - E310</t>
  </si>
  <si>
    <t>Fug15</t>
  </si>
  <si>
    <t>BLUE MAX FC 309L</t>
  </si>
  <si>
    <t>Notes:</t>
  </si>
  <si>
    <t>SMAW - E316</t>
  </si>
  <si>
    <t>(a) Provided in Safety Data Sheets (SDSs).</t>
  </si>
  <si>
    <t>--</t>
  </si>
  <si>
    <r>
      <t xml:space="preserve">Total Chromium </t>
    </r>
    <r>
      <rPr>
        <b/>
        <vertAlign val="superscript"/>
        <sz val="10"/>
        <color theme="1"/>
        <rFont val="Calibri"/>
        <family val="2"/>
        <scheme val="minor"/>
      </rPr>
      <t>(a)</t>
    </r>
  </si>
  <si>
    <t>(b) https://www.sdapcd.org/content/sdapcd/permits/toxics-emissions/calculation-procedures.html</t>
  </si>
  <si>
    <r>
      <t xml:space="preserve">Chromium, Hexavalent </t>
    </r>
    <r>
      <rPr>
        <b/>
        <vertAlign val="superscript"/>
        <sz val="10"/>
        <color theme="1"/>
        <rFont val="Calibri"/>
        <family val="2"/>
        <scheme val="minor"/>
      </rPr>
      <t>(b)</t>
    </r>
  </si>
  <si>
    <t>Chromium, Hexavalent</t>
  </si>
  <si>
    <t>(b)</t>
  </si>
  <si>
    <t>Ci = [total chromium concentration (lb/lb)] x [total chromium to hexavalent chromium conversion rate (%)] / 100</t>
  </si>
  <si>
    <t>SMAW: Total Cr to Cr(VI) conversion rate (%) =</t>
  </si>
  <si>
    <t>GMAW: Total Cr to Cr(VI) conversion rate (%) =</t>
  </si>
  <si>
    <t>Uncontrolled Emission Factor (lb/lb)</t>
  </si>
  <si>
    <t>Welding - Welding Emission Factor Calculations</t>
  </si>
  <si>
    <t>lb/1000 lb</t>
  </si>
  <si>
    <t>AP-42
Table 12.19-1</t>
  </si>
  <si>
    <r>
      <t>PM</t>
    </r>
    <r>
      <rPr>
        <b/>
        <vertAlign val="subscript"/>
        <sz val="10"/>
        <color theme="1"/>
        <rFont val="Calibri"/>
        <family val="2"/>
        <scheme val="minor"/>
      </rPr>
      <t>10</t>
    </r>
    <r>
      <rPr>
        <b/>
        <sz val="10"/>
        <color theme="1"/>
        <rFont val="Calibri"/>
        <family val="2"/>
        <scheme val="minor"/>
      </rPr>
      <t xml:space="preserve"> Emission Factor</t>
    </r>
  </si>
  <si>
    <t>15 - Mtce</t>
  </si>
  <si>
    <t>ER70S-6 WELDING WIRE 33#</t>
  </si>
  <si>
    <t>GMAW - E70S</t>
  </si>
  <si>
    <t>3/16 STAINLESS WELD ROD #</t>
  </si>
  <si>
    <t>1/8" SPECIAL ROD FOR RAIL</t>
  </si>
  <si>
    <t>FCAW-E308LT</t>
  </si>
  <si>
    <t>ELECTRODE COPPER COATED,</t>
  </si>
  <si>
    <t>ELECTRODES 7018 1/8</t>
  </si>
  <si>
    <t>SMAW - E7018</t>
  </si>
  <si>
    <t>7440-02-0</t>
  </si>
  <si>
    <t>7439-96-5</t>
  </si>
  <si>
    <t>7429-90-5</t>
  </si>
  <si>
    <t>7440-50-8</t>
  </si>
  <si>
    <t>7440-62-2</t>
  </si>
  <si>
    <t>7440-48-4</t>
  </si>
  <si>
    <t>7631-86-9</t>
  </si>
  <si>
    <t>Nickel</t>
  </si>
  <si>
    <t>Manganese</t>
  </si>
  <si>
    <t>Aluminum</t>
  </si>
  <si>
    <t>Copper</t>
  </si>
  <si>
    <t>Vanadium (fume or dust)</t>
  </si>
  <si>
    <t xml:space="preserve">Cobalt </t>
  </si>
  <si>
    <t>Silica, crystalline (respirable)</t>
  </si>
  <si>
    <r>
      <t xml:space="preserve">Concentration (%) </t>
    </r>
    <r>
      <rPr>
        <b/>
        <vertAlign val="superscript"/>
        <sz val="10"/>
        <rFont val="Calibri"/>
        <family val="2"/>
        <scheme val="minor"/>
      </rPr>
      <t>(a)</t>
    </r>
  </si>
  <si>
    <t>Calculations:</t>
  </si>
  <si>
    <r>
      <t>Uncontrolled Emission Factor (lb/lb)</t>
    </r>
    <r>
      <rPr>
        <b/>
        <vertAlign val="superscript"/>
        <sz val="10"/>
        <rFont val="Calibri"/>
        <family val="2"/>
        <scheme val="minor"/>
      </rPr>
      <t xml:space="preserve"> (1)</t>
    </r>
  </si>
  <si>
    <t>Control Efficiency</t>
  </si>
  <si>
    <t>%</t>
  </si>
  <si>
    <t>(1) Emission Factor (lb/lb rod) = (PM10 emission factor [lb/1000lb]) x (concentration [%]) / 100 / 1000</t>
  </si>
  <si>
    <t>(b,1)</t>
  </si>
  <si>
    <t>(b,2)</t>
  </si>
  <si>
    <t>(2) Emission factor (lb/lb rod) = [listed emission factor (lb/lb rod)] x Ci</t>
  </si>
  <si>
    <t xml:space="preserve">      AP-42 Table 12.19-2 Cr(VI) emission factors used where available</t>
  </si>
  <si>
    <t>(1) Emission factor (lb/lb rod) = [Total Cr emission factor (lb/lb rod)] x [Total Cr to Cr(VI) conversion rate (%)] /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</si>
</sst>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7" fontId="2" fillId="0" borderId="7" xfId="0" applyNumberFormat="1" applyFont="1" applyBorder="1"/>
    <xf numFmtId="14" fontId="2" fillId="0" borderId="7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11" fontId="2" fillId="0" borderId="8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/>
    </xf>
    <xf numFmtId="2" fontId="2" fillId="0" borderId="7" xfId="0" quotePrefix="1" applyNumberFormat="1" applyFont="1" applyFill="1" applyBorder="1" applyAlignment="1">
      <alignment horizontal="center"/>
    </xf>
    <xf numFmtId="2" fontId="2" fillId="0" borderId="26" xfId="0" quotePrefix="1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2" fillId="0" borderId="8" xfId="0" quotePrefix="1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9" xfId="0" quotePrefix="1" applyNumberFormat="1" applyFont="1" applyFill="1" applyBorder="1" applyAlignment="1">
      <alignment horizontal="center"/>
    </xf>
    <xf numFmtId="2" fontId="2" fillId="0" borderId="27" xfId="0" quotePrefix="1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8" fillId="0" borderId="0" xfId="0" applyFont="1" applyFill="1"/>
    <xf numFmtId="0" fontId="9" fillId="0" borderId="0" xfId="0" applyFont="1" applyFill="1" applyAlignment="1"/>
    <xf numFmtId="0" fontId="8" fillId="0" borderId="0" xfId="0" applyFont="1"/>
    <xf numFmtId="0" fontId="9" fillId="0" borderId="0" xfId="0" applyFont="1"/>
    <xf numFmtId="0" fontId="1" fillId="0" borderId="29" xfId="0" applyFont="1" applyBorder="1" applyAlignment="1">
      <alignment horizontal="center" vertical="center" wrapText="1"/>
    </xf>
    <xf numFmtId="0" fontId="2" fillId="0" borderId="7" xfId="0" applyFont="1" applyFill="1" applyBorder="1"/>
    <xf numFmtId="17" fontId="2" fillId="0" borderId="7" xfId="0" applyNumberFormat="1" applyFont="1" applyFill="1" applyBorder="1"/>
    <xf numFmtId="14" fontId="2" fillId="0" borderId="7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23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Alignment="1"/>
    <xf numFmtId="0" fontId="10" fillId="0" borderId="0" xfId="1"/>
    <xf numFmtId="11" fontId="2" fillId="0" borderId="10" xfId="0" applyNumberFormat="1" applyFont="1" applyFill="1" applyBorder="1" applyAlignment="1">
      <alignment horizontal="center"/>
    </xf>
    <xf numFmtId="11" fontId="0" fillId="0" borderId="0" xfId="0" applyNumberFormat="1"/>
    <xf numFmtId="0" fontId="12" fillId="0" borderId="0" xfId="0" applyFont="1" applyFill="1" applyAlignment="1"/>
    <xf numFmtId="0" fontId="4" fillId="0" borderId="7" xfId="0" applyFont="1" applyFill="1" applyBorder="1" applyAlignment="1">
      <alignment horizontal="center"/>
    </xf>
    <xf numFmtId="11" fontId="2" fillId="0" borderId="12" xfId="0" applyNumberFormat="1" applyFont="1" applyFill="1" applyBorder="1" applyAlignment="1">
      <alignment horizontal="center"/>
    </xf>
    <xf numFmtId="11" fontId="2" fillId="0" borderId="13" xfId="0" quotePrefix="1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1" fontId="4" fillId="0" borderId="8" xfId="0" applyNumberFormat="1" applyFont="1" applyFill="1" applyBorder="1" applyAlignment="1">
      <alignment horizontal="center"/>
    </xf>
    <xf numFmtId="11" fontId="2" fillId="0" borderId="8" xfId="0" quotePrefix="1" applyNumberFormat="1" applyFont="1" applyFill="1" applyBorder="1" applyAlignment="1">
      <alignment horizontal="center"/>
    </xf>
    <xf numFmtId="11" fontId="2" fillId="0" borderId="13" xfId="0" applyNumberFormat="1" applyFont="1" applyFill="1" applyBorder="1" applyAlignment="1">
      <alignment horizontal="center"/>
    </xf>
    <xf numFmtId="11" fontId="2" fillId="0" borderId="11" xfId="0" quotePrefix="1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4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0A949-EEB4-4DA7-A4C0-E2102875230F}">
  <dimension ref="A1:T74"/>
  <sheetViews>
    <sheetView tabSelected="1" workbookViewId="0"/>
  </sheetViews>
  <sheetFormatPr defaultRowHeight="15" x14ac:dyDescent="0.25"/>
  <cols>
    <col min="1" max="1" width="9.7109375" style="2" bestFit="1" customWidth="1"/>
    <col min="2" max="2" width="9.140625" style="2"/>
    <col min="3" max="3" width="28.85546875" style="2" customWidth="1"/>
    <col min="4" max="4" width="15.85546875" style="2" customWidth="1"/>
    <col min="5" max="5" width="9.42578125" style="2" customWidth="1"/>
    <col min="6" max="6" width="14.140625" style="2" customWidth="1"/>
    <col min="7" max="7" width="10.28515625" style="2" customWidth="1"/>
    <col min="8" max="8" width="11.7109375" style="2" bestFit="1" customWidth="1"/>
    <col min="9" max="9" width="11.7109375" style="2" customWidth="1"/>
    <col min="10" max="10" width="9.140625" style="2" bestFit="1" customWidth="1"/>
    <col min="11" max="11" width="12.28515625" style="2" bestFit="1" customWidth="1"/>
    <col min="12" max="12" width="10.28515625" style="2" customWidth="1"/>
    <col min="13" max="13" width="13.5703125" style="2" bestFit="1" customWidth="1"/>
    <col min="14" max="14" width="10.7109375" style="2" customWidth="1"/>
    <col min="15" max="15" width="11.28515625" style="2" customWidth="1"/>
    <col min="18" max="18" width="12.28515625" bestFit="1" customWidth="1"/>
    <col min="20" max="20" width="13.5703125" bestFit="1" customWidth="1"/>
  </cols>
  <sheetData>
    <row r="1" spans="1:20" x14ac:dyDescent="0.25">
      <c r="A1" s="1" t="s">
        <v>36</v>
      </c>
      <c r="B1" s="1"/>
    </row>
    <row r="2" spans="1:20" x14ac:dyDescent="0.25">
      <c r="A2" s="1" t="s">
        <v>0</v>
      </c>
      <c r="B2" s="1"/>
    </row>
    <row r="3" spans="1:20" x14ac:dyDescent="0.25">
      <c r="A3" s="85">
        <v>44796</v>
      </c>
      <c r="B3" s="1"/>
    </row>
    <row r="4" spans="1:20" x14ac:dyDescent="0.25">
      <c r="A4" s="1"/>
      <c r="B4" s="1"/>
    </row>
    <row r="5" spans="1:20" ht="25.5" customHeight="1" x14ac:dyDescent="0.25">
      <c r="A5" s="78" t="s">
        <v>1</v>
      </c>
      <c r="B5" s="78" t="s">
        <v>2</v>
      </c>
      <c r="C5" s="78" t="s">
        <v>3</v>
      </c>
      <c r="D5" s="78" t="s">
        <v>4</v>
      </c>
      <c r="E5" s="81" t="s">
        <v>66</v>
      </c>
      <c r="F5" s="16" t="s">
        <v>38</v>
      </c>
      <c r="G5" s="73" t="s">
        <v>63</v>
      </c>
      <c r="H5" s="74"/>
      <c r="I5" s="74"/>
      <c r="J5" s="74"/>
      <c r="K5" s="74"/>
      <c r="L5" s="74"/>
      <c r="M5" s="80"/>
      <c r="N5" s="73" t="s">
        <v>65</v>
      </c>
      <c r="O5" s="74"/>
      <c r="P5" s="74"/>
      <c r="Q5" s="74"/>
      <c r="R5" s="74"/>
      <c r="S5" s="74"/>
      <c r="T5" s="75"/>
    </row>
    <row r="6" spans="1:20" ht="27" customHeight="1" x14ac:dyDescent="0.25">
      <c r="A6" s="78"/>
      <c r="B6" s="78"/>
      <c r="C6" s="78"/>
      <c r="D6" s="78"/>
      <c r="E6" s="82"/>
      <c r="F6" s="18" t="s">
        <v>39</v>
      </c>
      <c r="G6" s="22" t="s">
        <v>49</v>
      </c>
      <c r="H6" s="15" t="s">
        <v>50</v>
      </c>
      <c r="I6" s="15" t="s">
        <v>51</v>
      </c>
      <c r="J6" s="15" t="s">
        <v>52</v>
      </c>
      <c r="K6" s="15" t="s">
        <v>53</v>
      </c>
      <c r="L6" s="15" t="s">
        <v>54</v>
      </c>
      <c r="M6" s="9" t="s">
        <v>55</v>
      </c>
      <c r="N6" s="24" t="s">
        <v>49</v>
      </c>
      <c r="O6" s="13" t="s">
        <v>50</v>
      </c>
      <c r="P6" s="13" t="s">
        <v>51</v>
      </c>
      <c r="Q6" s="13" t="s">
        <v>52</v>
      </c>
      <c r="R6" s="13" t="s">
        <v>53</v>
      </c>
      <c r="S6" s="13" t="s">
        <v>54</v>
      </c>
      <c r="T6" s="13" t="s">
        <v>55</v>
      </c>
    </row>
    <row r="7" spans="1:20" ht="26.25" thickBot="1" x14ac:dyDescent="0.3">
      <c r="A7" s="79"/>
      <c r="B7" s="79"/>
      <c r="C7" s="79"/>
      <c r="D7" s="79"/>
      <c r="E7" s="46" t="s">
        <v>67</v>
      </c>
      <c r="F7" s="17" t="s">
        <v>37</v>
      </c>
      <c r="G7" s="23" t="s">
        <v>56</v>
      </c>
      <c r="H7" s="21" t="s">
        <v>57</v>
      </c>
      <c r="I7" s="21" t="s">
        <v>58</v>
      </c>
      <c r="J7" s="21" t="s">
        <v>59</v>
      </c>
      <c r="K7" s="21" t="s">
        <v>60</v>
      </c>
      <c r="L7" s="21" t="s">
        <v>61</v>
      </c>
      <c r="M7" s="10" t="s">
        <v>62</v>
      </c>
      <c r="N7" s="23" t="s">
        <v>56</v>
      </c>
      <c r="O7" s="14" t="s">
        <v>57</v>
      </c>
      <c r="P7" s="14" t="s">
        <v>58</v>
      </c>
      <c r="Q7" s="14" t="s">
        <v>59</v>
      </c>
      <c r="R7" s="14" t="s">
        <v>60</v>
      </c>
      <c r="S7" s="14" t="s">
        <v>61</v>
      </c>
      <c r="T7" s="14" t="s">
        <v>62</v>
      </c>
    </row>
    <row r="8" spans="1:20" ht="15.75" thickTop="1" x14ac:dyDescent="0.25">
      <c r="A8" s="4">
        <v>1</v>
      </c>
      <c r="B8" s="4" t="s">
        <v>7</v>
      </c>
      <c r="C8" s="3" t="s">
        <v>8</v>
      </c>
      <c r="D8" s="47" t="s">
        <v>9</v>
      </c>
      <c r="E8" s="19">
        <v>99.97</v>
      </c>
      <c r="F8" s="50">
        <v>3.2</v>
      </c>
      <c r="G8" s="25">
        <f>AVERAGE(5,10)</f>
        <v>7.5</v>
      </c>
      <c r="H8" s="26">
        <f>AVERAGE(1,5)</f>
        <v>3</v>
      </c>
      <c r="I8" s="26">
        <f>AVERAGE(0.1,1)</f>
        <v>0.55000000000000004</v>
      </c>
      <c r="J8" s="26">
        <f>AVERAGE(0.1,1)</f>
        <v>0.55000000000000004</v>
      </c>
      <c r="K8" s="26">
        <f>AVERAGE(0.1,1)</f>
        <v>0.55000000000000004</v>
      </c>
      <c r="L8" s="26">
        <f>AVERAGE(0.1,1)</f>
        <v>0.55000000000000004</v>
      </c>
      <c r="M8" s="27"/>
      <c r="N8" s="36">
        <f t="shared" ref="N8:S8" si="0">$F8*G8/100/1000</f>
        <v>2.3999999999999998E-4</v>
      </c>
      <c r="O8" s="37">
        <f t="shared" si="0"/>
        <v>9.6000000000000016E-5</v>
      </c>
      <c r="P8" s="37">
        <f t="shared" si="0"/>
        <v>1.7600000000000001E-5</v>
      </c>
      <c r="Q8" s="37">
        <f t="shared" si="0"/>
        <v>1.7600000000000001E-5</v>
      </c>
      <c r="R8" s="37">
        <f t="shared" si="0"/>
        <v>1.7600000000000001E-5</v>
      </c>
      <c r="S8" s="37">
        <f t="shared" si="0"/>
        <v>1.7600000000000001E-5</v>
      </c>
      <c r="T8" s="37"/>
    </row>
    <row r="9" spans="1:20" x14ac:dyDescent="0.25">
      <c r="A9" s="4">
        <v>1</v>
      </c>
      <c r="B9" s="4" t="s">
        <v>7</v>
      </c>
      <c r="C9" s="47" t="s">
        <v>10</v>
      </c>
      <c r="D9" s="47" t="s">
        <v>11</v>
      </c>
      <c r="E9" s="19">
        <v>99.97</v>
      </c>
      <c r="F9" s="50">
        <v>81.599999999999994</v>
      </c>
      <c r="G9" s="28"/>
      <c r="H9" s="26">
        <f>AVERAGE(10,20)</f>
        <v>15</v>
      </c>
      <c r="I9" s="26"/>
      <c r="J9" s="26"/>
      <c r="K9" s="26"/>
      <c r="L9" s="26"/>
      <c r="M9" s="27"/>
      <c r="N9" s="36"/>
      <c r="O9" s="38">
        <f>$F9*H9/100/1000</f>
        <v>1.2240000000000001E-2</v>
      </c>
      <c r="P9" s="38"/>
      <c r="Q9" s="38"/>
      <c r="R9" s="38"/>
      <c r="S9" s="38"/>
      <c r="T9" s="38"/>
    </row>
    <row r="10" spans="1:20" x14ac:dyDescent="0.25">
      <c r="A10" s="4">
        <v>1</v>
      </c>
      <c r="B10" s="4" t="s">
        <v>7</v>
      </c>
      <c r="C10" s="48" t="s">
        <v>18</v>
      </c>
      <c r="D10" s="47" t="s">
        <v>24</v>
      </c>
      <c r="E10" s="19">
        <v>99.97</v>
      </c>
      <c r="F10" s="50">
        <v>10</v>
      </c>
      <c r="G10" s="28">
        <f>AVERAGE(8,10)</f>
        <v>9</v>
      </c>
      <c r="H10" s="26">
        <f>AVERAGE(2,4)</f>
        <v>3</v>
      </c>
      <c r="I10" s="26"/>
      <c r="J10" s="26"/>
      <c r="K10" s="26"/>
      <c r="L10" s="26"/>
      <c r="M10" s="27"/>
      <c r="N10" s="36">
        <f>$F10*G10/100/1000</f>
        <v>8.9999999999999998E-4</v>
      </c>
      <c r="O10" s="38">
        <f>$F10*H10/100/1000</f>
        <v>2.9999999999999997E-4</v>
      </c>
      <c r="P10" s="38"/>
      <c r="Q10" s="38"/>
      <c r="R10" s="38"/>
      <c r="S10" s="38"/>
      <c r="T10" s="38"/>
    </row>
    <row r="11" spans="1:20" x14ac:dyDescent="0.25">
      <c r="A11" s="4">
        <v>1</v>
      </c>
      <c r="B11" s="4" t="s">
        <v>7</v>
      </c>
      <c r="C11" s="47" t="s">
        <v>19</v>
      </c>
      <c r="D11" s="47" t="s">
        <v>20</v>
      </c>
      <c r="E11" s="19">
        <v>99.97</v>
      </c>
      <c r="F11" s="50">
        <v>15.1</v>
      </c>
      <c r="G11" s="29">
        <f>AVERAGE(0.5,36)</f>
        <v>18.25</v>
      </c>
      <c r="H11" s="26">
        <f>AVERAGE(0.05,13.5)</f>
        <v>6.7750000000000004</v>
      </c>
      <c r="I11" s="26"/>
      <c r="J11" s="26">
        <f>AVERAGE(0.75,4)</f>
        <v>2.375</v>
      </c>
      <c r="K11" s="26"/>
      <c r="L11" s="26"/>
      <c r="M11" s="27"/>
      <c r="N11" s="36">
        <f>$F11*G11/100/1000</f>
        <v>2.75575E-3</v>
      </c>
      <c r="O11" s="38">
        <f>$F11*H11/100/1000</f>
        <v>1.0230250000000001E-3</v>
      </c>
      <c r="P11" s="38"/>
      <c r="Q11" s="38">
        <f>$F11*J11/100/1000</f>
        <v>3.5862499999999995E-4</v>
      </c>
      <c r="R11" s="38"/>
      <c r="S11" s="38"/>
      <c r="T11" s="38"/>
    </row>
    <row r="12" spans="1:20" x14ac:dyDescent="0.25">
      <c r="A12" s="4">
        <v>15</v>
      </c>
      <c r="B12" s="4" t="s">
        <v>21</v>
      </c>
      <c r="C12" s="49" t="s">
        <v>12</v>
      </c>
      <c r="D12" s="47" t="s">
        <v>13</v>
      </c>
      <c r="E12" s="19">
        <v>99.9</v>
      </c>
      <c r="F12" s="50">
        <v>12.2</v>
      </c>
      <c r="G12" s="30"/>
      <c r="H12" s="31">
        <f>AVERAGE(1,5)</f>
        <v>3</v>
      </c>
      <c r="I12" s="31"/>
      <c r="J12" s="31"/>
      <c r="K12" s="31"/>
      <c r="L12" s="31"/>
      <c r="M12" s="32">
        <f>AVERAGE(0.1,1)</f>
        <v>0.55000000000000004</v>
      </c>
      <c r="N12" s="36"/>
      <c r="O12" s="38">
        <f t="shared" ref="O12:P26" si="1">$F12*H12/100/1000</f>
        <v>3.6599999999999995E-4</v>
      </c>
      <c r="P12" s="38"/>
      <c r="Q12" s="38"/>
      <c r="R12" s="38"/>
      <c r="S12" s="38"/>
      <c r="T12" s="38">
        <f t="shared" ref="T12:T15" si="2">$F12*M12/100/1000</f>
        <v>6.7099999999999991E-5</v>
      </c>
    </row>
    <row r="13" spans="1:20" x14ac:dyDescent="0.25">
      <c r="A13" s="4">
        <v>15</v>
      </c>
      <c r="B13" s="4" t="s">
        <v>21</v>
      </c>
      <c r="C13" s="47" t="s">
        <v>14</v>
      </c>
      <c r="D13" s="47" t="s">
        <v>15</v>
      </c>
      <c r="E13" s="19">
        <v>0</v>
      </c>
      <c r="F13" s="50">
        <v>10.8</v>
      </c>
      <c r="G13" s="30"/>
      <c r="H13" s="26">
        <f>AVERAGE(1,5)</f>
        <v>3</v>
      </c>
      <c r="I13" s="26"/>
      <c r="J13" s="26"/>
      <c r="K13" s="26"/>
      <c r="L13" s="26"/>
      <c r="M13" s="27">
        <f>AVERAGE(0.1,1)</f>
        <v>0.55000000000000004</v>
      </c>
      <c r="N13" s="36"/>
      <c r="O13" s="38">
        <f t="shared" si="1"/>
        <v>3.2400000000000007E-4</v>
      </c>
      <c r="P13" s="38"/>
      <c r="Q13" s="38"/>
      <c r="R13" s="38"/>
      <c r="S13" s="38"/>
      <c r="T13" s="38">
        <f t="shared" si="2"/>
        <v>5.9400000000000014E-5</v>
      </c>
    </row>
    <row r="14" spans="1:20" x14ac:dyDescent="0.25">
      <c r="A14" s="4">
        <v>15</v>
      </c>
      <c r="B14" s="4" t="s">
        <v>21</v>
      </c>
      <c r="C14" s="48" t="s">
        <v>14</v>
      </c>
      <c r="D14" s="47" t="s">
        <v>15</v>
      </c>
      <c r="E14" s="19">
        <v>99.9</v>
      </c>
      <c r="F14" s="50">
        <v>10.8</v>
      </c>
      <c r="G14" s="30"/>
      <c r="H14" s="26">
        <f>AVERAGE(1,5)</f>
        <v>3</v>
      </c>
      <c r="I14" s="26"/>
      <c r="J14" s="26"/>
      <c r="K14" s="26"/>
      <c r="L14" s="26"/>
      <c r="M14" s="27">
        <f>AVERAGE(0.1,1)</f>
        <v>0.55000000000000004</v>
      </c>
      <c r="N14" s="36"/>
      <c r="O14" s="38">
        <f t="shared" si="1"/>
        <v>3.2400000000000007E-4</v>
      </c>
      <c r="P14" s="38"/>
      <c r="Q14" s="38"/>
      <c r="R14" s="38"/>
      <c r="S14" s="38"/>
      <c r="T14" s="38">
        <f t="shared" si="2"/>
        <v>5.9400000000000014E-5</v>
      </c>
    </row>
    <row r="15" spans="1:20" x14ac:dyDescent="0.25">
      <c r="A15" s="4">
        <v>15</v>
      </c>
      <c r="B15" s="4" t="s">
        <v>21</v>
      </c>
      <c r="C15" s="47" t="s">
        <v>16</v>
      </c>
      <c r="D15" s="47" t="s">
        <v>17</v>
      </c>
      <c r="E15" s="19">
        <v>0</v>
      </c>
      <c r="F15" s="50">
        <v>0.05</v>
      </c>
      <c r="G15" s="30"/>
      <c r="H15" s="31">
        <f>AVERAGE(0.5,1.5)</f>
        <v>1</v>
      </c>
      <c r="I15" s="31"/>
      <c r="J15" s="31"/>
      <c r="K15" s="31"/>
      <c r="L15" s="31"/>
      <c r="M15" s="32">
        <f>AVERAGE(0.1,1)</f>
        <v>0.55000000000000004</v>
      </c>
      <c r="N15" s="36"/>
      <c r="O15" s="38">
        <f t="shared" si="1"/>
        <v>4.9999999999999998E-7</v>
      </c>
      <c r="P15" s="38"/>
      <c r="Q15" s="38"/>
      <c r="R15" s="38"/>
      <c r="S15" s="38"/>
      <c r="T15" s="38">
        <f t="shared" si="2"/>
        <v>2.7500000000000001E-7</v>
      </c>
    </row>
    <row r="16" spans="1:20" x14ac:dyDescent="0.25">
      <c r="A16" s="4">
        <v>15</v>
      </c>
      <c r="B16" s="4" t="s">
        <v>21</v>
      </c>
      <c r="C16" s="48" t="s">
        <v>18</v>
      </c>
      <c r="D16" s="47" t="s">
        <v>24</v>
      </c>
      <c r="E16" s="19">
        <v>99.9</v>
      </c>
      <c r="F16" s="50">
        <v>10</v>
      </c>
      <c r="G16" s="30">
        <f>AVERAGE(8,10)</f>
        <v>9</v>
      </c>
      <c r="H16" s="26">
        <f>AVERAGE(2,4)</f>
        <v>3</v>
      </c>
      <c r="I16" s="26"/>
      <c r="J16" s="26"/>
      <c r="K16" s="26"/>
      <c r="L16" s="26"/>
      <c r="M16" s="27"/>
      <c r="N16" s="36">
        <f t="shared" ref="N16:N17" si="3">$F16*G16/100/1000</f>
        <v>8.9999999999999998E-4</v>
      </c>
      <c r="O16" s="38">
        <f t="shared" si="1"/>
        <v>2.9999999999999997E-4</v>
      </c>
      <c r="P16" s="38"/>
      <c r="Q16" s="38"/>
      <c r="R16" s="38"/>
      <c r="S16" s="38"/>
      <c r="T16" s="38"/>
    </row>
    <row r="17" spans="1:20" x14ac:dyDescent="0.25">
      <c r="A17" s="4">
        <v>15</v>
      </c>
      <c r="B17" s="4" t="s">
        <v>21</v>
      </c>
      <c r="C17" s="47" t="s">
        <v>22</v>
      </c>
      <c r="D17" s="47" t="s">
        <v>9</v>
      </c>
      <c r="E17" s="19">
        <v>99.9</v>
      </c>
      <c r="F17" s="50">
        <v>3.2</v>
      </c>
      <c r="G17" s="30">
        <f>AVERAGE(0.5,36)</f>
        <v>18.25</v>
      </c>
      <c r="H17" s="26">
        <f>AVERAGE(0.05,13.5)</f>
        <v>6.7750000000000004</v>
      </c>
      <c r="I17" s="26"/>
      <c r="J17" s="26">
        <f>AVERAGE(0.75,4)</f>
        <v>2.375</v>
      </c>
      <c r="K17" s="26"/>
      <c r="L17" s="26"/>
      <c r="M17" s="27"/>
      <c r="N17" s="36">
        <f t="shared" si="3"/>
        <v>5.840000000000001E-4</v>
      </c>
      <c r="O17" s="38">
        <f t="shared" si="1"/>
        <v>2.1680000000000001E-4</v>
      </c>
      <c r="P17" s="38"/>
      <c r="Q17" s="38">
        <f>$F17*J17/100/1000</f>
        <v>7.6000000000000018E-5</v>
      </c>
      <c r="R17" s="38"/>
      <c r="S17" s="38"/>
      <c r="T17" s="38"/>
    </row>
    <row r="18" spans="1:20" x14ac:dyDescent="0.25">
      <c r="A18" s="4" t="s">
        <v>40</v>
      </c>
      <c r="B18" s="4" t="s">
        <v>21</v>
      </c>
      <c r="C18" s="47" t="s">
        <v>41</v>
      </c>
      <c r="D18" s="47" t="s">
        <v>42</v>
      </c>
      <c r="E18" s="19">
        <v>0</v>
      </c>
      <c r="F18" s="50">
        <v>5.2</v>
      </c>
      <c r="G18" s="30"/>
      <c r="H18" s="26">
        <f>AVERAGE(1,5)</f>
        <v>3</v>
      </c>
      <c r="I18" s="26"/>
      <c r="J18" s="26"/>
      <c r="K18" s="26"/>
      <c r="L18" s="26"/>
      <c r="M18" s="27">
        <f>AVERAGE(0.5,1.5)</f>
        <v>1</v>
      </c>
      <c r="N18" s="36"/>
      <c r="O18" s="38">
        <f t="shared" si="1"/>
        <v>1.5600000000000002E-4</v>
      </c>
      <c r="P18" s="38"/>
      <c r="Q18" s="38"/>
      <c r="R18" s="38"/>
      <c r="S18" s="38"/>
      <c r="T18" s="38">
        <f t="shared" ref="T18:T19" si="4">$F18*M18/100/1000</f>
        <v>5.2000000000000004E-5</v>
      </c>
    </row>
    <row r="19" spans="1:20" x14ac:dyDescent="0.25">
      <c r="A19" s="4"/>
      <c r="B19" s="4" t="s">
        <v>21</v>
      </c>
      <c r="C19" s="47" t="s">
        <v>12</v>
      </c>
      <c r="D19" s="47" t="s">
        <v>13</v>
      </c>
      <c r="E19" s="19">
        <v>0</v>
      </c>
      <c r="F19" s="50">
        <v>12.2</v>
      </c>
      <c r="G19" s="30"/>
      <c r="H19" s="26">
        <f>AVERAGE(1,5)</f>
        <v>3</v>
      </c>
      <c r="I19" s="26"/>
      <c r="J19" s="26"/>
      <c r="K19" s="26"/>
      <c r="L19" s="26"/>
      <c r="M19" s="27">
        <f>AVERAGE(0.1,1)</f>
        <v>0.55000000000000004</v>
      </c>
      <c r="N19" s="36"/>
      <c r="O19" s="38">
        <f t="shared" si="1"/>
        <v>3.6599999999999995E-4</v>
      </c>
      <c r="P19" s="38"/>
      <c r="Q19" s="38"/>
      <c r="R19" s="38"/>
      <c r="S19" s="38"/>
      <c r="T19" s="38">
        <f t="shared" si="4"/>
        <v>6.7099999999999991E-5</v>
      </c>
    </row>
    <row r="20" spans="1:20" x14ac:dyDescent="0.25">
      <c r="A20" s="4" t="s">
        <v>40</v>
      </c>
      <c r="B20" s="4" t="s">
        <v>21</v>
      </c>
      <c r="C20" s="47" t="s">
        <v>22</v>
      </c>
      <c r="D20" s="47" t="s">
        <v>9</v>
      </c>
      <c r="E20" s="19">
        <v>0</v>
      </c>
      <c r="F20" s="50">
        <v>3.2</v>
      </c>
      <c r="G20" s="30">
        <f>AVERAGE(0.5,36)</f>
        <v>18.25</v>
      </c>
      <c r="H20" s="26">
        <f>AVERAGE(0.05,13.5)</f>
        <v>6.7750000000000004</v>
      </c>
      <c r="I20" s="26"/>
      <c r="J20" s="26">
        <f>AVERAGE(0.75,4)</f>
        <v>2.375</v>
      </c>
      <c r="K20" s="26"/>
      <c r="L20" s="26"/>
      <c r="M20" s="27"/>
      <c r="N20" s="36">
        <f t="shared" ref="N20:N24" si="5">$F20*G20/100/1000</f>
        <v>5.840000000000001E-4</v>
      </c>
      <c r="O20" s="38">
        <f t="shared" si="1"/>
        <v>2.1680000000000001E-4</v>
      </c>
      <c r="P20" s="38"/>
      <c r="Q20" s="38">
        <f t="shared" ref="Q20:Q21" si="6">$F20*J20/100/1000</f>
        <v>7.6000000000000018E-5</v>
      </c>
      <c r="R20" s="38"/>
      <c r="S20" s="38"/>
      <c r="T20" s="38"/>
    </row>
    <row r="21" spans="1:20" x14ac:dyDescent="0.25">
      <c r="A21" s="4"/>
      <c r="B21" s="4" t="s">
        <v>21</v>
      </c>
      <c r="C21" s="47" t="s">
        <v>43</v>
      </c>
      <c r="D21" s="47" t="s">
        <v>15</v>
      </c>
      <c r="E21" s="19">
        <v>0</v>
      </c>
      <c r="F21" s="50">
        <v>10.8</v>
      </c>
      <c r="G21" s="30">
        <f>AVERAGE(7,13)</f>
        <v>10</v>
      </c>
      <c r="H21" s="26">
        <f>AVERAGE(1,5)</f>
        <v>3</v>
      </c>
      <c r="I21" s="26">
        <f>AVERAGE(1,5)</f>
        <v>3</v>
      </c>
      <c r="J21" s="26">
        <f>AVERAGE(0.1,1)</f>
        <v>0.55000000000000004</v>
      </c>
      <c r="K21" s="26"/>
      <c r="L21" s="26"/>
      <c r="M21" s="27">
        <f>AVERAGE(0.1,1)</f>
        <v>0.55000000000000004</v>
      </c>
      <c r="N21" s="36">
        <f t="shared" si="5"/>
        <v>1.08E-3</v>
      </c>
      <c r="O21" s="38">
        <f t="shared" si="1"/>
        <v>3.2400000000000007E-4</v>
      </c>
      <c r="P21" s="38">
        <f t="shared" si="1"/>
        <v>3.2400000000000007E-4</v>
      </c>
      <c r="Q21" s="38">
        <f t="shared" si="6"/>
        <v>5.9400000000000014E-5</v>
      </c>
      <c r="R21" s="38"/>
      <c r="S21" s="38"/>
      <c r="T21" s="38">
        <f t="shared" ref="T21" si="7">$F21*M21/100/1000</f>
        <v>5.9400000000000014E-5</v>
      </c>
    </row>
    <row r="22" spans="1:20" x14ac:dyDescent="0.25">
      <c r="A22" s="4"/>
      <c r="B22" s="4" t="s">
        <v>21</v>
      </c>
      <c r="C22" s="47" t="s">
        <v>18</v>
      </c>
      <c r="D22" s="47" t="s">
        <v>15</v>
      </c>
      <c r="E22" s="19">
        <v>0</v>
      </c>
      <c r="F22" s="50">
        <v>10.8</v>
      </c>
      <c r="G22" s="30">
        <f>AVERAGE(8,10)</f>
        <v>9</v>
      </c>
      <c r="H22" s="26">
        <f>AVERAGE(2,4)</f>
        <v>3</v>
      </c>
      <c r="I22" s="26"/>
      <c r="J22" s="26"/>
      <c r="K22" s="26"/>
      <c r="L22" s="26"/>
      <c r="M22" s="27"/>
      <c r="N22" s="36">
        <f t="shared" si="5"/>
        <v>9.7199999999999999E-4</v>
      </c>
      <c r="O22" s="38">
        <f t="shared" si="1"/>
        <v>3.2400000000000007E-4</v>
      </c>
      <c r="P22" s="38"/>
      <c r="Q22" s="38"/>
      <c r="R22" s="38"/>
      <c r="S22" s="38"/>
      <c r="T22" s="38"/>
    </row>
    <row r="23" spans="1:20" x14ac:dyDescent="0.25">
      <c r="A23" s="4"/>
      <c r="B23" s="4" t="s">
        <v>21</v>
      </c>
      <c r="C23" s="47" t="s">
        <v>44</v>
      </c>
      <c r="D23" s="47" t="s">
        <v>45</v>
      </c>
      <c r="E23" s="19">
        <v>0</v>
      </c>
      <c r="F23" s="50">
        <v>9.1</v>
      </c>
      <c r="G23" s="30">
        <f>AVERAGE(1,10)</f>
        <v>5.5</v>
      </c>
      <c r="H23" s="26">
        <f>AVERAGE(1,3)</f>
        <v>2</v>
      </c>
      <c r="I23" s="26"/>
      <c r="J23" s="26"/>
      <c r="K23" s="26"/>
      <c r="L23" s="26"/>
      <c r="M23" s="27">
        <f>AVERAGE(0.1,1)</f>
        <v>0.55000000000000004</v>
      </c>
      <c r="N23" s="36">
        <f t="shared" si="5"/>
        <v>5.0049999999999997E-4</v>
      </c>
      <c r="O23" s="38">
        <f t="shared" si="1"/>
        <v>1.8200000000000001E-4</v>
      </c>
      <c r="P23" s="38"/>
      <c r="Q23" s="38"/>
      <c r="R23" s="38"/>
      <c r="S23" s="38"/>
      <c r="T23" s="38">
        <f t="shared" ref="T23" si="8">$F23*M23/100/1000</f>
        <v>5.0049999999999997E-5</v>
      </c>
    </row>
    <row r="24" spans="1:20" x14ac:dyDescent="0.25">
      <c r="A24" s="4" t="s">
        <v>40</v>
      </c>
      <c r="B24" s="4" t="s">
        <v>21</v>
      </c>
      <c r="C24" s="47" t="s">
        <v>19</v>
      </c>
      <c r="D24" s="47" t="s">
        <v>20</v>
      </c>
      <c r="E24" s="19">
        <v>0</v>
      </c>
      <c r="F24" s="50">
        <v>15.1</v>
      </c>
      <c r="G24" s="30">
        <f>AVERAGE(0.5,36)</f>
        <v>18.25</v>
      </c>
      <c r="H24" s="26">
        <f>AVERAGE(0.05,13.5)</f>
        <v>6.7750000000000004</v>
      </c>
      <c r="I24" s="26"/>
      <c r="J24" s="26">
        <f>AVERAGE(0.75,4)</f>
        <v>2.375</v>
      </c>
      <c r="K24" s="26"/>
      <c r="L24" s="26"/>
      <c r="M24" s="27"/>
      <c r="N24" s="36">
        <f t="shared" si="5"/>
        <v>2.75575E-3</v>
      </c>
      <c r="O24" s="38">
        <f t="shared" si="1"/>
        <v>1.0230250000000001E-3</v>
      </c>
      <c r="P24" s="38"/>
      <c r="Q24" s="38">
        <f t="shared" ref="Q24:Q25" si="9">$F24*J24/100/1000</f>
        <v>3.5862499999999995E-4</v>
      </c>
      <c r="R24" s="38"/>
      <c r="S24" s="38"/>
      <c r="T24" s="38"/>
    </row>
    <row r="25" spans="1:20" x14ac:dyDescent="0.25">
      <c r="A25" s="4" t="s">
        <v>40</v>
      </c>
      <c r="B25" s="4" t="s">
        <v>21</v>
      </c>
      <c r="C25" s="3" t="s">
        <v>46</v>
      </c>
      <c r="D25" s="47" t="s">
        <v>15</v>
      </c>
      <c r="E25" s="19">
        <v>0</v>
      </c>
      <c r="F25" s="50">
        <v>10.8</v>
      </c>
      <c r="G25" s="30"/>
      <c r="H25" s="26"/>
      <c r="I25" s="26"/>
      <c r="J25" s="26">
        <f>AVERAGE(10,30)</f>
        <v>20</v>
      </c>
      <c r="K25" s="26"/>
      <c r="L25" s="26"/>
      <c r="M25" s="27">
        <f>AVERAGE(0.1,1)</f>
        <v>0.55000000000000004</v>
      </c>
      <c r="N25" s="36"/>
      <c r="O25" s="38"/>
      <c r="P25" s="38"/>
      <c r="Q25" s="38">
        <f t="shared" si="9"/>
        <v>2.16E-3</v>
      </c>
      <c r="R25" s="38"/>
      <c r="S25" s="38"/>
      <c r="T25" s="38">
        <f t="shared" ref="T25" si="10">$F25*M25/100/1000</f>
        <v>5.9400000000000014E-5</v>
      </c>
    </row>
    <row r="26" spans="1:20" x14ac:dyDescent="0.25">
      <c r="A26" s="8"/>
      <c r="B26" s="8" t="s">
        <v>21</v>
      </c>
      <c r="C26" s="7" t="s">
        <v>47</v>
      </c>
      <c r="D26" s="51" t="s">
        <v>48</v>
      </c>
      <c r="E26" s="20">
        <v>0</v>
      </c>
      <c r="F26" s="52">
        <v>18.399999999999999</v>
      </c>
      <c r="G26" s="33"/>
      <c r="H26" s="34">
        <f>AVERAGE(1,5)</f>
        <v>3</v>
      </c>
      <c r="I26" s="34">
        <f>AVERAGE(0.1,1)</f>
        <v>0.55000000000000004</v>
      </c>
      <c r="J26" s="34"/>
      <c r="K26" s="34"/>
      <c r="L26" s="34"/>
      <c r="M26" s="35">
        <f>AVERAGE(0.1,1)</f>
        <v>0.55000000000000004</v>
      </c>
      <c r="N26" s="39"/>
      <c r="O26" s="40">
        <f t="shared" si="1"/>
        <v>5.5199999999999997E-4</v>
      </c>
      <c r="P26" s="40">
        <f t="shared" si="1"/>
        <v>1.0119999999999999E-4</v>
      </c>
      <c r="Q26" s="40"/>
      <c r="R26" s="40"/>
      <c r="S26" s="40"/>
      <c r="T26" s="40">
        <f t="shared" ref="T26" si="11">$F26*M26/100/1000</f>
        <v>1.0119999999999999E-4</v>
      </c>
    </row>
    <row r="27" spans="1:20" x14ac:dyDescent="0.25">
      <c r="A27" s="1"/>
      <c r="B27" s="1"/>
    </row>
    <row r="28" spans="1:20" x14ac:dyDescent="0.25">
      <c r="A28" s="42" t="s">
        <v>23</v>
      </c>
      <c r="B28" s="11"/>
      <c r="C28" s="11"/>
      <c r="D28" s="11"/>
      <c r="E28" s="11"/>
      <c r="F28" s="11"/>
    </row>
    <row r="29" spans="1:20" x14ac:dyDescent="0.25">
      <c r="A29" s="43" t="s">
        <v>25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20" x14ac:dyDescent="0.25">
      <c r="A30" s="44"/>
      <c r="B30" s="1"/>
    </row>
    <row r="31" spans="1:20" x14ac:dyDescent="0.25">
      <c r="A31" s="44" t="s">
        <v>64</v>
      </c>
      <c r="B31" s="1"/>
    </row>
    <row r="32" spans="1:20" x14ac:dyDescent="0.25">
      <c r="A32" s="45" t="s">
        <v>68</v>
      </c>
      <c r="B32" s="1"/>
    </row>
    <row r="33" spans="1:15" x14ac:dyDescent="0.25">
      <c r="A33" s="1"/>
      <c r="B33" s="1"/>
    </row>
    <row r="34" spans="1:15" x14ac:dyDescent="0.25">
      <c r="A34" s="1"/>
      <c r="B34" s="1"/>
    </row>
    <row r="35" spans="1:15" ht="25.5" customHeight="1" x14ac:dyDescent="0.25">
      <c r="A35" s="78" t="s">
        <v>1</v>
      </c>
      <c r="B35" s="78" t="s">
        <v>2</v>
      </c>
      <c r="C35" s="78" t="s">
        <v>3</v>
      </c>
      <c r="D35" s="78" t="s">
        <v>4</v>
      </c>
      <c r="E35" s="81" t="s">
        <v>66</v>
      </c>
      <c r="F35" s="16" t="s">
        <v>38</v>
      </c>
      <c r="G35" s="73" t="s">
        <v>5</v>
      </c>
      <c r="H35" s="80"/>
      <c r="I35" s="73" t="s">
        <v>35</v>
      </c>
      <c r="J35" s="75"/>
      <c r="K35"/>
      <c r="L35"/>
      <c r="M35"/>
      <c r="N35"/>
      <c r="O35"/>
    </row>
    <row r="36" spans="1:15" ht="27" x14ac:dyDescent="0.25">
      <c r="A36" s="78"/>
      <c r="B36" s="78"/>
      <c r="C36" s="78"/>
      <c r="D36" s="78"/>
      <c r="E36" s="82"/>
      <c r="F36" s="18" t="s">
        <v>39</v>
      </c>
      <c r="G36" s="76" t="s">
        <v>27</v>
      </c>
      <c r="H36" s="9" t="s">
        <v>6</v>
      </c>
      <c r="I36" s="71" t="s">
        <v>6</v>
      </c>
      <c r="J36" s="72"/>
      <c r="K36"/>
      <c r="L36"/>
      <c r="M36"/>
      <c r="N36"/>
      <c r="O36"/>
    </row>
    <row r="37" spans="1:15" ht="28.5" thickBot="1" x14ac:dyDescent="0.3">
      <c r="A37" s="79"/>
      <c r="B37" s="79"/>
      <c r="C37" s="79"/>
      <c r="D37" s="79"/>
      <c r="E37" s="46" t="s">
        <v>67</v>
      </c>
      <c r="F37" s="17" t="s">
        <v>37</v>
      </c>
      <c r="G37" s="77"/>
      <c r="H37" s="10" t="s">
        <v>29</v>
      </c>
      <c r="I37" s="83" t="s">
        <v>30</v>
      </c>
      <c r="J37" s="84"/>
      <c r="K37"/>
      <c r="L37"/>
      <c r="M37"/>
      <c r="N37"/>
      <c r="O37"/>
    </row>
    <row r="38" spans="1:15" ht="15.75" thickTop="1" x14ac:dyDescent="0.25">
      <c r="A38" s="4">
        <v>1</v>
      </c>
      <c r="B38" s="4" t="s">
        <v>7</v>
      </c>
      <c r="C38" s="3" t="s">
        <v>8</v>
      </c>
      <c r="D38" s="3" t="s">
        <v>9</v>
      </c>
      <c r="E38" s="4">
        <v>99.97</v>
      </c>
      <c r="F38" s="50">
        <v>3.2</v>
      </c>
      <c r="G38" s="64">
        <f>AVERAGE(20,50)</f>
        <v>35</v>
      </c>
      <c r="H38" s="65" t="s">
        <v>26</v>
      </c>
      <c r="I38" s="12">
        <v>1.0000000000000001E-5</v>
      </c>
      <c r="J38" s="66" t="s">
        <v>31</v>
      </c>
      <c r="K38"/>
      <c r="L38"/>
      <c r="M38"/>
      <c r="N38"/>
      <c r="O38"/>
    </row>
    <row r="39" spans="1:15" x14ac:dyDescent="0.25">
      <c r="A39" s="4">
        <v>1</v>
      </c>
      <c r="B39" s="4" t="s">
        <v>7</v>
      </c>
      <c r="C39" s="3" t="s">
        <v>10</v>
      </c>
      <c r="D39" s="3" t="s">
        <v>11</v>
      </c>
      <c r="E39" s="4">
        <v>99.97</v>
      </c>
      <c r="F39" s="50">
        <v>81.599999999999994</v>
      </c>
      <c r="G39" s="67">
        <f>AVERAGE(10,20)</f>
        <v>15</v>
      </c>
      <c r="H39" s="65" t="s">
        <v>26</v>
      </c>
      <c r="I39" s="12">
        <f>(13.9/10000)*D66/100</f>
        <v>8.7569999999999998E-4</v>
      </c>
      <c r="J39" s="19" t="s">
        <v>69</v>
      </c>
      <c r="K39" s="61"/>
      <c r="L39" s="59"/>
      <c r="M39"/>
      <c r="N39"/>
      <c r="O39"/>
    </row>
    <row r="40" spans="1:15" x14ac:dyDescent="0.25">
      <c r="A40" s="4">
        <v>1</v>
      </c>
      <c r="B40" s="4" t="s">
        <v>7</v>
      </c>
      <c r="C40" s="5" t="s">
        <v>18</v>
      </c>
      <c r="D40" s="3" t="s">
        <v>24</v>
      </c>
      <c r="E40" s="4">
        <v>99.97</v>
      </c>
      <c r="F40" s="50">
        <v>10</v>
      </c>
      <c r="G40" s="67">
        <f>AVERAGE(14,16)</f>
        <v>15</v>
      </c>
      <c r="H40" s="65" t="s">
        <v>26</v>
      </c>
      <c r="I40" s="12">
        <v>3.3199999999999999E-4</v>
      </c>
      <c r="J40" s="19" t="s">
        <v>31</v>
      </c>
      <c r="K40"/>
      <c r="L40"/>
      <c r="M40"/>
      <c r="N40"/>
      <c r="O40"/>
    </row>
    <row r="41" spans="1:15" x14ac:dyDescent="0.25">
      <c r="A41" s="4">
        <v>1</v>
      </c>
      <c r="B41" s="4" t="s">
        <v>7</v>
      </c>
      <c r="C41" s="3" t="s">
        <v>19</v>
      </c>
      <c r="D41" s="3" t="s">
        <v>20</v>
      </c>
      <c r="E41" s="4">
        <v>99.97</v>
      </c>
      <c r="F41" s="50">
        <v>15.1</v>
      </c>
      <c r="G41" s="68" t="s">
        <v>26</v>
      </c>
      <c r="H41" s="65" t="s">
        <v>26</v>
      </c>
      <c r="I41" s="12">
        <v>1.8799999999999999E-3</v>
      </c>
      <c r="J41" s="19" t="s">
        <v>31</v>
      </c>
      <c r="K41"/>
      <c r="L41"/>
      <c r="M41"/>
      <c r="N41"/>
      <c r="O41"/>
    </row>
    <row r="42" spans="1:15" x14ac:dyDescent="0.25">
      <c r="A42" s="4">
        <v>15</v>
      </c>
      <c r="B42" s="4" t="s">
        <v>21</v>
      </c>
      <c r="C42" s="6" t="s">
        <v>12</v>
      </c>
      <c r="D42" s="3" t="s">
        <v>13</v>
      </c>
      <c r="E42" s="19">
        <v>99.9</v>
      </c>
      <c r="F42" s="50">
        <v>12.2</v>
      </c>
      <c r="G42" s="12">
        <v>0</v>
      </c>
      <c r="H42" s="69">
        <f>G42*0.1</f>
        <v>0</v>
      </c>
      <c r="I42" s="12">
        <f>F42/1000*0.02*H42/100</f>
        <v>0</v>
      </c>
      <c r="J42" s="19" t="s">
        <v>70</v>
      </c>
      <c r="K42"/>
      <c r="L42" s="59"/>
      <c r="M42"/>
      <c r="N42"/>
      <c r="O42"/>
    </row>
    <row r="43" spans="1:15" x14ac:dyDescent="0.25">
      <c r="A43" s="4">
        <v>15</v>
      </c>
      <c r="B43" s="4" t="s">
        <v>21</v>
      </c>
      <c r="C43" s="3" t="s">
        <v>14</v>
      </c>
      <c r="D43" s="3" t="s">
        <v>15</v>
      </c>
      <c r="E43" s="19">
        <v>0</v>
      </c>
      <c r="F43" s="50">
        <v>10.8</v>
      </c>
      <c r="G43" s="12">
        <f>AVERAGE(15,40)</f>
        <v>27.5</v>
      </c>
      <c r="H43" s="65" t="s">
        <v>26</v>
      </c>
      <c r="I43" s="12">
        <f>I44</f>
        <v>3.59E-4</v>
      </c>
      <c r="J43" s="19" t="s">
        <v>31</v>
      </c>
      <c r="K43"/>
      <c r="L43"/>
      <c r="M43"/>
      <c r="N43"/>
      <c r="O43"/>
    </row>
    <row r="44" spans="1:15" x14ac:dyDescent="0.25">
      <c r="A44" s="4">
        <v>15</v>
      </c>
      <c r="B44" s="4" t="s">
        <v>21</v>
      </c>
      <c r="C44" s="5" t="s">
        <v>14</v>
      </c>
      <c r="D44" s="3" t="s">
        <v>15</v>
      </c>
      <c r="E44" s="19">
        <v>99.9</v>
      </c>
      <c r="F44" s="50">
        <v>10.8</v>
      </c>
      <c r="G44" s="12">
        <f>G43</f>
        <v>27.5</v>
      </c>
      <c r="H44" s="65" t="s">
        <v>26</v>
      </c>
      <c r="I44" s="12">
        <f>3.59/10000</f>
        <v>3.59E-4</v>
      </c>
      <c r="J44" s="19" t="s">
        <v>31</v>
      </c>
      <c r="K44"/>
      <c r="L44"/>
      <c r="M44"/>
      <c r="N44"/>
      <c r="O44"/>
    </row>
    <row r="45" spans="1:15" x14ac:dyDescent="0.25">
      <c r="A45" s="4">
        <v>15</v>
      </c>
      <c r="B45" s="4" t="s">
        <v>21</v>
      </c>
      <c r="C45" s="3" t="s">
        <v>16</v>
      </c>
      <c r="D45" s="3" t="s">
        <v>17</v>
      </c>
      <c r="E45" s="19">
        <v>0</v>
      </c>
      <c r="F45" s="50">
        <v>0.05</v>
      </c>
      <c r="G45" s="12">
        <f>AVERAGE(30,60)</f>
        <v>45</v>
      </c>
      <c r="H45" s="69">
        <f>G45*0.0005</f>
        <v>2.2499999999999999E-2</v>
      </c>
      <c r="I45" s="12">
        <f>F45/1000*H45*0.2865</f>
        <v>3.223125E-7</v>
      </c>
      <c r="J45" s="63" t="s">
        <v>70</v>
      </c>
      <c r="K45"/>
      <c r="L45" s="59"/>
      <c r="M45"/>
      <c r="N45"/>
      <c r="O45"/>
    </row>
    <row r="46" spans="1:15" x14ac:dyDescent="0.25">
      <c r="A46" s="4">
        <v>15</v>
      </c>
      <c r="B46" s="4" t="s">
        <v>21</v>
      </c>
      <c r="C46" s="5" t="s">
        <v>18</v>
      </c>
      <c r="D46" s="3" t="s">
        <v>24</v>
      </c>
      <c r="E46" s="19">
        <v>99.9</v>
      </c>
      <c r="F46" s="50">
        <v>10</v>
      </c>
      <c r="G46" s="12">
        <f>G40</f>
        <v>15</v>
      </c>
      <c r="H46" s="65" t="s">
        <v>26</v>
      </c>
      <c r="I46" s="12">
        <f>I40</f>
        <v>3.3199999999999999E-4</v>
      </c>
      <c r="J46" s="63" t="s">
        <v>31</v>
      </c>
      <c r="K46"/>
      <c r="L46"/>
      <c r="M46"/>
      <c r="N46"/>
      <c r="O46"/>
    </row>
    <row r="47" spans="1:15" x14ac:dyDescent="0.25">
      <c r="A47" s="4">
        <v>15</v>
      </c>
      <c r="B47" s="4" t="s">
        <v>21</v>
      </c>
      <c r="C47" s="3" t="s">
        <v>22</v>
      </c>
      <c r="D47" s="3" t="s">
        <v>9</v>
      </c>
      <c r="E47" s="19">
        <v>99.9</v>
      </c>
      <c r="F47" s="50">
        <v>3.2</v>
      </c>
      <c r="G47" s="12">
        <f>AVERAGE(4.6,32)</f>
        <v>18.3</v>
      </c>
      <c r="H47" s="65" t="s">
        <v>26</v>
      </c>
      <c r="I47" s="12">
        <f>I38</f>
        <v>1.0000000000000001E-5</v>
      </c>
      <c r="J47" s="63" t="s">
        <v>31</v>
      </c>
      <c r="K47"/>
      <c r="L47"/>
      <c r="M47"/>
      <c r="N47"/>
      <c r="O47"/>
    </row>
    <row r="48" spans="1:15" x14ac:dyDescent="0.25">
      <c r="A48" s="4" t="s">
        <v>40</v>
      </c>
      <c r="B48" s="4" t="s">
        <v>21</v>
      </c>
      <c r="C48" s="3" t="s">
        <v>41</v>
      </c>
      <c r="D48" s="3" t="s">
        <v>42</v>
      </c>
      <c r="E48" s="19">
        <v>0</v>
      </c>
      <c r="F48" s="50">
        <v>5.2</v>
      </c>
      <c r="G48" s="12">
        <v>0</v>
      </c>
      <c r="H48" s="65" t="s">
        <v>26</v>
      </c>
      <c r="I48" s="12">
        <v>4.0999999999999997E-6</v>
      </c>
      <c r="J48" s="63" t="s">
        <v>31</v>
      </c>
      <c r="K48"/>
      <c r="L48" s="59"/>
      <c r="M48"/>
      <c r="N48"/>
      <c r="O48"/>
    </row>
    <row r="49" spans="1:15" x14ac:dyDescent="0.25">
      <c r="A49" s="4"/>
      <c r="B49" s="4" t="s">
        <v>21</v>
      </c>
      <c r="C49" s="3" t="s">
        <v>12</v>
      </c>
      <c r="D49" s="3" t="s">
        <v>13</v>
      </c>
      <c r="E49" s="19">
        <v>0</v>
      </c>
      <c r="F49" s="50">
        <v>12.2</v>
      </c>
      <c r="G49" s="12">
        <v>0</v>
      </c>
      <c r="H49" s="65">
        <v>0</v>
      </c>
      <c r="I49" s="12">
        <f>F49/1000*0.02*H49/100</f>
        <v>0</v>
      </c>
      <c r="J49" s="63" t="s">
        <v>70</v>
      </c>
      <c r="K49"/>
      <c r="L49"/>
      <c r="M49"/>
      <c r="N49"/>
      <c r="O49"/>
    </row>
    <row r="50" spans="1:15" x14ac:dyDescent="0.25">
      <c r="A50" s="4" t="s">
        <v>40</v>
      </c>
      <c r="B50" s="4" t="s">
        <v>21</v>
      </c>
      <c r="C50" s="3" t="s">
        <v>22</v>
      </c>
      <c r="D50" s="3" t="s">
        <v>9</v>
      </c>
      <c r="E50" s="19">
        <v>0</v>
      </c>
      <c r="F50" s="50">
        <v>3.2</v>
      </c>
      <c r="G50" s="12">
        <v>18.3</v>
      </c>
      <c r="H50" s="65" t="s">
        <v>26</v>
      </c>
      <c r="I50" s="12">
        <v>1.0000000000000001E-5</v>
      </c>
      <c r="J50" s="19" t="s">
        <v>31</v>
      </c>
      <c r="K50"/>
      <c r="L50"/>
      <c r="M50"/>
      <c r="N50"/>
      <c r="O50"/>
    </row>
    <row r="51" spans="1:15" x14ac:dyDescent="0.25">
      <c r="A51" s="4"/>
      <c r="B51" s="4" t="s">
        <v>21</v>
      </c>
      <c r="C51" s="3" t="s">
        <v>43</v>
      </c>
      <c r="D51" s="3" t="s">
        <v>15</v>
      </c>
      <c r="E51" s="19">
        <v>0</v>
      </c>
      <c r="F51" s="50">
        <v>10.8</v>
      </c>
      <c r="G51" s="12">
        <v>27.5</v>
      </c>
      <c r="H51" s="65" t="s">
        <v>26</v>
      </c>
      <c r="I51" s="12">
        <v>3.59E-4</v>
      </c>
      <c r="J51" s="19" t="s">
        <v>31</v>
      </c>
      <c r="K51"/>
      <c r="L51"/>
      <c r="M51"/>
      <c r="N51"/>
      <c r="O51"/>
    </row>
    <row r="52" spans="1:15" x14ac:dyDescent="0.25">
      <c r="A52" s="4"/>
      <c r="B52" s="4" t="s">
        <v>21</v>
      </c>
      <c r="C52" s="3" t="s">
        <v>18</v>
      </c>
      <c r="D52" s="3" t="s">
        <v>15</v>
      </c>
      <c r="E52" s="19">
        <v>0</v>
      </c>
      <c r="F52" s="50">
        <v>10.8</v>
      </c>
      <c r="G52" s="12">
        <v>27.5</v>
      </c>
      <c r="H52" s="65" t="s">
        <v>26</v>
      </c>
      <c r="I52" s="12">
        <v>3.59E-4</v>
      </c>
      <c r="J52" s="19" t="s">
        <v>31</v>
      </c>
      <c r="K52"/>
      <c r="L52"/>
      <c r="M52"/>
      <c r="N52"/>
      <c r="O52"/>
    </row>
    <row r="53" spans="1:15" x14ac:dyDescent="0.25">
      <c r="A53" s="4"/>
      <c r="B53" s="4" t="s">
        <v>21</v>
      </c>
      <c r="C53" s="3" t="s">
        <v>44</v>
      </c>
      <c r="D53" s="3" t="s">
        <v>45</v>
      </c>
      <c r="E53" s="4">
        <v>0</v>
      </c>
      <c r="F53" s="50">
        <v>9.1</v>
      </c>
      <c r="G53" s="12">
        <v>20</v>
      </c>
      <c r="H53" s="65" t="s">
        <v>26</v>
      </c>
      <c r="I53" s="12">
        <v>7.4800000000000002E-5</v>
      </c>
      <c r="J53" s="19" t="s">
        <v>31</v>
      </c>
      <c r="K53"/>
      <c r="L53" s="59"/>
      <c r="M53"/>
      <c r="N53"/>
      <c r="O53"/>
    </row>
    <row r="54" spans="1:15" x14ac:dyDescent="0.25">
      <c r="A54" s="4" t="s">
        <v>40</v>
      </c>
      <c r="B54" s="4" t="s">
        <v>21</v>
      </c>
      <c r="C54" s="3" t="s">
        <v>19</v>
      </c>
      <c r="D54" s="3" t="s">
        <v>20</v>
      </c>
      <c r="E54" s="4">
        <v>0</v>
      </c>
      <c r="F54" s="50">
        <v>15.1</v>
      </c>
      <c r="G54" s="12">
        <v>0</v>
      </c>
      <c r="H54" s="65" t="s">
        <v>26</v>
      </c>
      <c r="I54" s="12">
        <v>1.8799999999999999E-3</v>
      </c>
      <c r="J54" s="19" t="s">
        <v>31</v>
      </c>
      <c r="K54"/>
      <c r="L54"/>
      <c r="M54"/>
      <c r="N54"/>
      <c r="O54"/>
    </row>
    <row r="55" spans="1:15" x14ac:dyDescent="0.25">
      <c r="A55" s="4" t="s">
        <v>40</v>
      </c>
      <c r="B55" s="4" t="s">
        <v>21</v>
      </c>
      <c r="C55" s="3" t="s">
        <v>46</v>
      </c>
      <c r="D55" s="3" t="s">
        <v>15</v>
      </c>
      <c r="E55" s="4">
        <v>0</v>
      </c>
      <c r="F55" s="50">
        <v>10.8</v>
      </c>
      <c r="G55" s="12">
        <v>0</v>
      </c>
      <c r="H55" s="65" t="s">
        <v>26</v>
      </c>
      <c r="I55" s="12">
        <v>3.59E-4</v>
      </c>
      <c r="J55" s="19" t="s">
        <v>31</v>
      </c>
      <c r="K55"/>
      <c r="L55"/>
      <c r="M55"/>
      <c r="N55"/>
      <c r="O55"/>
    </row>
    <row r="56" spans="1:15" x14ac:dyDescent="0.25">
      <c r="A56" s="8"/>
      <c r="B56" s="8" t="s">
        <v>21</v>
      </c>
      <c r="C56" s="7" t="s">
        <v>47</v>
      </c>
      <c r="D56" s="7" t="s">
        <v>48</v>
      </c>
      <c r="E56" s="8">
        <v>0</v>
      </c>
      <c r="F56" s="52">
        <v>18.399999999999999</v>
      </c>
      <c r="G56" s="60">
        <v>0</v>
      </c>
      <c r="H56" s="70" t="s">
        <v>26</v>
      </c>
      <c r="I56" s="60">
        <v>6.4300000000000003E-6</v>
      </c>
      <c r="J56" s="20" t="s">
        <v>31</v>
      </c>
      <c r="K56"/>
      <c r="L56" s="59"/>
      <c r="M56"/>
      <c r="N56"/>
      <c r="O56"/>
    </row>
    <row r="57" spans="1:15" x14ac:dyDescent="0.25">
      <c r="F57" s="11"/>
      <c r="G57" s="11"/>
      <c r="H57" s="11"/>
      <c r="I57" s="11"/>
      <c r="J57" s="11"/>
    </row>
    <row r="58" spans="1:15" s="45" customFormat="1" ht="12" x14ac:dyDescent="0.2">
      <c r="A58" s="42" t="s">
        <v>23</v>
      </c>
      <c r="B58" s="53"/>
      <c r="C58" s="53"/>
      <c r="D58" s="53"/>
      <c r="E58" s="53"/>
      <c r="F58" s="53"/>
      <c r="G58" s="53"/>
      <c r="H58" s="53"/>
      <c r="I58" s="53"/>
      <c r="J58" s="53"/>
    </row>
    <row r="59" spans="1:15" s="45" customFormat="1" ht="12" x14ac:dyDescent="0.2">
      <c r="A59" s="43" t="s">
        <v>25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1:15" s="45" customFormat="1" ht="12" x14ac:dyDescent="0.2">
      <c r="A60" s="43" t="s">
        <v>28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5" s="45" customFormat="1" ht="12" x14ac:dyDescent="0.2">
      <c r="A61" s="43" t="s">
        <v>72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5" s="45" customFormat="1" ht="12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15" s="45" customFormat="1" ht="12" x14ac:dyDescent="0.2">
      <c r="A63" s="57" t="s">
        <v>64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  <row r="64" spans="1:15" s="45" customFormat="1" ht="12" x14ac:dyDescent="0.2">
      <c r="A64" s="43" t="s">
        <v>73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s="45" customFormat="1" ht="12" x14ac:dyDescent="0.2">
      <c r="B65" s="58" t="s">
        <v>34</v>
      </c>
      <c r="C65" s="58"/>
      <c r="D65" s="55">
        <v>5</v>
      </c>
      <c r="E65" s="45" t="s">
        <v>31</v>
      </c>
      <c r="F65" s="55"/>
    </row>
    <row r="66" spans="1:15" s="45" customFormat="1" ht="12" x14ac:dyDescent="0.2">
      <c r="B66" s="58" t="s">
        <v>33</v>
      </c>
      <c r="C66" s="58"/>
      <c r="D66" s="55">
        <v>63</v>
      </c>
      <c r="E66" s="56" t="s">
        <v>31</v>
      </c>
      <c r="F66" s="55"/>
    </row>
    <row r="67" spans="1:15" s="45" customFormat="1" ht="12" x14ac:dyDescent="0.2">
      <c r="A67" s="43" t="s">
        <v>71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1:15" x14ac:dyDescent="0.25">
      <c r="B68" s="62" t="s">
        <v>32</v>
      </c>
      <c r="C68" s="11"/>
      <c r="D68" s="11"/>
    </row>
    <row r="72" spans="1:15" s="45" customFormat="1" ht="12" x14ac:dyDescent="0.2"/>
    <row r="73" spans="1:15" s="45" customFormat="1" ht="12" x14ac:dyDescent="0.2"/>
    <row r="74" spans="1:15" s="45" customFormat="1" ht="12" x14ac:dyDescent="0.2"/>
  </sheetData>
  <mergeCells count="17">
    <mergeCell ref="I37:J37"/>
    <mergeCell ref="I36:J36"/>
    <mergeCell ref="N5:T5"/>
    <mergeCell ref="G36:G37"/>
    <mergeCell ref="A35:A37"/>
    <mergeCell ref="B35:B37"/>
    <mergeCell ref="C35:C37"/>
    <mergeCell ref="D35:D37"/>
    <mergeCell ref="G35:H35"/>
    <mergeCell ref="A5:A7"/>
    <mergeCell ref="B5:B7"/>
    <mergeCell ref="C5:C7"/>
    <mergeCell ref="D5:D7"/>
    <mergeCell ref="G5:M5"/>
    <mergeCell ref="E5:E6"/>
    <mergeCell ref="E35:E36"/>
    <mergeCell ref="I35:J35"/>
  </mergeCells>
  <phoneticPr fontId="1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4B9B62E87C4191FB63136FA21716" ma:contentTypeVersion="3" ma:contentTypeDescription="Create a new document." ma:contentTypeScope="" ma:versionID="52f34a55bcb4604769b5b26f83c610df">
  <xsd:schema xmlns:xsd="http://www.w3.org/2001/XMLSchema" xmlns:xs="http://www.w3.org/2001/XMLSchema" xmlns:p="http://schemas.microsoft.com/office/2006/metadata/properties" xmlns:ns1="http://schemas.microsoft.com/sharepoint/v3" xmlns:ns2="89cdaa30-7b22-4a6a-9ff8-e919efaf11cd" xmlns:ns3="4d0624c3-f678-473a-aaed-aa14d03be472" targetNamespace="http://schemas.microsoft.com/office/2006/metadata/properties" ma:root="true" ma:fieldsID="2d7cf663f22e1939383caf4bb963b843" ns1:_="" ns2:_="" ns3:_="">
    <xsd:import namespace="http://schemas.microsoft.com/sharepoint/v3"/>
    <xsd:import namespace="89cdaa30-7b22-4a6a-9ff8-e919efaf11cd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acil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daa30-7b22-4a6a-9ff8-e919efaf11cd" elementFormDefault="qualified">
    <xsd:import namespace="http://schemas.microsoft.com/office/2006/documentManagement/types"/>
    <xsd:import namespace="http://schemas.microsoft.com/office/infopath/2007/PartnerControls"/>
    <xsd:element name="Facility" ma:index="10" nillable="true" ma:displayName="Facility" ma:default="select..." ma:format="Dropdown" ma:internalName="Facility">
      <xsd:simpleType>
        <xsd:union memberTypes="dms:Text">
          <xsd:simpleType>
            <xsd:restriction base="dms:Choice">
              <xsd:enumeration value="select..."/>
              <xsd:enumeration value="General document"/>
              <xsd:enumeration value="Permit document"/>
              <xsd:enumeration value="AmeriTies West"/>
              <xsd:enumeration value="Cascade Steel"/>
              <xsd:enumeration value="ChemWaste"/>
              <xsd:enumeration value="Collins Pine"/>
              <xsd:enumeration value="Columbia Steel"/>
              <xsd:enumeration value="Covanta"/>
              <xsd:enumeration value="Eagle"/>
              <xsd:enumeration value="EcoLube"/>
              <xsd:enumeration value="Entek"/>
              <xsd:enumeration value="Genentech"/>
              <xsd:enumeration value="HollingsworthVose"/>
              <xsd:enumeration value="Hydro Extrusion"/>
              <xsd:enumeration value="NEXT"/>
              <xsd:enumeration value="NWMetals"/>
              <xsd:enumeration value="ORRCO"/>
              <xsd:enumeration value="Owens Brockway"/>
              <xsd:enumeration value="Packaging Corporation of America"/>
              <xsd:enumeration value="PCC Structurals"/>
              <xsd:enumeration value="QTS"/>
              <xsd:enumeration value="Roseburg FP Medford"/>
              <xsd:enumeration value="Stimson Lumber"/>
              <xsd:enumeration value="Wolf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acility xmlns="89cdaa30-7b22-4a6a-9ff8-e919efaf11cd">Columbia Steel</Facility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AE1D79-7A89-481D-A9C7-FAF49AFB9B9E}"/>
</file>

<file path=customXml/itemProps2.xml><?xml version="1.0" encoding="utf-8"?>
<ds:datastoreItem xmlns:ds="http://schemas.openxmlformats.org/officeDocument/2006/customXml" ds:itemID="{F1DAB75A-6391-4FF7-946B-DE0E52B4576B}"/>
</file>

<file path=customXml/itemProps3.xml><?xml version="1.0" encoding="utf-8"?>
<ds:datastoreItem xmlns:ds="http://schemas.openxmlformats.org/officeDocument/2006/customXml" ds:itemID="{CB643569-BA16-463D-ACEA-E697C10D24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Welding_EFs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Kaitlan Locke</dc:creator>
  <cp:lastModifiedBy>Kaitlan Locke</cp:lastModifiedBy>
  <dcterms:created xsi:type="dcterms:W3CDTF">2022-01-27T21:31:06Z</dcterms:created>
  <dcterms:modified xsi:type="dcterms:W3CDTF">2022-08-23T17:11:59Z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0x0101002D0D4B9B62E87C4191FB63136FA21716</vt:lpwstr>
  </property>
</Properties>
</file>