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Portland\Projects\Columbia Steel Casting Co., Inc\Cleaner Air Oregon\DEQ Response Data\DEQ Response_due 2021-11-30\DEQ Response_SandPileEmissions (5)\"/>
    </mc:Choice>
  </mc:AlternateContent>
  <xr:revisionPtr revIDLastSave="0" documentId="13_ncr:1_{E34D0FB9-1885-48B7-84F3-2AC8BFA1AB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orPile" sheetId="1" r:id="rId1"/>
    <sheet name="Metal_Com" sheetId="2" r:id="rId2"/>
    <sheet name="Metal_Em_Rate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">'[1]Process Tanks'!#REF!</definedName>
    <definedName name="A_12">'[1]Process Tanks'!#REF!</definedName>
    <definedName name="A_21">'[1]Process Tanks'!#REF!</definedName>
    <definedName name="abdasdgsa">'[2]1-2; Grain Receiving&amp;DDGS'!#REF!</definedName>
    <definedName name="B">'[1]Process Tanks'!#REF!</definedName>
    <definedName name="C_">'[1]Process Tanks'!#REF!</definedName>
    <definedName name="CDA_Factor">[3]Constants!$B$5</definedName>
    <definedName name="CO2_RECOVERY">#REF!</definedName>
    <definedName name="COOLER">#REF!</definedName>
    <definedName name="DDGS_HANDLING">#REF!</definedName>
    <definedName name="DISTILLATION">'[4]6; Distillation'!#REF!</definedName>
    <definedName name="DRYER_PM_VOC">#REF!</definedName>
    <definedName name="EAW_TOTAL">#REF!</definedName>
    <definedName name="EQUIPMENT_LEAKS">#REF!</definedName>
    <definedName name="FERMENTATION">#REF!</definedName>
    <definedName name="FILENAME">'[4]1-2; Grain Receiving&amp;DDGS'!#REF!</definedName>
    <definedName name="Flare">'[5]1-2; Grain Receiving&amp;DDGS'!#REF!</definedName>
    <definedName name="GRAIN_RECEIVING">#REF!</definedName>
    <definedName name="horse">'[5]1-2; Grain Receiving&amp;DDGS'!#REF!</definedName>
    <definedName name="k">#REF!</definedName>
    <definedName name="LABELING">#REF!</definedName>
    <definedName name="LOADING_RACK">#REF!</definedName>
    <definedName name="M">#REF!</definedName>
    <definedName name="_xlnm.Print_Area" localSheetId="2">Metal_Em_Rate!$A$1:$O$36</definedName>
    <definedName name="_xlnm.Print_Area">#REF!</definedName>
    <definedName name="_xlnm.Print_Titles" localSheetId="1">Metal_Com!$A:$E</definedName>
    <definedName name="R_">'[1]Process Tanks'!#REF!</definedName>
    <definedName name="T_oC">'[1]Process Tanks'!#REF!</definedName>
    <definedName name="TOTAL">#REF!</definedName>
    <definedName name="U">#REF!</definedName>
    <definedName name="Unpaved">#REF!</definedName>
    <definedName name="V1L">'[1]Process Tanks'!#REF!</definedName>
    <definedName name="V2L">'[1]Process Tanks'!#REF!</definedName>
    <definedName name="VOC_DRYER">#REF!</definedName>
    <definedName name="X_1">'[1]Process Tanks'!#REF!</definedName>
    <definedName name="X_2">'[1]Process Tanks'!#REF!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F8" i="1" l="1"/>
  <c r="B15" i="1" s="1"/>
  <c r="G11" i="1"/>
  <c r="G10" i="1"/>
  <c r="D15" i="1" l="1"/>
  <c r="C15" i="1"/>
  <c r="I10" i="1"/>
  <c r="I11" i="1"/>
  <c r="F11" i="1"/>
  <c r="F9" i="1"/>
  <c r="E15" i="1" s="1"/>
  <c r="F10" i="1"/>
  <c r="I8" i="1"/>
  <c r="B17" i="1" s="1"/>
  <c r="H11" i="1"/>
  <c r="H8" i="1"/>
  <c r="B16" i="1" s="1"/>
  <c r="H10" i="1"/>
  <c r="H9" i="1"/>
  <c r="I9" i="1"/>
  <c r="H17" i="1" l="1"/>
  <c r="J17" i="1" s="1"/>
  <c r="K17" i="1"/>
  <c r="L17" i="1" s="1"/>
  <c r="H15" i="1"/>
  <c r="B8" i="4" s="1"/>
  <c r="H16" i="1"/>
  <c r="J16" i="1" s="1"/>
  <c r="K15" i="1"/>
  <c r="B9" i="4" s="1"/>
  <c r="B28" i="4"/>
  <c r="B17" i="4"/>
  <c r="C17" i="4" s="1"/>
  <c r="K16" i="1"/>
  <c r="L16" i="1" s="1"/>
  <c r="E17" i="1"/>
  <c r="F17" i="1" s="1"/>
  <c r="E16" i="1"/>
  <c r="G16" i="1" s="1"/>
  <c r="B6" i="4"/>
  <c r="C6" i="4" s="1"/>
  <c r="C16" i="1"/>
  <c r="G15" i="1"/>
  <c r="B29" i="4" s="1"/>
  <c r="B7" i="4"/>
  <c r="C7" i="4" s="1"/>
  <c r="F15" i="1"/>
  <c r="B18" i="4" s="1"/>
  <c r="G17" i="1" l="1"/>
  <c r="I17" i="1"/>
  <c r="M16" i="1"/>
  <c r="M15" i="1"/>
  <c r="B31" i="4" s="1"/>
  <c r="E31" i="4" s="1"/>
  <c r="L9" i="4"/>
  <c r="I9" i="4"/>
  <c r="F9" i="4"/>
  <c r="C9" i="4"/>
  <c r="G9" i="4"/>
  <c r="O9" i="4"/>
  <c r="H9" i="4"/>
  <c r="K9" i="4"/>
  <c r="E9" i="4"/>
  <c r="N9" i="4"/>
  <c r="D9" i="4"/>
  <c r="M9" i="4"/>
  <c r="J9" i="4"/>
  <c r="K17" i="4"/>
  <c r="H17" i="4"/>
  <c r="E17" i="4"/>
  <c r="L17" i="4"/>
  <c r="D17" i="4"/>
  <c r="G17" i="4"/>
  <c r="N17" i="4"/>
  <c r="F16" i="1"/>
  <c r="L15" i="1"/>
  <c r="B20" i="4" s="1"/>
  <c r="I17" i="4"/>
  <c r="J17" i="4"/>
  <c r="O17" i="4"/>
  <c r="M17" i="4"/>
  <c r="F17" i="4"/>
  <c r="J8" i="4"/>
  <c r="L8" i="4"/>
  <c r="I8" i="4"/>
  <c r="C8" i="4"/>
  <c r="J15" i="1"/>
  <c r="B30" i="4" s="1"/>
  <c r="E8" i="4"/>
  <c r="F8" i="4"/>
  <c r="I16" i="1"/>
  <c r="M17" i="1"/>
  <c r="K8" i="4"/>
  <c r="O6" i="4"/>
  <c r="N6" i="4"/>
  <c r="K6" i="4"/>
  <c r="G6" i="4"/>
  <c r="D6" i="4"/>
  <c r="H6" i="4"/>
  <c r="E6" i="4"/>
  <c r="F6" i="4"/>
  <c r="M6" i="4"/>
  <c r="I15" i="1"/>
  <c r="B19" i="4" s="1"/>
  <c r="D19" i="4" s="1"/>
  <c r="H8" i="4"/>
  <c r="N8" i="4"/>
  <c r="D8" i="4"/>
  <c r="G8" i="4"/>
  <c r="N15" i="1"/>
  <c r="N17" i="1"/>
  <c r="M8" i="4"/>
  <c r="O8" i="4"/>
  <c r="D16" i="1"/>
  <c r="P16" i="1" s="1"/>
  <c r="I6" i="4"/>
  <c r="J6" i="4"/>
  <c r="N16" i="1"/>
  <c r="L6" i="4"/>
  <c r="C17" i="1"/>
  <c r="D17" i="1"/>
  <c r="O28" i="4"/>
  <c r="L28" i="4"/>
  <c r="H28" i="4"/>
  <c r="G28" i="4"/>
  <c r="D28" i="4"/>
  <c r="N28" i="4"/>
  <c r="I28" i="4"/>
  <c r="J28" i="4"/>
  <c r="E28" i="4"/>
  <c r="K28" i="4"/>
  <c r="M28" i="4"/>
  <c r="C28" i="4"/>
  <c r="F28" i="4"/>
  <c r="N18" i="4"/>
  <c r="O18" i="4"/>
  <c r="I18" i="4"/>
  <c r="F18" i="4"/>
  <c r="K18" i="4"/>
  <c r="M18" i="4"/>
  <c r="H18" i="4"/>
  <c r="G18" i="4"/>
  <c r="C18" i="4"/>
  <c r="J18" i="4"/>
  <c r="D18" i="4"/>
  <c r="E18" i="4"/>
  <c r="L18" i="4"/>
  <c r="D7" i="4"/>
  <c r="O7" i="4"/>
  <c r="H7" i="4"/>
  <c r="F7" i="4"/>
  <c r="E7" i="4"/>
  <c r="G7" i="4"/>
  <c r="N7" i="4"/>
  <c r="K7" i="4"/>
  <c r="I7" i="4"/>
  <c r="L7" i="4"/>
  <c r="M7" i="4"/>
  <c r="J7" i="4"/>
  <c r="C31" i="4"/>
  <c r="J31" i="4"/>
  <c r="O29" i="4"/>
  <c r="L29" i="4"/>
  <c r="H29" i="4"/>
  <c r="G29" i="4"/>
  <c r="C29" i="4"/>
  <c r="D29" i="4"/>
  <c r="K29" i="4"/>
  <c r="N29" i="4"/>
  <c r="I29" i="4"/>
  <c r="J29" i="4"/>
  <c r="E29" i="4"/>
  <c r="F29" i="4"/>
  <c r="M29" i="4"/>
  <c r="F31" i="4" l="1"/>
  <c r="M31" i="4"/>
  <c r="L31" i="4"/>
  <c r="D31" i="4"/>
  <c r="G31" i="4"/>
  <c r="O16" i="1"/>
  <c r="O17" i="1"/>
  <c r="H31" i="4"/>
  <c r="I31" i="4"/>
  <c r="O31" i="4"/>
  <c r="K31" i="4"/>
  <c r="N31" i="4"/>
  <c r="I30" i="4"/>
  <c r="I32" i="4" s="1"/>
  <c r="H19" i="4"/>
  <c r="H30" i="4"/>
  <c r="N30" i="4"/>
  <c r="K30" i="4"/>
  <c r="F30" i="4"/>
  <c r="F32" i="4" s="1"/>
  <c r="G30" i="4"/>
  <c r="G32" i="4" s="1"/>
  <c r="L30" i="4"/>
  <c r="L32" i="4" s="1"/>
  <c r="P15" i="1"/>
  <c r="E30" i="4"/>
  <c r="E32" i="4" s="1"/>
  <c r="J30" i="4"/>
  <c r="J32" i="4" s="1"/>
  <c r="O10" i="4"/>
  <c r="C10" i="4"/>
  <c r="K10" i="4"/>
  <c r="O30" i="4"/>
  <c r="P17" i="1"/>
  <c r="N10" i="4"/>
  <c r="D30" i="4"/>
  <c r="M30" i="4"/>
  <c r="C30" i="4"/>
  <c r="C32" i="4" s="1"/>
  <c r="D10" i="4"/>
  <c r="H10" i="4"/>
  <c r="G10" i="4"/>
  <c r="E10" i="4"/>
  <c r="J19" i="4"/>
  <c r="O15" i="1"/>
  <c r="G19" i="4"/>
  <c r="N19" i="4"/>
  <c r="M19" i="4"/>
  <c r="F19" i="4"/>
  <c r="E19" i="4"/>
  <c r="O19" i="4"/>
  <c r="F10" i="4"/>
  <c r="K19" i="4"/>
  <c r="L19" i="4"/>
  <c r="M10" i="4"/>
  <c r="L10" i="4"/>
  <c r="J10" i="4"/>
  <c r="I19" i="4"/>
  <c r="C19" i="4"/>
  <c r="I10" i="4"/>
  <c r="I20" i="4"/>
  <c r="K20" i="4"/>
  <c r="G20" i="4"/>
  <c r="F20" i="4"/>
  <c r="M20" i="4"/>
  <c r="E20" i="4"/>
  <c r="O20" i="4"/>
  <c r="L20" i="4"/>
  <c r="H20" i="4"/>
  <c r="J20" i="4"/>
  <c r="C20" i="4"/>
  <c r="D20" i="4"/>
  <c r="D21" i="4" s="1"/>
  <c r="N20" i="4"/>
  <c r="M32" i="4" l="1"/>
  <c r="H32" i="4"/>
  <c r="D32" i="4"/>
  <c r="O32" i="4"/>
  <c r="N32" i="4"/>
  <c r="K32" i="4"/>
  <c r="H21" i="4"/>
  <c r="N21" i="4"/>
  <c r="L21" i="4"/>
  <c r="F21" i="4"/>
  <c r="O21" i="4"/>
  <c r="J21" i="4"/>
  <c r="I21" i="4"/>
  <c r="C21" i="4"/>
  <c r="G21" i="4"/>
  <c r="K21" i="4"/>
  <c r="M21" i="4"/>
  <c r="E21" i="4"/>
</calcChain>
</file>

<file path=xl/sharedStrings.xml><?xml version="1.0" encoding="utf-8"?>
<sst xmlns="http://schemas.openxmlformats.org/spreadsheetml/2006/main" count="217" uniqueCount="103">
  <si>
    <t>Total Storage Pile Emissions</t>
  </si>
  <si>
    <t>lb/hr</t>
  </si>
  <si>
    <t>lb/day</t>
  </si>
  <si>
    <t>ton/yr</t>
  </si>
  <si>
    <t>PM</t>
  </si>
  <si>
    <t>p =</t>
  </si>
  <si>
    <t>f =</t>
  </si>
  <si>
    <t>Description</t>
  </si>
  <si>
    <t>FS 1</t>
  </si>
  <si>
    <t>FS 2</t>
  </si>
  <si>
    <t>FS 3</t>
  </si>
  <si>
    <t>FS 4</t>
  </si>
  <si>
    <t>Aluminum</t>
  </si>
  <si>
    <t>Arsenic</t>
  </si>
  <si>
    <t>Barium</t>
  </si>
  <si>
    <t>Cadmium</t>
  </si>
  <si>
    <t>Chromium 
(Hexavalent)</t>
  </si>
  <si>
    <t>Copper</t>
  </si>
  <si>
    <t>Lead</t>
  </si>
  <si>
    <t>Manganese</t>
  </si>
  <si>
    <t>Mercury</t>
  </si>
  <si>
    <t>Nickel</t>
  </si>
  <si>
    <t>Selenium</t>
  </si>
  <si>
    <t>Silver</t>
  </si>
  <si>
    <t>Zinc</t>
  </si>
  <si>
    <t>Sample ID #</t>
  </si>
  <si>
    <t>Unit</t>
  </si>
  <si>
    <t>EPA Test Method</t>
  </si>
  <si>
    <t>Laboratory</t>
  </si>
  <si>
    <t>Date</t>
  </si>
  <si>
    <t>mg/kg</t>
  </si>
  <si>
    <t>-</t>
  </si>
  <si>
    <t>SAND</t>
  </si>
  <si>
    <t>Sand A, B, C</t>
  </si>
  <si>
    <t>6020A</t>
  </si>
  <si>
    <t>Apex</t>
  </si>
  <si>
    <t>U</t>
  </si>
  <si>
    <t>Sand C, B, A</t>
  </si>
  <si>
    <t>Sand H, I</t>
  </si>
  <si>
    <t>SLAG</t>
  </si>
  <si>
    <t>Slag J</t>
  </si>
  <si>
    <t>SAND and SLAG</t>
  </si>
  <si>
    <t>Sand Slag F, G</t>
  </si>
  <si>
    <t>FINES</t>
  </si>
  <si>
    <t>Aged Fines D</t>
  </si>
  <si>
    <t>Fresh Newer Fines E</t>
  </si>
  <si>
    <t>mg/kg = milligrams per kilogram</t>
  </si>
  <si>
    <t>- indicates not analyzed or data not available</t>
  </si>
  <si>
    <t>E</t>
  </si>
  <si>
    <t>F</t>
  </si>
  <si>
    <t>M</t>
  </si>
  <si>
    <t>Pile E</t>
  </si>
  <si>
    <t>Pile F</t>
  </si>
  <si>
    <t>Pile M</t>
  </si>
  <si>
    <t>Pile</t>
  </si>
  <si>
    <t>Emission Rate (lb/hr)</t>
  </si>
  <si>
    <t xml:space="preserve">Storage Piles - Metals Emissions Rates </t>
  </si>
  <si>
    <t>(a) Emission Rate (lb/hr) = (Particulate Matter Emission Factor [lb/hr]) x (Metal Analysis [mg/kg]) / (1,000,000 [mg/kg])</t>
  </si>
  <si>
    <t>Notes:</t>
  </si>
  <si>
    <t>Total</t>
  </si>
  <si>
    <t>D</t>
  </si>
  <si>
    <t>Pile D</t>
  </si>
  <si>
    <t>Storage Pile Emissions - DEQ Calculation Method</t>
  </si>
  <si>
    <t>Columbia Steel Casting Co., Inc.</t>
  </si>
  <si>
    <t>%</t>
  </si>
  <si>
    <t>ft</t>
  </si>
  <si>
    <t>lb/hr-acre</t>
  </si>
  <si>
    <t>acres</t>
  </si>
  <si>
    <t>Exposed Surface Area</t>
  </si>
  <si>
    <t>PM Emission Factor</t>
  </si>
  <si>
    <t>EF:</t>
  </si>
  <si>
    <t>Total suspended particulate emission factor (lb/day/acre)</t>
  </si>
  <si>
    <t>s:</t>
  </si>
  <si>
    <t>p:</t>
  </si>
  <si>
    <t>f:</t>
  </si>
  <si>
    <t>Daily Emission Rate (lb/day)</t>
  </si>
  <si>
    <t>Annual Emission Rate (lb/yr)</t>
  </si>
  <si>
    <t>(a) Daily Emission Rate (lb/day) = (Particulate Matter Emission Factor [lb/day]) x (Metal Analysis [mg/kg]) / (1,000,000 [mg/kg])</t>
  </si>
  <si>
    <t>(a) Annual Emission Rate (lb/yr) = (Particulate Matter Emission Factor [lb/yr]) x (Metal Analysis [mg/kg]) / (1,000,000 [mg/kg])</t>
  </si>
  <si>
    <r>
      <t>Silt Content</t>
    </r>
    <r>
      <rPr>
        <b/>
        <vertAlign val="superscript"/>
        <sz val="11"/>
        <color indexed="8"/>
        <rFont val="Calibri"/>
        <family val="2"/>
        <scheme val="minor"/>
      </rPr>
      <t>[1]</t>
    </r>
  </si>
  <si>
    <r>
      <t>Maximum Pile Radius</t>
    </r>
    <r>
      <rPr>
        <b/>
        <vertAlign val="superscript"/>
        <sz val="11"/>
        <color indexed="8"/>
        <rFont val="Calibri"/>
        <family val="2"/>
        <scheme val="minor"/>
      </rPr>
      <t>[2]</t>
    </r>
  </si>
  <si>
    <r>
      <t>PM</t>
    </r>
    <r>
      <rPr>
        <b/>
        <vertAlign val="subscript"/>
        <sz val="11"/>
        <rFont val="Calibri"/>
        <family val="2"/>
        <scheme val="minor"/>
      </rPr>
      <t>10</t>
    </r>
    <r>
      <rPr>
        <b/>
        <sz val="11"/>
        <rFont val="Calibri"/>
        <family val="2"/>
        <scheme val="minor"/>
      </rPr>
      <t xml:space="preserve"> Emission Factor</t>
    </r>
  </si>
  <si>
    <r>
      <t>PM</t>
    </r>
    <r>
      <rPr>
        <b/>
        <vertAlign val="subscript"/>
        <sz val="11"/>
        <rFont val="Calibri"/>
        <family val="2"/>
        <scheme val="minor"/>
      </rPr>
      <t>2.5</t>
    </r>
    <r>
      <rPr>
        <b/>
        <sz val="11"/>
        <rFont val="Calibri"/>
        <family val="2"/>
        <scheme val="minor"/>
      </rPr>
      <t xml:space="preserve"> Emission Factor</t>
    </r>
  </si>
  <si>
    <r>
      <t>PM</t>
    </r>
    <r>
      <rPr>
        <vertAlign val="subscript"/>
        <sz val="11"/>
        <rFont val="Calibri"/>
        <family val="2"/>
        <scheme val="minor"/>
      </rPr>
      <t>10</t>
    </r>
  </si>
  <si>
    <r>
      <t>PM</t>
    </r>
    <r>
      <rPr>
        <vertAlign val="subscript"/>
        <sz val="11"/>
        <rFont val="Calibri"/>
        <family val="2"/>
        <scheme val="minor"/>
      </rPr>
      <t>2.5</t>
    </r>
  </si>
  <si>
    <r>
      <t>Equation (5) for Total Suspended Particulate from Wind Erosion of Active Storage Piles</t>
    </r>
    <r>
      <rPr>
        <vertAlign val="superscript"/>
        <sz val="10"/>
        <rFont val="Calibri"/>
        <family val="2"/>
        <scheme val="minor"/>
      </rPr>
      <t>[3]</t>
    </r>
  </si>
  <si>
    <r>
      <t>Silt Content Material (%)</t>
    </r>
    <r>
      <rPr>
        <vertAlign val="superscript"/>
        <sz val="10"/>
        <rFont val="Calibri"/>
        <family val="2"/>
        <scheme val="minor"/>
      </rPr>
      <t>[1]</t>
    </r>
  </si>
  <si>
    <r>
      <t>Number of days with greater then 0.01 in. of precipitation per year</t>
    </r>
    <r>
      <rPr>
        <vertAlign val="superscript"/>
        <sz val="10"/>
        <rFont val="Calibri"/>
        <family val="2"/>
        <scheme val="minor"/>
      </rPr>
      <t>[4]</t>
    </r>
  </si>
  <si>
    <r>
      <t>% of time unobstructed wind speed exceeds 12 mph at mean pile height</t>
    </r>
    <r>
      <rPr>
        <vertAlign val="superscript"/>
        <sz val="10"/>
        <rFont val="Calibri"/>
        <family val="2"/>
        <scheme val="minor"/>
      </rPr>
      <t>[5]</t>
    </r>
  </si>
  <si>
    <r>
      <t>The equation calculates TSP. It is assumed that 47% of the TSP equals PM</t>
    </r>
    <r>
      <rPr>
        <vertAlign val="subscript"/>
        <sz val="10"/>
        <rFont val="Calibri"/>
        <family val="2"/>
        <scheme val="minor"/>
      </rPr>
      <t>10</t>
    </r>
    <r>
      <rPr>
        <sz val="10"/>
        <rFont val="Calibri"/>
        <family val="2"/>
        <scheme val="minor"/>
      </rPr>
      <t xml:space="preserve"> and 7% of PM is PM</t>
    </r>
    <r>
      <rPr>
        <vertAlign val="subscript"/>
        <sz val="10"/>
        <rFont val="Calibri"/>
        <family val="2"/>
        <scheme val="minor"/>
      </rPr>
      <t>2.5.</t>
    </r>
    <r>
      <rPr>
        <vertAlign val="superscript"/>
        <sz val="10"/>
        <rFont val="Calibri"/>
        <family val="2"/>
        <scheme val="minor"/>
      </rPr>
      <t>[6]</t>
    </r>
  </si>
  <si>
    <r>
      <t>[3]</t>
    </r>
    <r>
      <rPr>
        <sz val="10"/>
        <rFont val="Calibri"/>
        <family val="2"/>
        <scheme val="minor"/>
      </rPr>
      <t xml:space="preserve"> From </t>
    </r>
    <r>
      <rPr>
        <i/>
        <sz val="10"/>
        <rFont val="Calibri"/>
        <family val="2"/>
        <scheme val="minor"/>
      </rPr>
      <t xml:space="preserve">Air Pollution Engineering Manual </t>
    </r>
    <r>
      <rPr>
        <sz val="10"/>
        <rFont val="Calibri"/>
        <family val="2"/>
        <scheme val="minor"/>
      </rPr>
      <t>(1992), Chapter 4: Fugitive Emissions; also Equation 4-9 from EPA 450-3-88-008</t>
    </r>
  </si>
  <si>
    <r>
      <t xml:space="preserve">[4] </t>
    </r>
    <r>
      <rPr>
        <sz val="10"/>
        <rFont val="Calibri"/>
        <family val="2"/>
        <scheme val="minor"/>
      </rPr>
      <t>From AP-42 Figure 13.2.1-2</t>
    </r>
  </si>
  <si>
    <r>
      <t xml:space="preserve">[5] </t>
    </r>
    <r>
      <rPr>
        <sz val="10"/>
        <rFont val="Calibri"/>
        <family val="2"/>
        <scheme val="minor"/>
      </rPr>
      <t>From DEQ's Portland, Oregon Jefferson High School AQ Monitor for 6/19/2018-1/14/2021</t>
    </r>
  </si>
  <si>
    <r>
      <t>[6]</t>
    </r>
    <r>
      <rPr>
        <sz val="10"/>
        <rFont val="Calibri"/>
        <family val="2"/>
        <scheme val="minor"/>
      </rPr>
      <t xml:space="preserve"> From AP-42 13.2.4 Drop Point Equation</t>
    </r>
  </si>
  <si>
    <r>
      <t xml:space="preserve">U </t>
    </r>
    <r>
      <rPr>
        <sz val="10"/>
        <rFont val="Calibri"/>
        <family val="2"/>
        <scheme val="minor"/>
      </rPr>
      <t>= indicates a value less than the reporting limit</t>
    </r>
  </si>
  <si>
    <t>ID</t>
  </si>
  <si>
    <t>FS 1 - Pile D</t>
  </si>
  <si>
    <t>FS 2 - Pile E</t>
  </si>
  <si>
    <t>FS 3 - Pile F</t>
  </si>
  <si>
    <t>FS 4 - Pile M</t>
  </si>
  <si>
    <t>Maximum Pile Height</t>
  </si>
  <si>
    <r>
      <t>[1]</t>
    </r>
    <r>
      <rPr>
        <sz val="10"/>
        <rFont val="Calibri"/>
        <family val="2"/>
        <scheme val="minor"/>
      </rPr>
      <t xml:space="preserve"> AP-42 Section 13.2.4, Aggregate Handling and Storage Piles, November 2006.  Table 13.2.4-1. Typical Silt and Moisture Content Values Of Materials at Various Industries, Iron and steel production (Material - Slag). </t>
    </r>
  </si>
  <si>
    <r>
      <t>[2]</t>
    </r>
    <r>
      <rPr>
        <sz val="10"/>
        <rFont val="Calibri"/>
        <family val="2"/>
        <scheme val="minor"/>
      </rPr>
      <t xml:space="preserve"> Maximum radius estimated based on an assumed conical-shaped pile.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</si>
</sst>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0"/>
    <numFmt numFmtId="166" formatCode="0.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0"/>
      <color indexed="8"/>
      <name val="MS Sans Serif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6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1" fontId="0" fillId="0" borderId="6" xfId="0" applyNumberFormat="1" applyBorder="1" applyAlignment="1">
      <alignment horizontal="center" vertical="center" wrapText="1"/>
    </xf>
    <xf numFmtId="11" fontId="0" fillId="0" borderId="18" xfId="0" applyNumberFormat="1" applyBorder="1" applyAlignment="1">
      <alignment horizontal="center" vertical="center" wrapText="1"/>
    </xf>
    <xf numFmtId="11" fontId="0" fillId="0" borderId="5" xfId="0" applyNumberFormat="1" applyBorder="1" applyAlignment="1">
      <alignment horizontal="center" vertical="center" wrapText="1"/>
    </xf>
    <xf numFmtId="11" fontId="0" fillId="0" borderId="11" xfId="0" applyNumberFormat="1" applyBorder="1" applyAlignment="1">
      <alignment horizontal="center" vertical="center" wrapText="1"/>
    </xf>
    <xf numFmtId="11" fontId="0" fillId="0" borderId="38" xfId="0" applyNumberFormat="1" applyBorder="1" applyAlignment="1">
      <alignment horizontal="center" vertical="center" wrapText="1"/>
    </xf>
    <xf numFmtId="11" fontId="0" fillId="0" borderId="10" xfId="0" applyNumberFormat="1" applyBorder="1" applyAlignment="1">
      <alignment horizontal="center" vertical="center" wrapText="1"/>
    </xf>
    <xf numFmtId="11" fontId="4" fillId="0" borderId="0" xfId="0" applyNumberFormat="1" applyFont="1" applyBorder="1" applyAlignment="1">
      <alignment horizontal="center" vertical="center" wrapText="1"/>
    </xf>
    <xf numFmtId="11" fontId="0" fillId="0" borderId="0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38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Fill="1"/>
    <xf numFmtId="0" fontId="6" fillId="0" borderId="0" xfId="1" applyFont="1" applyFill="1" applyBorder="1"/>
    <xf numFmtId="0" fontId="0" fillId="0" borderId="0" xfId="2" applyFont="1" applyFill="1"/>
    <xf numFmtId="0" fontId="6" fillId="0" borderId="10" xfId="1" applyFont="1" applyFill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12" fillId="0" borderId="38" xfId="3" applyFont="1" applyFill="1" applyBorder="1" applyAlignment="1">
      <alignment horizontal="center" vertical="center" wrapText="1"/>
    </xf>
    <xf numFmtId="2" fontId="12" fillId="0" borderId="10" xfId="3" applyNumberFormat="1" applyFont="1" applyFill="1" applyBorder="1" applyAlignment="1">
      <alignment horizontal="center" vertical="center" wrapText="1"/>
    </xf>
    <xf numFmtId="11" fontId="12" fillId="0" borderId="10" xfId="3" applyNumberFormat="1" applyFont="1" applyFill="1" applyBorder="1" applyAlignment="1">
      <alignment horizontal="center" vertical="center" wrapText="1"/>
    </xf>
    <xf numFmtId="11" fontId="6" fillId="0" borderId="10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12" fillId="0" borderId="36" xfId="3" applyFont="1" applyFill="1" applyBorder="1" applyAlignment="1">
      <alignment horizontal="center" vertical="center" wrapText="1"/>
    </xf>
    <xf numFmtId="2" fontId="12" fillId="0" borderId="2" xfId="3" applyNumberFormat="1" applyFont="1" applyFill="1" applyBorder="1" applyAlignment="1">
      <alignment horizontal="center" vertical="center" wrapText="1"/>
    </xf>
    <xf numFmtId="11" fontId="12" fillId="0" borderId="2" xfId="3" applyNumberFormat="1" applyFont="1" applyFill="1" applyBorder="1" applyAlignment="1">
      <alignment horizontal="center" vertical="center" wrapText="1"/>
    </xf>
    <xf numFmtId="11" fontId="6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/>
    </xf>
    <xf numFmtId="2" fontId="12" fillId="0" borderId="0" xfId="3" applyNumberFormat="1" applyFont="1" applyFill="1" applyBorder="1" applyAlignment="1">
      <alignment horizontal="center" vertical="center" wrapText="1"/>
    </xf>
    <xf numFmtId="11" fontId="6" fillId="0" borderId="0" xfId="1" applyNumberFormat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vertical="center"/>
    </xf>
    <xf numFmtId="11" fontId="6" fillId="0" borderId="9" xfId="1" applyNumberFormat="1" applyFont="1" applyFill="1" applyBorder="1" applyAlignment="1">
      <alignment horizontal="center" vertical="center"/>
    </xf>
    <xf numFmtId="11" fontId="12" fillId="0" borderId="11" xfId="3" applyNumberFormat="1" applyFont="1" applyFill="1" applyBorder="1" applyAlignment="1">
      <alignment horizontal="center" vertical="center" wrapText="1"/>
    </xf>
    <xf numFmtId="2" fontId="10" fillId="0" borderId="2" xfId="1" applyNumberFormat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vertical="center"/>
    </xf>
    <xf numFmtId="11" fontId="6" fillId="0" borderId="1" xfId="1" applyNumberFormat="1" applyFont="1" applyFill="1" applyBorder="1" applyAlignment="1">
      <alignment horizontal="center" vertical="center"/>
    </xf>
    <xf numFmtId="11" fontId="12" fillId="0" borderId="3" xfId="3" applyNumberFormat="1" applyFont="1" applyFill="1" applyBorder="1" applyAlignment="1">
      <alignment horizontal="center" vertical="center" wrapText="1"/>
    </xf>
    <xf numFmtId="11" fontId="6" fillId="0" borderId="0" xfId="1" applyNumberFormat="1" applyFont="1" applyFill="1" applyBorder="1" applyAlignment="1">
      <alignment horizontal="center" vertical="center"/>
    </xf>
    <xf numFmtId="11" fontId="12" fillId="0" borderId="0" xfId="3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indent="1"/>
    </xf>
    <xf numFmtId="0" fontId="0" fillId="0" borderId="0" xfId="0" applyFont="1" applyFill="1" applyAlignment="1">
      <alignment wrapText="1"/>
    </xf>
    <xf numFmtId="0" fontId="6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6" fillId="0" borderId="0" xfId="1" applyFont="1" applyFill="1" applyBorder="1"/>
    <xf numFmtId="0" fontId="16" fillId="0" borderId="0" xfId="1" applyFont="1" applyFill="1" applyBorder="1" applyAlignment="1">
      <alignment horizontal="center" wrapText="1"/>
    </xf>
    <xf numFmtId="0" fontId="5" fillId="0" borderId="0" xfId="2" applyFont="1" applyFill="1"/>
    <xf numFmtId="0" fontId="18" fillId="0" borderId="0" xfId="1" applyFont="1" applyFill="1" applyBorder="1"/>
    <xf numFmtId="0" fontId="5" fillId="0" borderId="0" xfId="0" applyFont="1" applyFill="1"/>
    <xf numFmtId="0" fontId="19" fillId="0" borderId="0" xfId="1" applyFont="1" applyFill="1" applyBorder="1"/>
    <xf numFmtId="0" fontId="18" fillId="0" borderId="0" xfId="1" applyFont="1" applyFill="1" applyBorder="1" applyAlignment="1">
      <alignment horizontal="left"/>
    </xf>
    <xf numFmtId="0" fontId="16" fillId="0" borderId="0" xfId="1" applyFont="1" applyFill="1" applyBorder="1" applyAlignment="1">
      <alignment horizontal="right"/>
    </xf>
    <xf numFmtId="0" fontId="16" fillId="0" borderId="0" xfId="1" applyFont="1" applyFill="1" applyBorder="1" applyAlignment="1">
      <alignment horizontal="left" indent="1"/>
    </xf>
    <xf numFmtId="0" fontId="16" fillId="0" borderId="0" xfId="1" applyFont="1" applyFill="1" applyBorder="1" applyAlignment="1">
      <alignment vertical="center"/>
    </xf>
    <xf numFmtId="11" fontId="16" fillId="0" borderId="0" xfId="1" applyNumberFormat="1" applyFont="1" applyFill="1" applyBorder="1" applyAlignment="1">
      <alignment horizontal="center" vertical="center"/>
    </xf>
    <xf numFmtId="11" fontId="21" fillId="0" borderId="0" xfId="3" applyNumberFormat="1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vertical="center"/>
    </xf>
    <xf numFmtId="0" fontId="0" fillId="0" borderId="0" xfId="0" applyFont="1"/>
    <xf numFmtId="0" fontId="16" fillId="0" borderId="0" xfId="0" applyFont="1"/>
    <xf numFmtId="0" fontId="0" fillId="2" borderId="26" xfId="0" applyFont="1" applyFill="1" applyBorder="1" applyAlignment="1">
      <alignment horizontal="center" wrapText="1"/>
    </xf>
    <xf numFmtId="0" fontId="0" fillId="2" borderId="26" xfId="0" applyFont="1" applyFill="1" applyBorder="1"/>
    <xf numFmtId="0" fontId="0" fillId="2" borderId="42" xfId="0" applyFont="1" applyFill="1" applyBorder="1"/>
    <xf numFmtId="14" fontId="0" fillId="0" borderId="46" xfId="0" applyNumberFormat="1" applyFont="1" applyBorder="1" applyAlignment="1">
      <alignment horizontal="center"/>
    </xf>
    <xf numFmtId="2" fontId="0" fillId="0" borderId="22" xfId="0" applyNumberFormat="1" applyFont="1" applyBorder="1" applyAlignment="1">
      <alignment horizontal="right"/>
    </xf>
    <xf numFmtId="166" fontId="0" fillId="0" borderId="22" xfId="0" applyNumberFormat="1" applyFont="1" applyBorder="1" applyAlignment="1">
      <alignment horizontal="right"/>
    </xf>
    <xf numFmtId="1" fontId="0" fillId="0" borderId="22" xfId="0" applyNumberFormat="1" applyFont="1" applyBorder="1" applyAlignment="1">
      <alignment horizontal="right"/>
    </xf>
    <xf numFmtId="164" fontId="0" fillId="0" borderId="22" xfId="0" applyNumberFormat="1" applyFont="1" applyBorder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Font="1"/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2" fontId="22" fillId="0" borderId="0" xfId="0" applyNumberFormat="1" applyFont="1"/>
    <xf numFmtId="2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" fontId="0" fillId="0" borderId="0" xfId="0" applyNumberFormat="1" applyFont="1" applyAlignment="1">
      <alignment horizontal="left" indent="4"/>
    </xf>
    <xf numFmtId="1" fontId="0" fillId="0" borderId="0" xfId="0" applyNumberFormat="1" applyFont="1" applyAlignment="1">
      <alignment horizontal="left" indent="3"/>
    </xf>
    <xf numFmtId="1" fontId="0" fillId="0" borderId="0" xfId="0" applyNumberFormat="1" applyFont="1" applyAlignment="1">
      <alignment horizontal="left" indent="2"/>
    </xf>
    <xf numFmtId="0" fontId="16" fillId="0" borderId="0" xfId="0" applyFont="1" applyAlignment="1">
      <alignment horizontal="center"/>
    </xf>
    <xf numFmtId="0" fontId="22" fillId="0" borderId="0" xfId="0" applyFont="1"/>
    <xf numFmtId="0" fontId="16" fillId="0" borderId="0" xfId="0" quotePrefix="1" applyFo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0" fillId="0" borderId="3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0" xfId="0" applyFont="1"/>
    <xf numFmtId="0" fontId="10" fillId="2" borderId="27" xfId="0" applyFont="1" applyFill="1" applyBorder="1"/>
    <xf numFmtId="0" fontId="14" fillId="2" borderId="26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left"/>
    </xf>
    <xf numFmtId="0" fontId="10" fillId="2" borderId="26" xfId="0" applyFont="1" applyFill="1" applyBorder="1" applyAlignment="1">
      <alignment horizontal="right"/>
    </xf>
    <xf numFmtId="0" fontId="6" fillId="2" borderId="26" xfId="0" applyFont="1" applyFill="1" applyBorder="1" applyAlignment="1">
      <alignment horizontal="right"/>
    </xf>
    <xf numFmtId="3" fontId="10" fillId="2" borderId="26" xfId="0" applyNumberFormat="1" applyFont="1" applyFill="1" applyBorder="1" applyAlignment="1">
      <alignment horizontal="right"/>
    </xf>
    <xf numFmtId="0" fontId="6" fillId="2" borderId="26" xfId="0" applyFont="1" applyFill="1" applyBorder="1" applyAlignment="1">
      <alignment horizontal="left"/>
    </xf>
    <xf numFmtId="0" fontId="10" fillId="2" borderId="42" xfId="0" applyFont="1" applyFill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14" fontId="6" fillId="0" borderId="46" xfId="0" applyNumberFormat="1" applyFont="1" applyBorder="1" applyAlignment="1">
      <alignment horizontal="center"/>
    </xf>
    <xf numFmtId="3" fontId="6" fillId="0" borderId="20" xfId="0" quotePrefix="1" applyNumberFormat="1" applyFont="1" applyBorder="1" applyAlignment="1">
      <alignment horizontal="right"/>
    </xf>
    <xf numFmtId="0" fontId="14" fillId="0" borderId="20" xfId="0" applyFont="1" applyBorder="1" applyAlignment="1">
      <alignment horizontal="left"/>
    </xf>
    <xf numFmtId="2" fontId="6" fillId="0" borderId="22" xfId="14" applyNumberFormat="1" applyFont="1" applyBorder="1" applyAlignment="1">
      <alignment horizontal="right" vertical="center"/>
    </xf>
    <xf numFmtId="164" fontId="15" fillId="0" borderId="20" xfId="0" applyNumberFormat="1" applyFont="1" applyBorder="1" applyAlignment="1">
      <alignment horizontal="right"/>
    </xf>
    <xf numFmtId="0" fontId="6" fillId="0" borderId="22" xfId="14" applyFont="1" applyBorder="1" applyAlignment="1">
      <alignment horizontal="right" vertical="center"/>
    </xf>
    <xf numFmtId="2" fontId="6" fillId="0" borderId="22" xfId="0" quotePrefix="1" applyNumberFormat="1" applyFont="1" applyBorder="1" applyAlignment="1">
      <alignment horizontal="right"/>
    </xf>
    <xf numFmtId="4" fontId="6" fillId="0" borderId="20" xfId="0" applyNumberFormat="1" applyFont="1" applyBorder="1" applyAlignment="1">
      <alignment horizontal="right"/>
    </xf>
    <xf numFmtId="2" fontId="15" fillId="0" borderId="20" xfId="0" applyNumberFormat="1" applyFont="1" applyBorder="1" applyAlignment="1">
      <alignment horizontal="right"/>
    </xf>
    <xf numFmtId="1" fontId="6" fillId="0" borderId="22" xfId="15" applyNumberFormat="1" applyFont="1" applyBorder="1" applyAlignment="1">
      <alignment horizontal="right" vertical="center"/>
    </xf>
    <xf numFmtId="165" fontId="15" fillId="0" borderId="43" xfId="16" applyNumberFormat="1" applyFont="1" applyBorder="1" applyAlignment="1">
      <alignment horizontal="right" vertical="center"/>
    </xf>
    <xf numFmtId="166" fontId="6" fillId="0" borderId="20" xfId="0" quotePrefix="1" applyNumberFormat="1" applyFont="1" applyBorder="1" applyAlignment="1">
      <alignment horizontal="right"/>
    </xf>
    <xf numFmtId="164" fontId="15" fillId="0" borderId="20" xfId="0" applyNumberFormat="1" applyFont="1" applyBorder="1" applyAlignment="1">
      <alignment horizontal="left"/>
    </xf>
    <xf numFmtId="3" fontId="6" fillId="0" borderId="22" xfId="0" quotePrefix="1" applyNumberFormat="1" applyFont="1" applyBorder="1" applyAlignment="1">
      <alignment horizontal="right"/>
    </xf>
    <xf numFmtId="2" fontId="6" fillId="0" borderId="22" xfId="17" applyNumberFormat="1" applyFont="1" applyBorder="1" applyAlignment="1">
      <alignment horizontal="right" vertical="center"/>
    </xf>
    <xf numFmtId="2" fontId="15" fillId="0" borderId="20" xfId="0" applyNumberFormat="1" applyFont="1" applyBorder="1" applyAlignment="1">
      <alignment horizontal="left"/>
    </xf>
    <xf numFmtId="164" fontId="6" fillId="0" borderId="22" xfId="18" applyNumberFormat="1" applyFont="1" applyBorder="1" applyAlignment="1">
      <alignment horizontal="right" vertical="center"/>
    </xf>
    <xf numFmtId="2" fontId="15" fillId="0" borderId="43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14" fontId="6" fillId="0" borderId="45" xfId="0" applyNumberFormat="1" applyFont="1" applyBorder="1" applyAlignment="1">
      <alignment horizontal="center"/>
    </xf>
    <xf numFmtId="3" fontId="6" fillId="0" borderId="15" xfId="0" quotePrefix="1" applyNumberFormat="1" applyFont="1" applyBorder="1" applyAlignment="1">
      <alignment horizontal="right"/>
    </xf>
    <xf numFmtId="0" fontId="14" fillId="0" borderId="15" xfId="0" applyFont="1" applyBorder="1" applyAlignment="1">
      <alignment horizontal="left"/>
    </xf>
    <xf numFmtId="2" fontId="6" fillId="0" borderId="17" xfId="14" applyNumberFormat="1" applyFont="1" applyBorder="1" applyAlignment="1">
      <alignment horizontal="right" vertical="center"/>
    </xf>
    <xf numFmtId="1" fontId="15" fillId="0" borderId="15" xfId="0" applyNumberFormat="1" applyFont="1" applyBorder="1" applyAlignment="1">
      <alignment horizontal="right"/>
    </xf>
    <xf numFmtId="0" fontId="6" fillId="0" borderId="17" xfId="14" applyFont="1" applyBorder="1" applyAlignment="1">
      <alignment horizontal="right" vertical="center"/>
    </xf>
    <xf numFmtId="2" fontId="6" fillId="0" borderId="17" xfId="0" quotePrefix="1" applyNumberFormat="1" applyFont="1" applyBorder="1" applyAlignment="1">
      <alignment horizontal="right"/>
    </xf>
    <xf numFmtId="2" fontId="6" fillId="0" borderId="15" xfId="0" applyNumberFormat="1" applyFont="1" applyBorder="1" applyAlignment="1">
      <alignment horizontal="right"/>
    </xf>
    <xf numFmtId="1" fontId="6" fillId="0" borderId="17" xfId="15" applyNumberFormat="1" applyFont="1" applyBorder="1" applyAlignment="1">
      <alignment horizontal="right" vertical="center"/>
    </xf>
    <xf numFmtId="165" fontId="15" fillId="0" borderId="41" xfId="16" applyNumberFormat="1" applyFont="1" applyBorder="1" applyAlignment="1">
      <alignment horizontal="right" vertical="center"/>
    </xf>
    <xf numFmtId="166" fontId="6" fillId="0" borderId="15" xfId="0" quotePrefix="1" applyNumberFormat="1" applyFont="1" applyBorder="1" applyAlignment="1">
      <alignment horizontal="right"/>
    </xf>
    <xf numFmtId="1" fontId="15" fillId="0" borderId="15" xfId="0" applyNumberFormat="1" applyFont="1" applyBorder="1" applyAlignment="1">
      <alignment horizontal="left"/>
    </xf>
    <xf numFmtId="3" fontId="6" fillId="0" borderId="17" xfId="0" quotePrefix="1" applyNumberFormat="1" applyFont="1" applyBorder="1" applyAlignment="1">
      <alignment horizontal="right"/>
    </xf>
    <xf numFmtId="2" fontId="6" fillId="0" borderId="17" xfId="17" applyNumberFormat="1" applyFont="1" applyBorder="1" applyAlignment="1">
      <alignment horizontal="right" vertical="center"/>
    </xf>
    <xf numFmtId="2" fontId="15" fillId="0" borderId="15" xfId="0" applyNumberFormat="1" applyFont="1" applyBorder="1" applyAlignment="1">
      <alignment horizontal="left"/>
    </xf>
    <xf numFmtId="164" fontId="6" fillId="0" borderId="17" xfId="18" applyNumberFormat="1" applyFont="1" applyBorder="1" applyAlignment="1">
      <alignment horizontal="right" vertical="center"/>
    </xf>
    <xf numFmtId="2" fontId="15" fillId="0" borderId="41" xfId="0" applyNumberFormat="1" applyFont="1" applyBorder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14" fontId="6" fillId="0" borderId="47" xfId="0" applyNumberFormat="1" applyFont="1" applyBorder="1" applyAlignment="1">
      <alignment horizontal="center"/>
    </xf>
    <xf numFmtId="3" fontId="6" fillId="0" borderId="14" xfId="0" quotePrefix="1" applyNumberFormat="1" applyFont="1" applyBorder="1" applyAlignment="1">
      <alignment horizontal="right"/>
    </xf>
    <xf numFmtId="0" fontId="14" fillId="0" borderId="14" xfId="0" applyFont="1" applyBorder="1" applyAlignment="1">
      <alignment horizontal="left"/>
    </xf>
    <xf numFmtId="2" fontId="6" fillId="0" borderId="24" xfId="14" applyNumberFormat="1" applyFont="1" applyBorder="1" applyAlignment="1">
      <alignment horizontal="right" vertical="center"/>
    </xf>
    <xf numFmtId="1" fontId="15" fillId="0" borderId="14" xfId="0" applyNumberFormat="1" applyFont="1" applyBorder="1" applyAlignment="1">
      <alignment horizontal="right"/>
    </xf>
    <xf numFmtId="0" fontId="6" fillId="0" borderId="24" xfId="14" applyFont="1" applyBorder="1" applyAlignment="1">
      <alignment horizontal="right" vertical="center"/>
    </xf>
    <xf numFmtId="2" fontId="6" fillId="0" borderId="24" xfId="0" quotePrefix="1" applyNumberFormat="1" applyFont="1" applyBorder="1" applyAlignment="1">
      <alignment horizontal="right"/>
    </xf>
    <xf numFmtId="166" fontId="6" fillId="0" borderId="14" xfId="0" applyNumberFormat="1" applyFont="1" applyBorder="1" applyAlignment="1">
      <alignment horizontal="right"/>
    </xf>
    <xf numFmtId="1" fontId="6" fillId="0" borderId="24" xfId="15" applyNumberFormat="1" applyFont="1" applyBorder="1" applyAlignment="1">
      <alignment horizontal="right" vertical="center"/>
    </xf>
    <xf numFmtId="165" fontId="15" fillId="0" borderId="44" xfId="16" applyNumberFormat="1" applyFont="1" applyBorder="1" applyAlignment="1">
      <alignment horizontal="right" vertical="center"/>
    </xf>
    <xf numFmtId="166" fontId="6" fillId="0" borderId="14" xfId="0" quotePrefix="1" applyNumberFormat="1" applyFont="1" applyBorder="1" applyAlignment="1">
      <alignment horizontal="right"/>
    </xf>
    <xf numFmtId="1" fontId="15" fillId="0" borderId="14" xfId="0" applyNumberFormat="1" applyFont="1" applyBorder="1" applyAlignment="1">
      <alignment horizontal="left"/>
    </xf>
    <xf numFmtId="3" fontId="6" fillId="0" borderId="24" xfId="0" quotePrefix="1" applyNumberFormat="1" applyFont="1" applyBorder="1" applyAlignment="1">
      <alignment horizontal="right"/>
    </xf>
    <xf numFmtId="2" fontId="6" fillId="0" borderId="24" xfId="17" applyNumberFormat="1" applyFont="1" applyBorder="1" applyAlignment="1">
      <alignment horizontal="right" vertical="center"/>
    </xf>
    <xf numFmtId="2" fontId="15" fillId="0" borderId="14" xfId="0" applyNumberFormat="1" applyFont="1" applyBorder="1" applyAlignment="1">
      <alignment horizontal="left"/>
    </xf>
    <xf numFmtId="164" fontId="6" fillId="0" borderId="24" xfId="18" applyNumberFormat="1" applyFont="1" applyBorder="1" applyAlignment="1">
      <alignment horizontal="right" vertical="center"/>
    </xf>
    <xf numFmtId="2" fontId="15" fillId="0" borderId="44" xfId="0" applyNumberFormat="1" applyFont="1" applyBorder="1" applyAlignment="1">
      <alignment horizontal="right"/>
    </xf>
    <xf numFmtId="0" fontId="6" fillId="0" borderId="28" xfId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8" xfId="2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14" fontId="6" fillId="0" borderId="3" xfId="20" applyNumberFormat="1" applyFont="1" applyBorder="1" applyAlignment="1">
      <alignment horizontal="center" vertical="center"/>
    </xf>
    <xf numFmtId="3" fontId="6" fillId="0" borderId="29" xfId="21" quotePrefix="1" applyNumberFormat="1" applyFont="1" applyFill="1" applyBorder="1" applyAlignment="1">
      <alignment horizontal="right" vertical="center"/>
    </xf>
    <xf numFmtId="0" fontId="14" fillId="0" borderId="29" xfId="0" applyFont="1" applyBorder="1" applyAlignment="1">
      <alignment horizontal="left"/>
    </xf>
    <xf numFmtId="2" fontId="6" fillId="0" borderId="28" xfId="22" applyNumberFormat="1" applyFont="1" applyBorder="1" applyAlignment="1">
      <alignment horizontal="right" vertical="center"/>
    </xf>
    <xf numFmtId="2" fontId="6" fillId="0" borderId="29" xfId="22" applyNumberFormat="1" applyFont="1" applyBorder="1" applyAlignment="1">
      <alignment horizontal="right" vertical="center"/>
    </xf>
    <xf numFmtId="3" fontId="6" fillId="0" borderId="28" xfId="22" applyNumberFormat="1" applyFont="1" applyBorder="1" applyAlignment="1">
      <alignment horizontal="right" vertical="center"/>
    </xf>
    <xf numFmtId="0" fontId="6" fillId="0" borderId="29" xfId="22" applyFont="1" applyBorder="1" applyAlignment="1">
      <alignment horizontal="right" vertical="center"/>
    </xf>
    <xf numFmtId="2" fontId="6" fillId="0" borderId="28" xfId="23" applyNumberFormat="1" applyFont="1" applyBorder="1" applyAlignment="1">
      <alignment horizontal="right" vertical="center"/>
    </xf>
    <xf numFmtId="2" fontId="6" fillId="0" borderId="29" xfId="25" quotePrefix="1" applyNumberFormat="1" applyFont="1" applyBorder="1" applyAlignment="1">
      <alignment horizontal="right" vertical="center"/>
    </xf>
    <xf numFmtId="2" fontId="15" fillId="0" borderId="29" xfId="25" applyNumberFormat="1" applyFont="1" applyBorder="1" applyAlignment="1">
      <alignment horizontal="left" vertical="center"/>
    </xf>
    <xf numFmtId="1" fontId="6" fillId="0" borderId="28" xfId="26" applyNumberFormat="1" applyFont="1" applyBorder="1" applyAlignment="1">
      <alignment horizontal="right" vertical="center"/>
    </xf>
    <xf numFmtId="2" fontId="6" fillId="0" borderId="29" xfId="0" applyNumberFormat="1" applyFont="1" applyBorder="1" applyAlignment="1">
      <alignment horizontal="right"/>
    </xf>
    <xf numFmtId="2" fontId="6" fillId="0" borderId="28" xfId="26" applyNumberFormat="1" applyFont="1" applyBorder="1" applyAlignment="1">
      <alignment horizontal="right" vertical="center"/>
    </xf>
    <xf numFmtId="165" fontId="15" fillId="0" borderId="36" xfId="27" applyNumberFormat="1" applyFont="1" applyBorder="1" applyAlignment="1">
      <alignment horizontal="right" vertical="center"/>
    </xf>
    <xf numFmtId="165" fontId="6" fillId="0" borderId="29" xfId="27" applyNumberFormat="1" applyFont="1" applyBorder="1" applyAlignment="1">
      <alignment horizontal="right" vertical="center"/>
    </xf>
    <xf numFmtId="165" fontId="15" fillId="0" borderId="29" xfId="27" applyNumberFormat="1" applyFont="1" applyBorder="1" applyAlignment="1">
      <alignment horizontal="left" vertical="center"/>
    </xf>
    <xf numFmtId="3" fontId="6" fillId="0" borderId="28" xfId="28" applyNumberFormat="1" applyFont="1" applyBorder="1" applyAlignment="1">
      <alignment horizontal="right" vertical="center"/>
    </xf>
    <xf numFmtId="165" fontId="15" fillId="0" borderId="29" xfId="28" applyNumberFormat="1" applyFont="1" applyBorder="1" applyAlignment="1">
      <alignment horizontal="right" vertical="center"/>
    </xf>
    <xf numFmtId="2" fontId="6" fillId="0" borderId="28" xfId="0" quotePrefix="1" applyNumberFormat="1" applyFont="1" applyBorder="1" applyAlignment="1">
      <alignment horizontal="right"/>
    </xf>
    <xf numFmtId="165" fontId="15" fillId="0" borderId="29" xfId="0" applyNumberFormat="1" applyFont="1" applyBorder="1" applyAlignment="1">
      <alignment horizontal="right"/>
    </xf>
    <xf numFmtId="0" fontId="6" fillId="0" borderId="28" xfId="29" applyFont="1" applyBorder="1" applyAlignment="1">
      <alignment horizontal="right" vertical="center"/>
    </xf>
    <xf numFmtId="165" fontId="15" fillId="0" borderId="29" xfId="29" applyNumberFormat="1" applyFont="1" applyBorder="1" applyAlignment="1">
      <alignment horizontal="left" vertical="center"/>
    </xf>
    <xf numFmtId="164" fontId="6" fillId="0" borderId="28" xfId="30" quotePrefix="1" applyNumberFormat="1" applyFont="1" applyBorder="1" applyAlignment="1">
      <alignment horizontal="right" vertical="center"/>
    </xf>
    <xf numFmtId="165" fontId="15" fillId="0" borderId="36" xfId="3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wrapText="1"/>
    </xf>
    <xf numFmtId="1" fontId="6" fillId="0" borderId="22" xfId="31" quotePrefix="1" applyNumberFormat="1" applyFont="1" applyBorder="1" applyAlignment="1">
      <alignment horizontal="right" vertical="center"/>
    </xf>
    <xf numFmtId="0" fontId="15" fillId="0" borderId="20" xfId="0" applyFont="1" applyBorder="1" applyAlignment="1">
      <alignment horizontal="right"/>
    </xf>
    <xf numFmtId="2" fontId="6" fillId="0" borderId="22" xfId="31" quotePrefix="1" applyNumberFormat="1" applyFont="1" applyBorder="1" applyAlignment="1">
      <alignment horizontal="right" vertical="center"/>
    </xf>
    <xf numFmtId="3" fontId="6" fillId="0" borderId="22" xfId="31" quotePrefix="1" applyNumberFormat="1" applyFont="1" applyBorder="1" applyAlignment="1">
      <alignment horizontal="right" vertical="center"/>
    </xf>
    <xf numFmtId="166" fontId="6" fillId="0" borderId="20" xfId="31" quotePrefix="1" applyNumberFormat="1" applyFont="1" applyBorder="1" applyAlignment="1">
      <alignment horizontal="right" vertical="center"/>
    </xf>
    <xf numFmtId="166" fontId="6" fillId="0" borderId="22" xfId="31" quotePrefix="1" applyNumberFormat="1" applyFont="1" applyBorder="1" applyAlignment="1">
      <alignment horizontal="right" vertical="center"/>
    </xf>
    <xf numFmtId="0" fontId="6" fillId="0" borderId="22" xfId="1" applyFont="1" applyBorder="1" applyAlignment="1">
      <alignment horizontal="center"/>
    </xf>
    <xf numFmtId="0" fontId="6" fillId="0" borderId="22" xfId="2" applyFont="1" applyBorder="1" applyAlignment="1">
      <alignment horizontal="center" wrapText="1"/>
    </xf>
    <xf numFmtId="14" fontId="6" fillId="0" borderId="46" xfId="20" applyNumberFormat="1" applyFont="1" applyBorder="1" applyAlignment="1">
      <alignment horizontal="center" vertical="center"/>
    </xf>
    <xf numFmtId="3" fontId="6" fillId="0" borderId="20" xfId="21" quotePrefix="1" applyNumberFormat="1" applyFont="1" applyFill="1" applyBorder="1" applyAlignment="1">
      <alignment horizontal="right" vertical="center"/>
    </xf>
    <xf numFmtId="2" fontId="15" fillId="0" borderId="20" xfId="31" applyNumberFormat="1" applyFont="1" applyBorder="1" applyAlignment="1">
      <alignment horizontal="right" vertical="center"/>
    </xf>
    <xf numFmtId="2" fontId="6" fillId="0" borderId="22" xfId="33" quotePrefix="1" applyNumberFormat="1" applyFont="1" applyBorder="1" applyAlignment="1">
      <alignment horizontal="right" vertical="center"/>
    </xf>
    <xf numFmtId="2" fontId="6" fillId="0" borderId="20" xfId="35" quotePrefix="1" applyNumberFormat="1" applyFont="1" applyBorder="1" applyAlignment="1">
      <alignment horizontal="right" vertical="center"/>
    </xf>
    <xf numFmtId="2" fontId="15" fillId="0" borderId="20" xfId="35" applyNumberFormat="1" applyFont="1" applyBorder="1" applyAlignment="1">
      <alignment horizontal="left" vertical="center"/>
    </xf>
    <xf numFmtId="1" fontId="6" fillId="0" borderId="22" xfId="36" quotePrefix="1" applyNumberFormat="1" applyFont="1" applyBorder="1" applyAlignment="1">
      <alignment horizontal="right" vertical="center"/>
    </xf>
    <xf numFmtId="2" fontId="6" fillId="0" borderId="22" xfId="36" quotePrefix="1" applyNumberFormat="1" applyFont="1" applyBorder="1" applyAlignment="1">
      <alignment horizontal="right" vertical="center"/>
    </xf>
    <xf numFmtId="2" fontId="6" fillId="0" borderId="20" xfId="37" quotePrefix="1" applyNumberFormat="1" applyFont="1" applyBorder="1" applyAlignment="1">
      <alignment horizontal="right" vertical="center"/>
    </xf>
    <xf numFmtId="3" fontId="6" fillId="0" borderId="22" xfId="38" quotePrefix="1" applyNumberFormat="1" applyFont="1" applyBorder="1" applyAlignment="1">
      <alignment horizontal="right" vertical="center"/>
    </xf>
    <xf numFmtId="1" fontId="6" fillId="0" borderId="22" xfId="0" applyNumberFormat="1" applyFont="1" applyBorder="1" applyAlignment="1">
      <alignment horizontal="right"/>
    </xf>
    <xf numFmtId="2" fontId="6" fillId="0" borderId="22" xfId="39" quotePrefix="1" applyNumberFormat="1" applyFont="1" applyBorder="1" applyAlignment="1">
      <alignment horizontal="right" vertical="center"/>
    </xf>
    <xf numFmtId="164" fontId="6" fillId="0" borderId="22" xfId="40" quotePrefix="1" applyNumberFormat="1" applyFont="1" applyBorder="1" applyAlignment="1">
      <alignment horizontal="right" vertical="center"/>
    </xf>
    <xf numFmtId="0" fontId="6" fillId="0" borderId="24" xfId="1" applyFont="1" applyBorder="1" applyAlignment="1">
      <alignment horizontal="center"/>
    </xf>
    <xf numFmtId="0" fontId="6" fillId="0" borderId="24" xfId="2" applyFont="1" applyBorder="1" applyAlignment="1">
      <alignment horizontal="center" vertical="center" wrapText="1"/>
    </xf>
    <xf numFmtId="14" fontId="6" fillId="0" borderId="47" xfId="20" applyNumberFormat="1" applyFont="1" applyBorder="1" applyAlignment="1">
      <alignment horizontal="center" vertical="center"/>
    </xf>
    <xf numFmtId="3" fontId="6" fillId="0" borderId="14" xfId="21" quotePrefix="1" applyNumberFormat="1" applyFont="1" applyFill="1" applyBorder="1" applyAlignment="1">
      <alignment horizontal="right" vertical="center"/>
    </xf>
    <xf numFmtId="2" fontId="6" fillId="0" borderId="24" xfId="31" quotePrefix="1" applyNumberFormat="1" applyFont="1" applyBorder="1" applyAlignment="1">
      <alignment horizontal="right" vertical="center"/>
    </xf>
    <xf numFmtId="2" fontId="15" fillId="0" borderId="14" xfId="31" applyNumberFormat="1" applyFont="1" applyBorder="1" applyAlignment="1">
      <alignment horizontal="right" vertical="center"/>
    </xf>
    <xf numFmtId="3" fontId="6" fillId="0" borderId="24" xfId="31" quotePrefix="1" applyNumberFormat="1" applyFont="1" applyBorder="1" applyAlignment="1">
      <alignment horizontal="right" vertical="center"/>
    </xf>
    <xf numFmtId="0" fontId="15" fillId="0" borderId="14" xfId="0" applyFont="1" applyBorder="1" applyAlignment="1">
      <alignment horizontal="right"/>
    </xf>
    <xf numFmtId="2" fontId="6" fillId="0" borderId="24" xfId="33" quotePrefix="1" applyNumberFormat="1" applyFont="1" applyBorder="1" applyAlignment="1">
      <alignment horizontal="right" vertical="center"/>
    </xf>
    <xf numFmtId="2" fontId="6" fillId="0" borderId="14" xfId="35" quotePrefix="1" applyNumberFormat="1" applyFont="1" applyBorder="1" applyAlignment="1">
      <alignment horizontal="right" vertical="center"/>
    </xf>
    <xf numFmtId="2" fontId="15" fillId="0" borderId="14" xfId="35" applyNumberFormat="1" applyFont="1" applyBorder="1" applyAlignment="1">
      <alignment horizontal="left" vertical="center"/>
    </xf>
    <xf numFmtId="1" fontId="6" fillId="0" borderId="24" xfId="36" quotePrefix="1" applyNumberFormat="1" applyFont="1" applyBorder="1" applyAlignment="1">
      <alignment horizontal="right" vertical="center"/>
    </xf>
    <xf numFmtId="2" fontId="15" fillId="0" borderId="14" xfId="0" applyNumberFormat="1" applyFont="1" applyBorder="1" applyAlignment="1">
      <alignment horizontal="right"/>
    </xf>
    <xf numFmtId="2" fontId="6" fillId="0" borderId="24" xfId="36" quotePrefix="1" applyNumberFormat="1" applyFont="1" applyBorder="1" applyAlignment="1">
      <alignment horizontal="right" vertical="center"/>
    </xf>
    <xf numFmtId="2" fontId="6" fillId="0" borderId="14" xfId="37" quotePrefix="1" applyNumberFormat="1" applyFont="1" applyBorder="1" applyAlignment="1">
      <alignment horizontal="right" vertical="center"/>
    </xf>
    <xf numFmtId="3" fontId="6" fillId="0" borderId="24" xfId="38" quotePrefix="1" applyNumberFormat="1" applyFont="1" applyBorder="1" applyAlignment="1">
      <alignment horizontal="right" vertical="center"/>
    </xf>
    <xf numFmtId="1" fontId="6" fillId="0" borderId="24" xfId="0" applyNumberFormat="1" applyFont="1" applyBorder="1" applyAlignment="1">
      <alignment horizontal="right"/>
    </xf>
    <xf numFmtId="2" fontId="6" fillId="0" borderId="24" xfId="39" quotePrefix="1" applyNumberFormat="1" applyFont="1" applyBorder="1" applyAlignment="1">
      <alignment horizontal="right" vertical="center"/>
    </xf>
    <xf numFmtId="164" fontId="6" fillId="0" borderId="24" xfId="40" quotePrefix="1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3" fillId="0" borderId="0" xfId="0" applyFont="1" applyBorder="1" applyAlignment="1">
      <alignment wrapText="1"/>
    </xf>
    <xf numFmtId="0" fontId="16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7" fillId="0" borderId="0" xfId="1" applyFont="1" applyFill="1" applyBorder="1" applyAlignment="1"/>
    <xf numFmtId="0" fontId="5" fillId="0" borderId="0" xfId="0" applyFont="1" applyFill="1" applyAlignment="1"/>
    <xf numFmtId="0" fontId="0" fillId="0" borderId="0" xfId="2" applyFont="1" applyFill="1" applyAlignment="1"/>
    <xf numFmtId="2" fontId="4" fillId="0" borderId="5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 wrapText="1"/>
    </xf>
    <xf numFmtId="2" fontId="23" fillId="0" borderId="0" xfId="0" applyNumberFormat="1" applyFont="1" applyBorder="1" applyAlignment="1">
      <alignment wrapText="1"/>
    </xf>
    <xf numFmtId="2" fontId="0" fillId="0" borderId="0" xfId="0" applyNumberFormat="1"/>
    <xf numFmtId="2" fontId="5" fillId="0" borderId="18" xfId="0" applyNumberFormat="1" applyFont="1" applyFill="1" applyBorder="1" applyAlignment="1">
      <alignment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37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64" fontId="0" fillId="0" borderId="6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64" fontId="15" fillId="0" borderId="43" xfId="0" applyNumberFormat="1" applyFont="1" applyBorder="1" applyAlignment="1">
      <alignment horizontal="right"/>
    </xf>
    <xf numFmtId="1" fontId="15" fillId="0" borderId="41" xfId="0" applyNumberFormat="1" applyFont="1" applyBorder="1" applyAlignment="1">
      <alignment horizontal="right"/>
    </xf>
    <xf numFmtId="1" fontId="15" fillId="0" borderId="44" xfId="0" applyNumberFormat="1" applyFont="1" applyBorder="1" applyAlignment="1">
      <alignment horizontal="right"/>
    </xf>
    <xf numFmtId="165" fontId="15" fillId="0" borderId="36" xfId="23" applyNumberFormat="1" applyFont="1" applyBorder="1" applyAlignment="1">
      <alignment horizontal="right" vertical="center"/>
    </xf>
    <xf numFmtId="2" fontId="15" fillId="0" borderId="43" xfId="33" applyNumberFormat="1" applyFont="1" applyBorder="1" applyAlignment="1">
      <alignment horizontal="right" vertical="center"/>
    </xf>
    <xf numFmtId="2" fontId="15" fillId="0" borderId="44" xfId="33" applyNumberFormat="1" applyFont="1" applyBorder="1" applyAlignment="1">
      <alignment horizontal="right" vertical="center"/>
    </xf>
    <xf numFmtId="0" fontId="10" fillId="2" borderId="33" xfId="0" applyFont="1" applyFill="1" applyBorder="1"/>
    <xf numFmtId="3" fontId="6" fillId="0" borderId="20" xfId="16" applyNumberFormat="1" applyFont="1" applyBorder="1" applyAlignment="1">
      <alignment horizontal="right" vertical="center"/>
    </xf>
    <xf numFmtId="3" fontId="6" fillId="0" borderId="15" xfId="16" applyNumberFormat="1" applyFont="1" applyBorder="1" applyAlignment="1">
      <alignment horizontal="right" vertical="center"/>
    </xf>
    <xf numFmtId="3" fontId="6" fillId="0" borderId="14" xfId="16" applyNumberFormat="1" applyFont="1" applyBorder="1" applyAlignment="1">
      <alignment horizontal="right" vertical="center"/>
    </xf>
    <xf numFmtId="3" fontId="6" fillId="0" borderId="29" xfId="27" applyNumberFormat="1" applyFont="1" applyBorder="1" applyAlignment="1">
      <alignment horizontal="right" vertical="center"/>
    </xf>
    <xf numFmtId="3" fontId="6" fillId="0" borderId="20" xfId="31" quotePrefix="1" applyNumberFormat="1" applyFont="1" applyBorder="1" applyAlignment="1">
      <alignment horizontal="right" vertical="center"/>
    </xf>
    <xf numFmtId="3" fontId="6" fillId="0" borderId="20" xfId="37" quotePrefix="1" applyNumberFormat="1" applyFont="1" applyBorder="1" applyAlignment="1">
      <alignment horizontal="right" vertical="center"/>
    </xf>
    <xf numFmtId="3" fontId="6" fillId="0" borderId="14" xfId="37" quotePrefix="1" applyNumberFormat="1" applyFont="1" applyBorder="1" applyAlignment="1">
      <alignment horizontal="right" vertical="center"/>
    </xf>
    <xf numFmtId="2" fontId="6" fillId="0" borderId="36" xfId="26" applyNumberFormat="1" applyFont="1" applyBorder="1" applyAlignment="1">
      <alignment horizontal="right" vertical="center"/>
    </xf>
    <xf numFmtId="0" fontId="6" fillId="2" borderId="26" xfId="0" applyFont="1" applyFill="1" applyBorder="1" applyAlignment="1">
      <alignment horizontal="center" wrapText="1"/>
    </xf>
    <xf numFmtId="0" fontId="16" fillId="0" borderId="0" xfId="1" applyFont="1" applyFill="1" applyBorder="1" applyAlignment="1">
      <alignment wrapText="1"/>
    </xf>
    <xf numFmtId="0" fontId="10" fillId="0" borderId="1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30" xfId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8" fillId="0" borderId="36" xfId="3" applyFont="1" applyFill="1" applyBorder="1" applyAlignment="1">
      <alignment horizontal="center" vertical="center" wrapText="1"/>
    </xf>
    <xf numFmtId="0" fontId="8" fillId="0" borderId="39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8" fillId="0" borderId="40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/>
    <xf numFmtId="0" fontId="10" fillId="0" borderId="2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32" xfId="0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10" fillId="0" borderId="1" xfId="1" applyNumberFormat="1" applyFont="1" applyFill="1" applyBorder="1" applyAlignment="1">
      <alignment horizontal="center" vertical="center"/>
    </xf>
    <xf numFmtId="1" fontId="12" fillId="0" borderId="10" xfId="3" applyNumberFormat="1" applyFont="1" applyFill="1" applyBorder="1" applyAlignment="1">
      <alignment horizontal="center" vertical="center" wrapText="1"/>
    </xf>
    <xf numFmtId="1" fontId="12" fillId="0" borderId="2" xfId="3" applyNumberFormat="1" applyFont="1" applyFill="1" applyBorder="1" applyAlignment="1">
      <alignment horizontal="center" vertical="center" wrapText="1"/>
    </xf>
  </cellXfs>
  <cellStyles count="41">
    <cellStyle name="Comma 3" xfId="21" xr:uid="{66D459E9-0945-4BE7-9053-6C18717F846B}"/>
    <cellStyle name="Normal" xfId="0" builtinId="0"/>
    <cellStyle name="Normal 101" xfId="18" xr:uid="{C9C34714-DD8C-40E2-AD20-5EF37E9DCEAD}"/>
    <cellStyle name="Normal 102" xfId="32" xr:uid="{02CA3422-0444-45EE-9EED-46BC0FB53E00}"/>
    <cellStyle name="Normal 106" xfId="35" xr:uid="{3BD5E04C-668B-41C9-9D54-98714EE67D58}"/>
    <cellStyle name="Normal 125" xfId="31" xr:uid="{B144EB1A-DC06-4B8B-95DB-0BF7DEAB0717}"/>
    <cellStyle name="Normal 126" xfId="33" xr:uid="{888384EF-7635-4DB1-9A86-E45CB25ED335}"/>
    <cellStyle name="Normal 127" xfId="34" xr:uid="{D2A0FE67-6A9E-47D1-A808-9D0BF4BA9405}"/>
    <cellStyle name="Normal 128" xfId="36" xr:uid="{61D62502-0730-47B9-965A-BD9520DF12F1}"/>
    <cellStyle name="Normal 130" xfId="37" xr:uid="{10F237D2-5A6C-4088-90EF-9C5EBFCBD0F9}"/>
    <cellStyle name="Normal 131" xfId="38" xr:uid="{5C30D583-6C2D-4B19-BD68-90AC2E8A26FA}"/>
    <cellStyle name="Normal 134" xfId="39" xr:uid="{BC3FE2E9-739E-440A-BE85-45CA0A42B60D}"/>
    <cellStyle name="Normal 136" xfId="40" xr:uid="{3405331A-E333-49F3-AAD3-40A09411ABA1}"/>
    <cellStyle name="Normal 141" xfId="19" xr:uid="{2170C7C2-A5A0-49D8-A97D-B5480D4D5200}"/>
    <cellStyle name="Normal 144" xfId="22" xr:uid="{29B08028-C80D-4E52-AFC6-920A11864792}"/>
    <cellStyle name="Normal 146" xfId="23" xr:uid="{8A94A11D-42CB-4722-9D46-F8E6640A2F4D}"/>
    <cellStyle name="Normal 147" xfId="24" xr:uid="{BE0BA9DF-A6F8-4FE6-AA2C-F1CA0226ACD0}"/>
    <cellStyle name="Normal 148" xfId="26" xr:uid="{8A6EACEC-6870-422A-AB14-7B7465188036}"/>
    <cellStyle name="Normal 149" xfId="27" xr:uid="{56F1C308-D46A-4099-9708-9C8DC93F93CF}"/>
    <cellStyle name="Normal 150" xfId="28" xr:uid="{F53D183C-3ABF-446D-A361-BB8953C70BE2}"/>
    <cellStyle name="Normal 152" xfId="29" xr:uid="{DC758A05-88F1-48E3-9AA5-B51D62FC5D5D}"/>
    <cellStyle name="Normal 154" xfId="30" xr:uid="{6F897FA8-202C-426C-8879-AA3C9EDAD5EC}"/>
    <cellStyle name="Normal 156" xfId="25" xr:uid="{329FBD24-0315-4101-8D0B-252B93A77B36}"/>
    <cellStyle name="Normal 2 2" xfId="1" xr:uid="{00000000-0005-0000-0000-000001000000}"/>
    <cellStyle name="Normal 3" xfId="2" xr:uid="{00000000-0005-0000-0000-000002000000}"/>
    <cellStyle name="Normal 4" xfId="20" xr:uid="{31899572-60C6-4E11-9C92-1A6554D9B64D}"/>
    <cellStyle name="Normal 53" xfId="4" xr:uid="{A436604F-A6BE-4158-B2B7-4B69536EB3F0}"/>
    <cellStyle name="Normal 56" xfId="5" xr:uid="{54BF5B84-577C-42DF-A3E5-03BE277F3269}"/>
    <cellStyle name="Normal 57" xfId="6" xr:uid="{159AB287-9BB4-4BB0-8B4A-D1C9B55D1989}"/>
    <cellStyle name="Normal 58" xfId="7" xr:uid="{E03B001E-B6BA-4BF6-80E1-E1EBE669204D}"/>
    <cellStyle name="Normal 59" xfId="8" xr:uid="{780EEC45-2950-4EA8-87F6-8ABA8C386E69}"/>
    <cellStyle name="Normal 60" xfId="9" xr:uid="{3215CAAC-B5E9-4CCF-9FC8-2B6C1743AE2B}"/>
    <cellStyle name="Normal 61" xfId="10" xr:uid="{5F2FD019-A9D5-4931-B56E-53035FC8B5EC}"/>
    <cellStyle name="Normal 62" xfId="11" xr:uid="{B8A0F9DA-8441-4100-B251-4AB6882307E8}"/>
    <cellStyle name="Normal 63" xfId="12" xr:uid="{6B418C07-0DFD-4CC1-9892-6F05239D94AB}"/>
    <cellStyle name="Normal 66" xfId="13" xr:uid="{51AFAAC2-F0A4-4A16-9C83-85B6AEC3416B}"/>
    <cellStyle name="Normal 90" xfId="14" xr:uid="{CF5FB0EC-5382-47FD-83A0-494C1518E7B0}"/>
    <cellStyle name="Normal 93" xfId="15" xr:uid="{79C6483B-36CA-4691-8230-9ED0BB333C87}"/>
    <cellStyle name="Normal 96" xfId="16" xr:uid="{09343263-0299-4943-B847-50CA581A58E6}"/>
    <cellStyle name="Normal 99" xfId="17" xr:uid="{8283E290-5420-402E-8C80-9A8A5CD62C81}"/>
    <cellStyle name="Normal_Storage Pile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19</xdr:row>
          <xdr:rowOff>76200</xdr:rowOff>
        </xdr:from>
        <xdr:to>
          <xdr:col>3</xdr:col>
          <xdr:colOff>352425</xdr:colOff>
          <xdr:row>22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6</xdr:col>
      <xdr:colOff>365466</xdr:colOff>
      <xdr:row>19</xdr:row>
      <xdr:rowOff>78400</xdr:rowOff>
    </xdr:from>
    <xdr:to>
      <xdr:col>9</xdr:col>
      <xdr:colOff>247650</xdr:colOff>
      <xdr:row>25</xdr:row>
      <xdr:rowOff>133879</xdr:rowOff>
    </xdr:to>
    <xdr:pic>
      <xdr:nvPicPr>
        <xdr:cNvPr id="3" name="Picture 2" descr="Pictures of surface area of cone. free images that you can download and use!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6916" y="3802675"/>
          <a:ext cx="1939584" cy="105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DEQ087\My%20Documents\Ethanol%20Plants%20-%20reviewed\ADM%20-%20Columbus\After%20Initial%20Review\39285f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\dfs\Documents%20and%20Settings\deq226\My%20Documents\Current%20Projects\Wheatland\84220mf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Work_Files\ADM%20Clinton\Alcohol%20Project%202004\Alcohol%20Plant%20Calcs%2010-06-04%20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\dfs\Documents%20and%20Settings\deq226\My%20Documents\Concrete%20PBR\Current%20Projects\Concrete%20Industries\Wheatland\84220m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deq226\My%20Documents\Current%20Projects\Wheatland\84220mf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ission Units"/>
      <sheetName val="Criteria Summary"/>
      <sheetName val="HAP Summary"/>
      <sheetName val="Title 129, Chapters 20 &amp; 24"/>
      <sheetName val="PM Process Emissions"/>
      <sheetName val="Steeping&amp;Milling"/>
      <sheetName val="Germ Dryers, cooling"/>
      <sheetName val="Gluten Flash Dryers"/>
      <sheetName val="Fluid Bed Germ Dryer"/>
      <sheetName val="Fermentation, Distillation"/>
      <sheetName val="Storage Tanks"/>
      <sheetName val="Product Loadout"/>
      <sheetName val="Product Loadout HAPs"/>
      <sheetName val="EtOH LO Flare"/>
      <sheetName val="Carbon Furnaces"/>
      <sheetName val="NG Boilers #1-4"/>
      <sheetName val="NG Boiler #5"/>
      <sheetName val="Coal fired Boilers"/>
      <sheetName val="Cooling Towers"/>
      <sheetName val="Equipment Leaks"/>
      <sheetName val="Paved Road Fugitives"/>
      <sheetName val="Emergency Equipment"/>
      <sheetName val="Biogas Flare"/>
      <sheetName val="Wet Feed Pile"/>
      <sheetName val="HCl Scrubber"/>
      <sheetName val="Process Tan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; Grain Receiving&amp;DDGS"/>
      <sheetName val="3-5; RTO (DDGS Production)"/>
      <sheetName val="6; Distillation"/>
      <sheetName val="7; Fermentation"/>
      <sheetName val="8; Boilers"/>
      <sheetName val="9-13; Liquid Loading"/>
      <sheetName val="14; Emer. Fire Pump"/>
      <sheetName val="15; Wet Cake"/>
      <sheetName val="16-17; Equipment Leaks"/>
      <sheetName val="18; Haul Roads"/>
      <sheetName val="19; Cool Tower"/>
      <sheetName val="20; Tanks"/>
      <sheetName val="21; Title V Total"/>
      <sheetName val="22; Total HAPS"/>
      <sheetName val="DNP; Chapter 24"/>
      <sheetName val="23; Chapter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Yeast Props"/>
      <sheetName val="Fermenters"/>
      <sheetName val="Beer Well"/>
      <sheetName val="Beer Stills"/>
      <sheetName val="Anhydrous NCG Vents"/>
      <sheetName val="Mole Sieve NCG Vent"/>
      <sheetName val="MR1-3 Vent"/>
      <sheetName val="MR4 Vent"/>
      <sheetName val="Beverage Stills"/>
      <sheetName val="Gin Stills"/>
      <sheetName val="R-1 Stripper NCG Vent"/>
      <sheetName val="A-1 Stripper NCG Vent"/>
      <sheetName val="A-1A Stripper NCG Vent"/>
      <sheetName val="CO2 Scrubber Stripper NCG Vent"/>
      <sheetName val="Stillage Tank 108"/>
      <sheetName val="Stillage Tank 110"/>
      <sheetName val="Stillage Tank #3"/>
      <sheetName val="Recycle Tank"/>
      <sheetName val="Tanks TH1 &amp; TH2"/>
      <sheetName val="Tank A6"/>
      <sheetName val="A1 Feed Tank"/>
      <sheetName val="Fusel Oil Tank"/>
      <sheetName val="Mix Tank"/>
      <sheetName val="Process &amp; Storage Tanks"/>
      <sheetName val="Uncontrolled Fuel Loadout PTE"/>
      <sheetName val="Controlled Fuel Loadout PTE"/>
      <sheetName val="Beverage Loadout PTE"/>
      <sheetName val="Barge Beverage Loadout Baseline"/>
      <sheetName val="Rail Beverage Loadout Baseline"/>
      <sheetName val="Truck Beverage Loadout Baseline"/>
      <sheetName val="Barge CDA Baseline"/>
      <sheetName val="Rail CDA Baseline"/>
      <sheetName val="Dedicated Truck CDA Baseline"/>
      <sheetName val="Switch Truck CDA Baseline"/>
      <sheetName val="Loadout Flare Emissions"/>
      <sheetName val="VOC Fugitives"/>
      <sheetName val="WWTP"/>
      <sheetName val="Biomass Drying"/>
      <sheetName val="Feed Dryer EF Basis"/>
      <sheetName val="Road Dust Fugitives"/>
      <sheetName val="Road Rates"/>
      <sheetName val="Baseline Data"/>
      <sheetName val="Fermenter Test Data"/>
      <sheetName val="Constants"/>
      <sheetName val="Hourly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5">
          <cell r="B5">
            <v>1.05</v>
          </cell>
        </row>
      </sheetData>
      <sheetData sheetId="4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; Grain Receiving&amp;DDGS"/>
      <sheetName val="3-5; RTO (DDGS Production)"/>
      <sheetName val="6; Distillation"/>
      <sheetName val="7; Fermentation"/>
      <sheetName val="8; Boilers"/>
      <sheetName val="9-13; Liquid Loading"/>
      <sheetName val="14; Emer. Fire Pump"/>
      <sheetName val="15; Wet Cake"/>
      <sheetName val="16-17; Equipment Leaks"/>
      <sheetName val="18; Haul Roads"/>
      <sheetName val="19; Cool Tower"/>
      <sheetName val="20; Tanks"/>
      <sheetName val="21; Title V Total"/>
      <sheetName val="22; Total HAPS"/>
      <sheetName val="DNP; Chapter 24"/>
      <sheetName val="23; Chapter 2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; Grain Receiving&amp;DDGS"/>
      <sheetName val="3-5; RTO (DDGS Production)"/>
      <sheetName val="6; Distillation"/>
      <sheetName val="7; Fermentation"/>
      <sheetName val="8; Boilers"/>
      <sheetName val="9-13; Liquid Loading"/>
      <sheetName val="14; Emer. Fire Pump"/>
      <sheetName val="15; Wet Cake"/>
      <sheetName val="16-17; Equipment Leaks"/>
      <sheetName val="18; Haul Roads"/>
      <sheetName val="19; Cool Tower"/>
      <sheetName val="20; Tanks"/>
      <sheetName val="21; Title V Total"/>
      <sheetName val="22; Total HAPS"/>
      <sheetName val="DNP; Chapter 24"/>
      <sheetName val="23; Chapter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5"/>
  <sheetViews>
    <sheetView tabSelected="1" zoomScaleNormal="100" zoomScaleSheetLayoutView="100" workbookViewId="0"/>
  </sheetViews>
  <sheetFormatPr defaultColWidth="8.7109375" defaultRowHeight="15" x14ac:dyDescent="0.25"/>
  <cols>
    <col min="1" max="1" width="6.28515625" style="26" customWidth="1"/>
    <col min="2" max="2" width="11.85546875" style="26" customWidth="1"/>
    <col min="3" max="3" width="10.5703125" style="26" bestFit="1" customWidth="1"/>
    <col min="4" max="4" width="11.5703125" style="26" bestFit="1" customWidth="1"/>
    <col min="5" max="5" width="10.28515625" style="26" customWidth="1"/>
    <col min="6" max="6" width="9.140625" style="26" customWidth="1"/>
    <col min="7" max="9" width="10.28515625" style="26" customWidth="1"/>
    <col min="10" max="11" width="8.85546875" style="26" bestFit="1" customWidth="1"/>
    <col min="12" max="12" width="9" style="26" bestFit="1" customWidth="1"/>
    <col min="13" max="13" width="8.85546875" style="26" bestFit="1" customWidth="1"/>
    <col min="14" max="16" width="9.7109375" style="26" customWidth="1"/>
    <col min="17" max="16384" width="8.7109375" style="26"/>
  </cols>
  <sheetData>
    <row r="1" spans="1:16" x14ac:dyDescent="0.25">
      <c r="A1" s="24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x14ac:dyDescent="0.25">
      <c r="A2" s="24" t="s">
        <v>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5" customHeight="1" x14ac:dyDescent="0.25">
      <c r="A4" s="297" t="s">
        <v>95</v>
      </c>
      <c r="B4" s="294" t="s">
        <v>7</v>
      </c>
      <c r="C4" s="293" t="s">
        <v>79</v>
      </c>
      <c r="D4" s="300" t="s">
        <v>80</v>
      </c>
      <c r="E4" s="300" t="s">
        <v>100</v>
      </c>
      <c r="F4" s="300" t="s">
        <v>68</v>
      </c>
      <c r="G4" s="301" t="s">
        <v>69</v>
      </c>
      <c r="H4" s="301" t="s">
        <v>81</v>
      </c>
      <c r="I4" s="301" t="s">
        <v>82</v>
      </c>
    </row>
    <row r="5" spans="1:16" x14ac:dyDescent="0.25">
      <c r="A5" s="298"/>
      <c r="B5" s="295"/>
      <c r="C5" s="293"/>
      <c r="D5" s="300"/>
      <c r="E5" s="300"/>
      <c r="F5" s="300"/>
      <c r="G5" s="301"/>
      <c r="H5" s="301"/>
      <c r="I5" s="301"/>
    </row>
    <row r="6" spans="1:16" x14ac:dyDescent="0.25">
      <c r="A6" s="298"/>
      <c r="B6" s="295"/>
      <c r="C6" s="293"/>
      <c r="D6" s="300"/>
      <c r="E6" s="300"/>
      <c r="F6" s="300"/>
      <c r="G6" s="301"/>
      <c r="H6" s="301"/>
      <c r="I6" s="301"/>
    </row>
    <row r="7" spans="1:16" ht="15.75" thickBot="1" x14ac:dyDescent="0.3">
      <c r="A7" s="299"/>
      <c r="B7" s="296"/>
      <c r="C7" s="4" t="s">
        <v>64</v>
      </c>
      <c r="D7" s="3" t="s">
        <v>65</v>
      </c>
      <c r="E7" s="3" t="s">
        <v>65</v>
      </c>
      <c r="F7" s="3" t="s">
        <v>67</v>
      </c>
      <c r="G7" s="3" t="s">
        <v>66</v>
      </c>
      <c r="H7" s="3" t="s">
        <v>66</v>
      </c>
      <c r="I7" s="3" t="s">
        <v>66</v>
      </c>
    </row>
    <row r="8" spans="1:16" x14ac:dyDescent="0.25">
      <c r="A8" s="27" t="s">
        <v>8</v>
      </c>
      <c r="B8" s="28" t="s">
        <v>61</v>
      </c>
      <c r="C8" s="29">
        <v>5.3</v>
      </c>
      <c r="D8" s="314">
        <v>70</v>
      </c>
      <c r="E8" s="314">
        <v>28</v>
      </c>
      <c r="F8" s="30">
        <f>PI()*(D8)*SQRT(E8^2+(D8^2))/43560</f>
        <v>0.38061603104992586</v>
      </c>
      <c r="G8" s="32">
        <f>1.7*(C8/1.5)*((365-$C$27)/235)*($C$29/15)*(1/24)</f>
        <v>8.4316985815602818E-2</v>
      </c>
      <c r="H8" s="32">
        <f>0.35/0.74*G8</f>
        <v>3.9879655453325655E-2</v>
      </c>
      <c r="I8" s="32">
        <f>G8*0.053/0.74</f>
        <v>6.0389192543607428E-3</v>
      </c>
    </row>
    <row r="9" spans="1:16" x14ac:dyDescent="0.25">
      <c r="A9" s="33" t="s">
        <v>9</v>
      </c>
      <c r="B9" s="34" t="s">
        <v>51</v>
      </c>
      <c r="C9" s="35">
        <v>5.3</v>
      </c>
      <c r="D9" s="315">
        <v>220</v>
      </c>
      <c r="E9" s="315">
        <v>16</v>
      </c>
      <c r="F9" s="36">
        <f>PI()*(D9)*SQRT(E9^2+(D9^2))/43560</f>
        <v>3.4998778227957614</v>
      </c>
      <c r="G9" s="38">
        <f>1.7*(C9/1.5)*((365-$C$27)/235)*($C$29/15)*(1/24)</f>
        <v>8.4316985815602818E-2</v>
      </c>
      <c r="H9" s="38">
        <f t="shared" ref="H9:H11" si="0">0.35/0.74*G9</f>
        <v>3.9879655453325655E-2</v>
      </c>
      <c r="I9" s="38">
        <f t="shared" ref="I9:I11" si="1">G9*0.053/0.74</f>
        <v>6.0389192543607428E-3</v>
      </c>
    </row>
    <row r="10" spans="1:16" x14ac:dyDescent="0.25">
      <c r="A10" s="33" t="s">
        <v>10</v>
      </c>
      <c r="B10" s="34" t="s">
        <v>52</v>
      </c>
      <c r="C10" s="35">
        <v>5.3</v>
      </c>
      <c r="D10" s="315">
        <v>60</v>
      </c>
      <c r="E10" s="315">
        <v>37</v>
      </c>
      <c r="F10" s="36">
        <f t="shared" ref="F10" si="2">PI()*(D10)*SQRT(E10^2+(D10^2))/43560</f>
        <v>0.30503364921219228</v>
      </c>
      <c r="G10" s="38">
        <f>1.7*(C10/1.5)*((365-$C$27)/235)*($C$29/15)*(1/24)</f>
        <v>8.4316985815602818E-2</v>
      </c>
      <c r="H10" s="38">
        <f t="shared" si="0"/>
        <v>3.9879655453325655E-2</v>
      </c>
      <c r="I10" s="38">
        <f t="shared" si="1"/>
        <v>6.0389192543607428E-3</v>
      </c>
    </row>
    <row r="11" spans="1:16" ht="15.75" customHeight="1" x14ac:dyDescent="0.25">
      <c r="A11" s="33" t="s">
        <v>11</v>
      </c>
      <c r="B11" s="34" t="s">
        <v>53</v>
      </c>
      <c r="C11" s="35">
        <v>5.3</v>
      </c>
      <c r="D11" s="315">
        <v>180</v>
      </c>
      <c r="E11" s="315">
        <v>9</v>
      </c>
      <c r="F11" s="36">
        <f>PI()*(D11)*SQRT(E11^2+D11^2)/43560</f>
        <v>2.3396408874302699</v>
      </c>
      <c r="G11" s="38">
        <f>1.7*(C11/1.5)*((365-$C$27)/235)*($C$29/15)*(1/24)</f>
        <v>8.4316985815602818E-2</v>
      </c>
      <c r="H11" s="38">
        <f t="shared" si="0"/>
        <v>3.9879655453325655E-2</v>
      </c>
      <c r="I11" s="38">
        <f t="shared" si="1"/>
        <v>6.0389192543607428E-3</v>
      </c>
    </row>
    <row r="12" spans="1:16" x14ac:dyDescent="0.25">
      <c r="A12" s="39"/>
      <c r="B12" s="39"/>
      <c r="C12" s="40"/>
      <c r="D12" s="40"/>
      <c r="E12" s="40"/>
      <c r="F12" s="41"/>
      <c r="G12" s="42"/>
      <c r="H12" s="42"/>
      <c r="I12" s="42"/>
    </row>
    <row r="13" spans="1:16" x14ac:dyDescent="0.25">
      <c r="A13" s="288"/>
      <c r="B13" s="285" t="s">
        <v>96</v>
      </c>
      <c r="C13" s="286"/>
      <c r="D13" s="287"/>
      <c r="E13" s="290" t="s">
        <v>97</v>
      </c>
      <c r="F13" s="291"/>
      <c r="G13" s="292"/>
      <c r="H13" s="285" t="s">
        <v>98</v>
      </c>
      <c r="I13" s="286"/>
      <c r="J13" s="287"/>
      <c r="K13" s="285" t="s">
        <v>99</v>
      </c>
      <c r="L13" s="286"/>
      <c r="M13" s="287"/>
      <c r="N13" s="285" t="s">
        <v>0</v>
      </c>
      <c r="O13" s="286"/>
      <c r="P13" s="286"/>
    </row>
    <row r="14" spans="1:16" ht="15.75" thickBot="1" x14ac:dyDescent="0.3">
      <c r="A14" s="289"/>
      <c r="B14" s="43" t="s">
        <v>1</v>
      </c>
      <c r="C14" s="44" t="s">
        <v>2</v>
      </c>
      <c r="D14" s="45" t="s">
        <v>3</v>
      </c>
      <c r="E14" s="43" t="s">
        <v>1</v>
      </c>
      <c r="F14" s="44" t="s">
        <v>2</v>
      </c>
      <c r="G14" s="45" t="s">
        <v>3</v>
      </c>
      <c r="H14" s="43" t="s">
        <v>1</v>
      </c>
      <c r="I14" s="44" t="s">
        <v>2</v>
      </c>
      <c r="J14" s="45" t="s">
        <v>3</v>
      </c>
      <c r="K14" s="43" t="s">
        <v>1</v>
      </c>
      <c r="L14" s="44" t="s">
        <v>2</v>
      </c>
      <c r="M14" s="45" t="s">
        <v>3</v>
      </c>
      <c r="N14" s="43" t="s">
        <v>1</v>
      </c>
      <c r="O14" s="44" t="s">
        <v>2</v>
      </c>
      <c r="P14" s="44" t="s">
        <v>3</v>
      </c>
    </row>
    <row r="15" spans="1:16" x14ac:dyDescent="0.25">
      <c r="A15" s="46" t="s">
        <v>4</v>
      </c>
      <c r="B15" s="47">
        <f>G8*$F$8</f>
        <v>3.2092396491227644E-2</v>
      </c>
      <c r="C15" s="31">
        <f>B15*24</f>
        <v>0.77021751578946351</v>
      </c>
      <c r="D15" s="48">
        <f>B15*8760/2000</f>
        <v>0.14056469663157709</v>
      </c>
      <c r="E15" s="47">
        <f>G9*$F$9</f>
        <v>0.29509914874101312</v>
      </c>
      <c r="F15" s="31">
        <f>E15*24</f>
        <v>7.0823795697843153</v>
      </c>
      <c r="G15" s="48">
        <f>E15*8760/2000</f>
        <v>1.2925342714856374</v>
      </c>
      <c r="H15" s="47">
        <f>G10*$F$10</f>
        <v>2.5719517873905983E-2</v>
      </c>
      <c r="I15" s="31">
        <f>H15*24</f>
        <v>0.61726842897374357</v>
      </c>
      <c r="J15" s="48">
        <f>H15*8760/2000</f>
        <v>0.1126514882877082</v>
      </c>
      <c r="K15" s="47">
        <f>G11*$F$11</f>
        <v>0.19727146751906247</v>
      </c>
      <c r="L15" s="31">
        <f>K15*24</f>
        <v>4.7345152204574994</v>
      </c>
      <c r="M15" s="48">
        <f>K15*8760/2000</f>
        <v>0.86404902773349368</v>
      </c>
      <c r="N15" s="313">
        <f t="shared" ref="N15:P17" si="3">B15+E15+H15+K15</f>
        <v>0.55018253062520917</v>
      </c>
      <c r="O15" s="49">
        <f t="shared" si="3"/>
        <v>13.204380735005021</v>
      </c>
      <c r="P15" s="49">
        <f t="shared" si="3"/>
        <v>2.409799484138416</v>
      </c>
    </row>
    <row r="16" spans="1:16" ht="18" x14ac:dyDescent="0.25">
      <c r="A16" s="50" t="s">
        <v>83</v>
      </c>
      <c r="B16" s="51">
        <f>H8*$F$8</f>
        <v>1.5178836178283342E-2</v>
      </c>
      <c r="C16" s="37">
        <f t="shared" ref="C16:C17" si="4">B16*24</f>
        <v>0.36429206827880023</v>
      </c>
      <c r="D16" s="52">
        <f t="shared" ref="D16:D17" si="5">B16*8760/2000</f>
        <v>6.6483302460881036E-2</v>
      </c>
      <c r="E16" s="51">
        <f>H9*$F$9</f>
        <v>0.1395739217018305</v>
      </c>
      <c r="F16" s="37">
        <f t="shared" ref="F16:F17" si="6">E16*24</f>
        <v>3.3497741208439322</v>
      </c>
      <c r="G16" s="52">
        <f t="shared" ref="G16:G17" si="7">E16*8760/2000</f>
        <v>0.61133377705401759</v>
      </c>
      <c r="H16" s="51">
        <f>H10*$F$10</f>
        <v>1.2164636832252829E-2</v>
      </c>
      <c r="I16" s="37">
        <f t="shared" ref="I16:I17" si="8">H16*24</f>
        <v>0.29195128397406789</v>
      </c>
      <c r="J16" s="52">
        <f t="shared" ref="J16:J17" si="9">H16*8760/2000</f>
        <v>5.328110932526739E-2</v>
      </c>
      <c r="K16" s="51">
        <f>H11*$F$11</f>
        <v>9.330407247523223E-2</v>
      </c>
      <c r="L16" s="37">
        <f t="shared" ref="L16:L17" si="10">K16*24</f>
        <v>2.2392977394055738</v>
      </c>
      <c r="M16" s="52">
        <f t="shared" ref="M16:M17" si="11">K16*8760/2000</f>
        <v>0.40867183744151714</v>
      </c>
      <c r="N16" s="313">
        <f t="shared" si="3"/>
        <v>0.26022146718759886</v>
      </c>
      <c r="O16" s="49">
        <f t="shared" si="3"/>
        <v>6.2453152125023745</v>
      </c>
      <c r="P16" s="49">
        <f t="shared" si="3"/>
        <v>1.1397700262816832</v>
      </c>
    </row>
    <row r="17" spans="1:16" ht="18" x14ac:dyDescent="0.25">
      <c r="A17" s="50" t="s">
        <v>84</v>
      </c>
      <c r="B17" s="51">
        <f>I8*$F$8</f>
        <v>2.2985094784257636E-3</v>
      </c>
      <c r="C17" s="37">
        <f t="shared" si="4"/>
        <v>5.5164227482218331E-2</v>
      </c>
      <c r="D17" s="52">
        <f t="shared" si="5"/>
        <v>1.0067471515504845E-2</v>
      </c>
      <c r="E17" s="51">
        <f>I9*$F$9</f>
        <v>2.1135479571991481E-2</v>
      </c>
      <c r="F17" s="37">
        <f t="shared" si="6"/>
        <v>0.50725150972779554</v>
      </c>
      <c r="G17" s="52">
        <f t="shared" si="7"/>
        <v>9.2573400525322688E-2</v>
      </c>
      <c r="H17" s="51">
        <f>I10*$F$10</f>
        <v>1.8420735774554286E-3</v>
      </c>
      <c r="I17" s="37">
        <f t="shared" si="8"/>
        <v>4.4209765858930286E-2</v>
      </c>
      <c r="J17" s="52">
        <f t="shared" si="9"/>
        <v>8.068282269254776E-3</v>
      </c>
      <c r="K17" s="51">
        <f>I11*$F$11</f>
        <v>1.4128902403392311E-2</v>
      </c>
      <c r="L17" s="37">
        <f t="shared" si="10"/>
        <v>0.33909365768141547</v>
      </c>
      <c r="M17" s="52">
        <f t="shared" si="11"/>
        <v>6.188459252685833E-2</v>
      </c>
      <c r="N17" s="313">
        <f t="shared" si="3"/>
        <v>3.9404965031264984E-2</v>
      </c>
      <c r="O17" s="49">
        <f t="shared" si="3"/>
        <v>0.94571916075035967</v>
      </c>
      <c r="P17" s="49">
        <f t="shared" si="3"/>
        <v>0.17259374683694065</v>
      </c>
    </row>
    <row r="18" spans="1:16" x14ac:dyDescent="0.25">
      <c r="A18" s="39"/>
      <c r="B18" s="53"/>
      <c r="C18" s="54"/>
      <c r="D18" s="54"/>
      <c r="E18" s="40"/>
      <c r="F18" s="39"/>
      <c r="G18" s="53"/>
      <c r="H18" s="54"/>
      <c r="I18" s="54"/>
      <c r="J18" s="25"/>
      <c r="K18" s="25"/>
      <c r="L18" s="25"/>
      <c r="M18" s="25"/>
      <c r="N18" s="25"/>
      <c r="O18" s="25"/>
      <c r="P18" s="25"/>
    </row>
    <row r="19" spans="1:16" s="61" customFormat="1" x14ac:dyDescent="0.2">
      <c r="A19" s="59" t="s">
        <v>85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s="61" customFormat="1" ht="12.75" x14ac:dyDescent="0.2">
      <c r="A20" s="62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</row>
    <row r="21" spans="1:16" s="61" customFormat="1" ht="12.75" x14ac:dyDescent="0.2">
      <c r="A21" s="62"/>
      <c r="B21" s="60"/>
      <c r="C21" s="60"/>
      <c r="D21" s="60"/>
      <c r="E21" s="60"/>
      <c r="F21" s="60"/>
      <c r="G21" s="60"/>
      <c r="H21" s="63"/>
      <c r="I21" s="60"/>
      <c r="J21" s="60"/>
      <c r="K21" s="60"/>
      <c r="L21" s="60"/>
      <c r="M21" s="60"/>
      <c r="N21" s="60"/>
      <c r="O21" s="60"/>
      <c r="P21" s="60"/>
    </row>
    <row r="22" spans="1:16" s="61" customFormat="1" ht="12.75" x14ac:dyDescent="0.2">
      <c r="A22" s="64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16" s="61" customFormat="1" ht="12.75" x14ac:dyDescent="0.2">
      <c r="A23" s="65"/>
      <c r="B23" s="60"/>
      <c r="C23" s="60"/>
      <c r="D23" s="60"/>
      <c r="E23" s="60"/>
      <c r="F23" s="60"/>
      <c r="G23" s="64"/>
      <c r="H23" s="59"/>
      <c r="I23" s="59"/>
      <c r="J23" s="60"/>
      <c r="K23" s="60"/>
      <c r="L23" s="60"/>
      <c r="M23" s="60"/>
      <c r="N23" s="60"/>
      <c r="O23" s="60"/>
      <c r="P23" s="60"/>
    </row>
    <row r="24" spans="1:16" s="61" customFormat="1" ht="12.75" x14ac:dyDescent="0.2">
      <c r="A24" s="66" t="s">
        <v>70</v>
      </c>
      <c r="B24" s="67" t="s">
        <v>71</v>
      </c>
      <c r="C24" s="59"/>
      <c r="D24" s="59"/>
      <c r="E24" s="59"/>
      <c r="F24" s="59"/>
      <c r="G24" s="59"/>
      <c r="H24" s="59"/>
      <c r="I24" s="59"/>
      <c r="J24" s="60"/>
      <c r="K24" s="60"/>
      <c r="L24" s="60"/>
      <c r="M24" s="60"/>
      <c r="N24" s="60"/>
      <c r="O24" s="60"/>
      <c r="P24" s="60"/>
    </row>
    <row r="25" spans="1:16" s="61" customFormat="1" x14ac:dyDescent="0.2">
      <c r="A25" s="66" t="s">
        <v>72</v>
      </c>
      <c r="B25" s="67" t="s">
        <v>86</v>
      </c>
      <c r="C25" s="59"/>
      <c r="D25" s="59"/>
      <c r="E25" s="59"/>
      <c r="F25" s="59"/>
      <c r="G25" s="59"/>
      <c r="H25" s="59"/>
      <c r="I25" s="59"/>
      <c r="J25" s="60"/>
      <c r="K25" s="60"/>
      <c r="L25" s="60"/>
      <c r="M25" s="60"/>
      <c r="N25" s="60"/>
      <c r="O25" s="60"/>
      <c r="P25" s="60"/>
    </row>
    <row r="26" spans="1:16" s="61" customFormat="1" ht="18" customHeight="1" x14ac:dyDescent="0.2">
      <c r="A26" s="66" t="s">
        <v>73</v>
      </c>
      <c r="B26" s="67" t="s">
        <v>87</v>
      </c>
      <c r="C26" s="59"/>
      <c r="D26" s="59"/>
      <c r="E26" s="59"/>
      <c r="F26" s="59"/>
      <c r="G26" s="59"/>
      <c r="H26" s="59"/>
      <c r="I26" s="59"/>
      <c r="J26" s="60"/>
      <c r="K26" s="60"/>
      <c r="L26" s="60"/>
      <c r="M26" s="60"/>
      <c r="N26" s="60"/>
      <c r="O26" s="60"/>
      <c r="P26" s="60"/>
    </row>
    <row r="27" spans="1:16" s="61" customFormat="1" ht="12.75" x14ac:dyDescent="0.2">
      <c r="B27" s="66" t="s">
        <v>5</v>
      </c>
      <c r="C27" s="67">
        <v>170</v>
      </c>
      <c r="D27" s="59"/>
      <c r="E27" s="59"/>
      <c r="F27" s="59"/>
      <c r="G27" s="59"/>
      <c r="H27" s="59"/>
      <c r="I27" s="59"/>
      <c r="J27" s="60"/>
      <c r="K27" s="60"/>
      <c r="L27" s="60"/>
      <c r="M27" s="60"/>
      <c r="N27" s="60"/>
      <c r="O27" s="60"/>
      <c r="P27" s="60"/>
    </row>
    <row r="28" spans="1:16" s="61" customFormat="1" ht="18" customHeight="1" x14ac:dyDescent="0.2">
      <c r="A28" s="66" t="s">
        <v>74</v>
      </c>
      <c r="B28" s="67" t="s">
        <v>88</v>
      </c>
      <c r="C28" s="59"/>
      <c r="D28" s="59"/>
      <c r="E28" s="59"/>
      <c r="F28" s="59"/>
      <c r="G28" s="59"/>
      <c r="H28" s="59"/>
      <c r="I28" s="59"/>
      <c r="J28" s="60"/>
      <c r="K28" s="60"/>
      <c r="L28" s="60"/>
      <c r="M28" s="60"/>
      <c r="N28" s="60"/>
      <c r="O28" s="60"/>
      <c r="P28" s="60"/>
    </row>
    <row r="29" spans="1:16" s="61" customFormat="1" ht="12.75" x14ac:dyDescent="0.2">
      <c r="B29" s="66" t="s">
        <v>6</v>
      </c>
      <c r="C29" s="67">
        <v>6.09</v>
      </c>
      <c r="D29" s="59"/>
      <c r="E29" s="59"/>
      <c r="F29" s="59"/>
      <c r="G29" s="59"/>
      <c r="H29" s="59"/>
      <c r="I29" s="59"/>
      <c r="J29" s="60"/>
      <c r="K29" s="60"/>
      <c r="L29" s="60"/>
      <c r="M29" s="60"/>
      <c r="N29" s="60"/>
      <c r="O29" s="60"/>
      <c r="P29" s="60"/>
    </row>
    <row r="30" spans="1:16" s="61" customFormat="1" ht="12.75" x14ac:dyDescent="0.2">
      <c r="A30" s="284" t="s">
        <v>89</v>
      </c>
      <c r="B30" s="284"/>
      <c r="C30" s="284"/>
      <c r="D30" s="284"/>
      <c r="E30" s="284"/>
      <c r="F30" s="284"/>
      <c r="G30" s="284"/>
      <c r="H30" s="284"/>
      <c r="I30" s="284"/>
      <c r="J30" s="60"/>
      <c r="K30" s="60"/>
      <c r="L30" s="60"/>
      <c r="M30" s="60"/>
      <c r="N30" s="60"/>
      <c r="O30" s="60"/>
      <c r="P30" s="60"/>
    </row>
    <row r="31" spans="1:16" s="61" customFormat="1" ht="12.75" x14ac:dyDescent="0.2">
      <c r="A31" s="68"/>
      <c r="B31" s="69"/>
      <c r="C31" s="70"/>
      <c r="D31" s="70"/>
      <c r="E31" s="71"/>
      <c r="F31" s="68"/>
      <c r="G31" s="69"/>
      <c r="H31" s="70"/>
      <c r="I31" s="70"/>
      <c r="J31" s="60"/>
      <c r="K31" s="60"/>
      <c r="L31" s="60"/>
      <c r="M31" s="60"/>
      <c r="N31" s="60"/>
      <c r="O31" s="60"/>
      <c r="P31" s="60"/>
    </row>
    <row r="32" spans="1:16" s="61" customFormat="1" ht="12.75" x14ac:dyDescent="0.2">
      <c r="A32" s="72" t="s">
        <v>58</v>
      </c>
      <c r="B32" s="69"/>
      <c r="C32" s="70"/>
      <c r="D32" s="70"/>
      <c r="E32" s="71"/>
      <c r="F32" s="68"/>
      <c r="G32" s="69"/>
      <c r="H32" s="70"/>
      <c r="I32" s="70"/>
      <c r="J32" s="60"/>
      <c r="K32" s="60"/>
      <c r="L32" s="60"/>
      <c r="M32" s="60"/>
      <c r="N32" s="60"/>
      <c r="O32" s="60"/>
      <c r="P32" s="60"/>
    </row>
    <row r="33" spans="1:16" s="61" customFormat="1" ht="12.75" customHeight="1" x14ac:dyDescent="0.2">
      <c r="A33" s="249" t="s">
        <v>101</v>
      </c>
      <c r="B33" s="250"/>
      <c r="C33" s="250"/>
      <c r="D33" s="250"/>
      <c r="E33" s="250"/>
      <c r="F33" s="250"/>
      <c r="G33" s="250"/>
      <c r="H33" s="250"/>
      <c r="I33" s="250"/>
      <c r="J33" s="60"/>
      <c r="K33" s="60"/>
      <c r="L33" s="60"/>
      <c r="M33" s="60"/>
      <c r="N33" s="60"/>
      <c r="O33" s="60"/>
      <c r="P33" s="60"/>
    </row>
    <row r="34" spans="1:16" s="61" customFormat="1" ht="12.75" customHeight="1" x14ac:dyDescent="0.2">
      <c r="A34" s="249" t="s">
        <v>102</v>
      </c>
      <c r="B34" s="250"/>
      <c r="C34" s="250"/>
      <c r="D34" s="250"/>
      <c r="E34" s="250"/>
      <c r="F34" s="250"/>
      <c r="G34" s="250"/>
      <c r="H34" s="250"/>
      <c r="I34" s="250"/>
      <c r="J34" s="59"/>
      <c r="K34" s="59"/>
      <c r="L34" s="59"/>
      <c r="M34" s="59"/>
      <c r="N34" s="59"/>
      <c r="O34" s="59"/>
      <c r="P34" s="59"/>
    </row>
    <row r="35" spans="1:16" s="61" customFormat="1" ht="12.75" customHeight="1" x14ac:dyDescent="0.2">
      <c r="A35" s="249" t="s">
        <v>90</v>
      </c>
      <c r="B35" s="250"/>
      <c r="C35" s="250"/>
      <c r="D35" s="250"/>
      <c r="E35" s="250"/>
      <c r="F35" s="250"/>
      <c r="G35" s="250"/>
      <c r="H35" s="250"/>
      <c r="I35" s="250"/>
    </row>
    <row r="36" spans="1:16" s="61" customFormat="1" ht="12.75" customHeight="1" x14ac:dyDescent="0.2">
      <c r="A36" s="249" t="s">
        <v>91</v>
      </c>
      <c r="B36" s="250"/>
      <c r="C36" s="250"/>
      <c r="D36" s="250"/>
      <c r="E36" s="250"/>
      <c r="F36" s="250"/>
      <c r="G36" s="250"/>
      <c r="H36" s="250"/>
      <c r="I36" s="250"/>
      <c r="J36" s="60"/>
      <c r="K36" s="60"/>
      <c r="L36" s="60"/>
      <c r="M36" s="60"/>
      <c r="N36" s="60"/>
      <c r="O36" s="60"/>
      <c r="P36" s="60"/>
    </row>
    <row r="37" spans="1:16" s="61" customFormat="1" ht="12.75" customHeight="1" x14ac:dyDescent="0.2">
      <c r="A37" s="249" t="s">
        <v>92</v>
      </c>
      <c r="B37" s="250"/>
      <c r="C37" s="250"/>
      <c r="D37" s="250"/>
      <c r="E37" s="250"/>
      <c r="F37" s="250"/>
      <c r="G37" s="250"/>
      <c r="H37" s="250"/>
      <c r="I37" s="250"/>
      <c r="J37" s="59"/>
      <c r="K37" s="59"/>
      <c r="L37" s="59"/>
      <c r="M37" s="59"/>
      <c r="N37" s="59"/>
      <c r="O37" s="59"/>
      <c r="P37" s="59"/>
    </row>
    <row r="38" spans="1:16" s="61" customFormat="1" ht="12.75" customHeight="1" x14ac:dyDescent="0.2">
      <c r="A38" s="249" t="s">
        <v>93</v>
      </c>
      <c r="B38" s="250"/>
      <c r="C38" s="250"/>
      <c r="D38" s="250"/>
      <c r="E38" s="250"/>
      <c r="F38" s="250"/>
      <c r="G38" s="250"/>
      <c r="H38" s="250"/>
      <c r="I38" s="250"/>
      <c r="J38" s="59"/>
      <c r="K38" s="59"/>
      <c r="L38" s="59"/>
      <c r="M38" s="59"/>
      <c r="N38" s="59"/>
      <c r="O38" s="59"/>
      <c r="P38" s="59"/>
    </row>
    <row r="39" spans="1:16" x14ac:dyDescent="0.25">
      <c r="A39" s="251"/>
      <c r="B39" s="251"/>
      <c r="C39" s="251"/>
      <c r="D39" s="251"/>
      <c r="E39" s="251"/>
      <c r="F39" s="251"/>
      <c r="G39" s="251"/>
      <c r="H39" s="251"/>
      <c r="I39" s="251"/>
    </row>
    <row r="40" spans="1:16" x14ac:dyDescent="0.25">
      <c r="J40" s="25"/>
      <c r="K40" s="25"/>
      <c r="L40" s="25"/>
      <c r="M40" s="25"/>
      <c r="N40" s="25"/>
      <c r="O40" s="25"/>
      <c r="P40" s="25"/>
    </row>
    <row r="41" spans="1:16" x14ac:dyDescent="0.25">
      <c r="J41" s="25"/>
      <c r="K41" s="25"/>
      <c r="L41" s="25"/>
      <c r="M41" s="25"/>
      <c r="N41" s="25"/>
      <c r="O41" s="25"/>
      <c r="P41" s="25"/>
    </row>
    <row r="42" spans="1:16" x14ac:dyDescent="0.25">
      <c r="J42" s="25"/>
      <c r="K42" s="25"/>
      <c r="L42" s="25"/>
      <c r="M42" s="25"/>
      <c r="N42" s="25"/>
      <c r="O42" s="25"/>
      <c r="P42" s="25"/>
    </row>
    <row r="43" spans="1:16" x14ac:dyDescent="0.25">
      <c r="J43" s="25"/>
      <c r="K43" s="25"/>
      <c r="L43" s="25"/>
      <c r="M43" s="25"/>
      <c r="N43" s="25"/>
      <c r="O43" s="25"/>
      <c r="P43" s="25"/>
    </row>
    <row r="44" spans="1:16" x14ac:dyDescent="0.25">
      <c r="J44" s="56"/>
      <c r="K44" s="56"/>
      <c r="L44" s="56"/>
      <c r="M44" s="56"/>
      <c r="N44" s="56"/>
      <c r="O44" s="56"/>
      <c r="P44" s="56"/>
    </row>
    <row r="45" spans="1:16" x14ac:dyDescent="0.25">
      <c r="A45" s="5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16" ht="14.45" customHeight="1" x14ac:dyDescent="0.25">
      <c r="J47" s="57"/>
      <c r="K47" s="57"/>
      <c r="L47" s="57"/>
      <c r="M47" s="57"/>
      <c r="N47" s="57"/>
      <c r="O47" s="57"/>
      <c r="P47" s="57"/>
    </row>
    <row r="48" spans="1:16" x14ac:dyDescent="0.25">
      <c r="J48" s="58"/>
      <c r="K48" s="58"/>
      <c r="L48" s="58"/>
      <c r="M48" s="58"/>
      <c r="N48" s="58"/>
      <c r="O48" s="58"/>
      <c r="P48" s="58"/>
    </row>
    <row r="49" spans="10:16" x14ac:dyDescent="0.25">
      <c r="J49" s="58"/>
      <c r="K49" s="58"/>
      <c r="L49" s="58"/>
      <c r="M49" s="58"/>
      <c r="N49" s="58"/>
      <c r="O49" s="58"/>
      <c r="P49" s="58"/>
    </row>
    <row r="50" spans="10:16" x14ac:dyDescent="0.25">
      <c r="J50" s="58"/>
      <c r="K50" s="58"/>
      <c r="L50" s="58"/>
      <c r="M50" s="58"/>
      <c r="N50" s="58"/>
      <c r="O50" s="58"/>
      <c r="P50" s="58"/>
    </row>
    <row r="51" spans="10:16" x14ac:dyDescent="0.25">
      <c r="J51" s="58"/>
      <c r="K51" s="58"/>
      <c r="L51" s="58"/>
      <c r="M51" s="58"/>
      <c r="N51" s="58"/>
      <c r="O51" s="58"/>
      <c r="P51" s="58"/>
    </row>
    <row r="52" spans="10:16" x14ac:dyDescent="0.25">
      <c r="J52" s="42"/>
      <c r="K52" s="42"/>
      <c r="L52" s="42"/>
      <c r="M52" s="42"/>
      <c r="N52" s="42"/>
      <c r="O52" s="42"/>
      <c r="P52" s="42"/>
    </row>
    <row r="53" spans="10:16" x14ac:dyDescent="0.25">
      <c r="J53" s="42"/>
      <c r="K53" s="42"/>
      <c r="L53" s="42"/>
      <c r="M53" s="42"/>
      <c r="N53" s="42"/>
      <c r="O53" s="42"/>
      <c r="P53" s="42"/>
    </row>
    <row r="54" spans="10:16" x14ac:dyDescent="0.25">
      <c r="J54" s="42"/>
      <c r="K54" s="42"/>
      <c r="L54" s="42"/>
      <c r="M54" s="42"/>
      <c r="N54" s="42"/>
      <c r="O54" s="42"/>
      <c r="P54" s="42"/>
    </row>
    <row r="55" spans="10:16" x14ac:dyDescent="0.25">
      <c r="J55" s="42"/>
      <c r="K55" s="42"/>
      <c r="L55" s="42"/>
      <c r="M55" s="42"/>
      <c r="N55" s="42"/>
      <c r="O55" s="42"/>
      <c r="P55" s="42"/>
    </row>
    <row r="56" spans="10:16" x14ac:dyDescent="0.25">
      <c r="J56" s="42"/>
      <c r="K56" s="42"/>
      <c r="L56" s="42"/>
      <c r="M56" s="42"/>
      <c r="N56" s="42"/>
      <c r="O56" s="42"/>
      <c r="P56" s="42"/>
    </row>
    <row r="57" spans="10:16" x14ac:dyDescent="0.25">
      <c r="J57" s="58"/>
      <c r="K57" s="58"/>
      <c r="L57" s="58"/>
      <c r="M57" s="58"/>
      <c r="N57" s="58"/>
      <c r="O57" s="58"/>
      <c r="P57" s="58"/>
    </row>
    <row r="58" spans="10:16" x14ac:dyDescent="0.25">
      <c r="J58" s="40"/>
      <c r="K58" s="40"/>
      <c r="L58" s="40"/>
      <c r="M58" s="40"/>
      <c r="N58" s="40"/>
      <c r="O58" s="40"/>
      <c r="P58" s="40"/>
    </row>
    <row r="59" spans="10:16" x14ac:dyDescent="0.25">
      <c r="J59" s="54"/>
      <c r="K59" s="54"/>
      <c r="L59" s="54"/>
      <c r="M59" s="54"/>
      <c r="N59" s="54"/>
      <c r="O59" s="54"/>
      <c r="P59" s="54"/>
    </row>
    <row r="60" spans="10:16" x14ac:dyDescent="0.25">
      <c r="J60" s="54"/>
      <c r="K60" s="54"/>
      <c r="L60" s="54"/>
      <c r="M60" s="54"/>
      <c r="N60" s="54"/>
      <c r="O60" s="54"/>
      <c r="P60" s="54"/>
    </row>
    <row r="61" spans="10:16" x14ac:dyDescent="0.25">
      <c r="J61" s="54"/>
      <c r="K61" s="54"/>
      <c r="L61" s="54"/>
      <c r="M61" s="54"/>
      <c r="N61" s="54"/>
      <c r="O61" s="54"/>
      <c r="P61" s="54"/>
    </row>
    <row r="63" spans="10:16" x14ac:dyDescent="0.25">
      <c r="J63" s="40"/>
      <c r="K63" s="40"/>
      <c r="L63" s="40"/>
      <c r="M63" s="40"/>
      <c r="N63" s="40"/>
      <c r="O63" s="40"/>
      <c r="P63" s="40"/>
    </row>
    <row r="64" spans="10:16" x14ac:dyDescent="0.25">
      <c r="J64" s="40"/>
      <c r="K64" s="40"/>
      <c r="L64" s="40"/>
      <c r="M64" s="40"/>
      <c r="N64" s="40"/>
      <c r="O64" s="40"/>
      <c r="P64" s="40"/>
    </row>
    <row r="65" spans="1:16" x14ac:dyDescent="0.25">
      <c r="J65" s="54"/>
      <c r="K65" s="54"/>
      <c r="L65" s="54"/>
      <c r="M65" s="54"/>
      <c r="N65" s="54"/>
      <c r="O65" s="54"/>
      <c r="P65" s="54"/>
    </row>
    <row r="66" spans="1:16" x14ac:dyDescent="0.25">
      <c r="J66" s="54"/>
      <c r="K66" s="54"/>
      <c r="L66" s="54"/>
      <c r="M66" s="54"/>
      <c r="N66" s="54"/>
      <c r="O66" s="54"/>
      <c r="P66" s="54"/>
    </row>
    <row r="67" spans="1:16" x14ac:dyDescent="0.25">
      <c r="J67" s="54"/>
      <c r="K67" s="54"/>
      <c r="L67" s="54"/>
      <c r="M67" s="54"/>
      <c r="N67" s="54"/>
      <c r="O67" s="54"/>
      <c r="P67" s="54"/>
    </row>
    <row r="68" spans="1:16" ht="29.1" customHeight="1" x14ac:dyDescent="0.25">
      <c r="J68" s="56"/>
      <c r="K68" s="56"/>
      <c r="L68" s="56"/>
      <c r="M68" s="56"/>
      <c r="N68" s="56"/>
      <c r="O68" s="56"/>
      <c r="P68" s="56"/>
    </row>
    <row r="69" spans="1:16" ht="29.1" customHeight="1" x14ac:dyDescent="0.25">
      <c r="J69" s="56"/>
      <c r="K69" s="56"/>
      <c r="L69" s="56"/>
      <c r="M69" s="56"/>
      <c r="N69" s="56"/>
      <c r="O69" s="56"/>
      <c r="P69" s="56"/>
    </row>
    <row r="70" spans="1:16" x14ac:dyDescent="0.25">
      <c r="J70" s="56"/>
      <c r="K70" s="56"/>
      <c r="L70" s="56"/>
      <c r="M70" s="56"/>
      <c r="N70" s="56"/>
      <c r="O70" s="56"/>
      <c r="P70" s="56"/>
    </row>
    <row r="71" spans="1:16" x14ac:dyDescent="0.25">
      <c r="J71" s="56"/>
      <c r="K71" s="56"/>
      <c r="L71" s="56"/>
      <c r="M71" s="56"/>
      <c r="N71" s="56"/>
      <c r="O71" s="56"/>
      <c r="P71" s="56"/>
    </row>
    <row r="72" spans="1:16" x14ac:dyDescent="0.25">
      <c r="J72" s="56"/>
      <c r="K72" s="56"/>
      <c r="L72" s="56"/>
      <c r="M72" s="56"/>
      <c r="N72" s="56"/>
      <c r="O72" s="56"/>
      <c r="P72" s="56"/>
    </row>
    <row r="73" spans="1:16" x14ac:dyDescent="0.25">
      <c r="J73" s="56"/>
      <c r="K73" s="56"/>
      <c r="L73" s="56"/>
      <c r="M73" s="56"/>
      <c r="N73" s="56"/>
      <c r="O73" s="56"/>
      <c r="P73" s="56"/>
    </row>
    <row r="74" spans="1:16" x14ac:dyDescent="0.25">
      <c r="A74" s="25"/>
      <c r="B74" s="25"/>
      <c r="C74" s="25"/>
      <c r="D74" s="25"/>
      <c r="E74" s="25"/>
    </row>
    <row r="81" s="26" customFormat="1" x14ac:dyDescent="0.25"/>
    <row r="82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  <row r="91" s="26" customFormat="1" x14ac:dyDescent="0.25"/>
    <row r="92" s="26" customFormat="1" x14ac:dyDescent="0.25"/>
    <row r="93" s="26" customFormat="1" x14ac:dyDescent="0.25"/>
    <row r="94" s="26" customFormat="1" x14ac:dyDescent="0.25"/>
    <row r="95" s="26" customFormat="1" x14ac:dyDescent="0.25"/>
  </sheetData>
  <mergeCells count="16">
    <mergeCell ref="N13:P13"/>
    <mergeCell ref="C4:C6"/>
    <mergeCell ref="B4:B7"/>
    <mergeCell ref="A4:A7"/>
    <mergeCell ref="D4:D6"/>
    <mergeCell ref="I4:I6"/>
    <mergeCell ref="H4:H6"/>
    <mergeCell ref="G4:G6"/>
    <mergeCell ref="F4:F6"/>
    <mergeCell ref="E4:E6"/>
    <mergeCell ref="A30:I30"/>
    <mergeCell ref="B13:D13"/>
    <mergeCell ref="A13:A14"/>
    <mergeCell ref="E13:G13"/>
    <mergeCell ref="K13:M13"/>
    <mergeCell ref="H13:J13"/>
  </mergeCells>
  <pageMargins left="0.7" right="0.7" top="0.75" bottom="0.75" header="0.3" footer="0.3"/>
  <pageSetup scale="79" orientation="landscape" r:id="rId1"/>
  <headerFooter>
    <oddFooter>&amp;RPage &amp;P of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0</xdr:col>
                <xdr:colOff>266700</xdr:colOff>
                <xdr:row>19</xdr:row>
                <xdr:rowOff>76200</xdr:rowOff>
              </from>
              <to>
                <xdr:col>3</xdr:col>
                <xdr:colOff>352425</xdr:colOff>
                <xdr:row>22</xdr:row>
                <xdr:rowOff>104775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5A61A-F302-4D6A-AA04-8F4A653BBA96}">
  <dimension ref="A1:BN21"/>
  <sheetViews>
    <sheetView zoomScaleNormal="100" zoomScaleSheetLayoutView="85" workbookViewId="0">
      <selection activeCell="H15" sqref="H15"/>
    </sheetView>
  </sheetViews>
  <sheetFormatPr defaultColWidth="9.140625" defaultRowHeight="15" x14ac:dyDescent="0.25"/>
  <cols>
    <col min="1" max="1" width="20.28515625" style="73" customWidth="1"/>
    <col min="2" max="2" width="7.140625" style="83" customWidth="1"/>
    <col min="3" max="3" width="10.5703125" style="84" customWidth="1"/>
    <col min="4" max="4" width="10.42578125" style="73" bestFit="1" customWidth="1"/>
    <col min="5" max="5" width="10.7109375" style="73" customWidth="1"/>
    <col min="6" max="6" width="10.140625" style="83" customWidth="1"/>
    <col min="7" max="7" width="2.7109375" style="73" customWidth="1"/>
    <col min="8" max="8" width="9.7109375" style="83" customWidth="1"/>
    <col min="9" max="9" width="2.7109375" style="73" customWidth="1"/>
    <col min="10" max="10" width="9.7109375" style="83" customWidth="1"/>
    <col min="11" max="11" width="2.5703125" style="73" customWidth="1"/>
    <col min="12" max="12" width="9.7109375" style="83" customWidth="1"/>
    <col min="13" max="13" width="2.85546875" style="73" customWidth="1"/>
    <col min="14" max="14" width="12.5703125" style="83" customWidth="1"/>
    <col min="15" max="15" width="3.28515625" style="73" customWidth="1"/>
    <col min="16" max="16" width="9.7109375" style="83" customWidth="1"/>
    <col min="17" max="17" width="2.85546875" style="73" customWidth="1"/>
    <col min="18" max="18" width="9.7109375" style="83" customWidth="1"/>
    <col min="19" max="19" width="2.85546875" style="73" customWidth="1"/>
    <col min="20" max="20" width="10.85546875" style="83" customWidth="1"/>
    <col min="21" max="21" width="2.28515625" style="73" customWidth="1"/>
    <col min="22" max="22" width="9.7109375" style="83" customWidth="1"/>
    <col min="23" max="23" width="2.28515625" style="73" customWidth="1"/>
    <col min="24" max="24" width="9.7109375" style="83" customWidth="1"/>
    <col min="25" max="25" width="2.28515625" style="73" customWidth="1"/>
    <col min="26" max="26" width="9.7109375" style="83" customWidth="1"/>
    <col min="27" max="27" width="2.5703125" style="73" customWidth="1"/>
    <col min="28" max="28" width="9.7109375" style="83" customWidth="1"/>
    <col min="29" max="29" width="2.7109375" style="73" customWidth="1"/>
    <col min="30" max="30" width="9.7109375" style="83" customWidth="1"/>
    <col min="31" max="31" width="2.7109375" style="73" customWidth="1"/>
    <col min="32" max="16384" width="9.140625" style="73"/>
  </cols>
  <sheetData>
    <row r="1" spans="1:66" s="5" customFormat="1" ht="30.75" thickBot="1" x14ac:dyDescent="0.3">
      <c r="A1" s="8" t="s">
        <v>25</v>
      </c>
      <c r="B1" s="102" t="s">
        <v>26</v>
      </c>
      <c r="C1" s="103" t="s">
        <v>27</v>
      </c>
      <c r="D1" s="103" t="s">
        <v>28</v>
      </c>
      <c r="E1" s="104" t="s">
        <v>29</v>
      </c>
      <c r="F1" s="306" t="s">
        <v>12</v>
      </c>
      <c r="G1" s="305"/>
      <c r="H1" s="304" t="s">
        <v>13</v>
      </c>
      <c r="I1" s="305"/>
      <c r="J1" s="304" t="s">
        <v>14</v>
      </c>
      <c r="K1" s="305"/>
      <c r="L1" s="304" t="s">
        <v>15</v>
      </c>
      <c r="M1" s="305"/>
      <c r="N1" s="308" t="s">
        <v>16</v>
      </c>
      <c r="O1" s="309"/>
      <c r="P1" s="304" t="s">
        <v>17</v>
      </c>
      <c r="Q1" s="305"/>
      <c r="R1" s="304" t="s">
        <v>18</v>
      </c>
      <c r="S1" s="305"/>
      <c r="T1" s="307" t="s">
        <v>19</v>
      </c>
      <c r="U1" s="305"/>
      <c r="V1" s="304" t="s">
        <v>20</v>
      </c>
      <c r="W1" s="305"/>
      <c r="X1" s="304" t="s">
        <v>21</v>
      </c>
      <c r="Y1" s="305"/>
      <c r="Z1" s="304" t="s">
        <v>22</v>
      </c>
      <c r="AA1" s="305"/>
      <c r="AB1" s="304" t="s">
        <v>23</v>
      </c>
      <c r="AC1" s="305"/>
      <c r="AD1" s="304" t="s">
        <v>24</v>
      </c>
      <c r="AE1" s="305"/>
    </row>
    <row r="2" spans="1:66" ht="17.25" x14ac:dyDescent="0.25">
      <c r="A2" s="274" t="s">
        <v>32</v>
      </c>
      <c r="B2" s="107"/>
      <c r="C2" s="108"/>
      <c r="D2" s="75"/>
      <c r="E2" s="283"/>
      <c r="F2" s="109"/>
      <c r="G2" s="110"/>
      <c r="H2" s="109"/>
      <c r="I2" s="110"/>
      <c r="J2" s="111"/>
      <c r="K2" s="109"/>
      <c r="L2" s="109"/>
      <c r="M2" s="109"/>
      <c r="N2" s="109"/>
      <c r="O2" s="112"/>
      <c r="P2" s="109"/>
      <c r="Q2" s="109"/>
      <c r="R2" s="109"/>
      <c r="S2" s="113"/>
      <c r="T2" s="109"/>
      <c r="U2" s="109"/>
      <c r="V2" s="109"/>
      <c r="W2" s="109"/>
      <c r="X2" s="109"/>
      <c r="Y2" s="109"/>
      <c r="Z2" s="109"/>
      <c r="AA2" s="109"/>
      <c r="AB2" s="111"/>
      <c r="AC2" s="76"/>
      <c r="AD2" s="111"/>
      <c r="AE2" s="77"/>
    </row>
    <row r="3" spans="1:66" s="105" customFormat="1" ht="17.25" x14ac:dyDescent="0.25">
      <c r="A3" s="114" t="s">
        <v>33</v>
      </c>
      <c r="B3" s="115" t="s">
        <v>30</v>
      </c>
      <c r="C3" s="116" t="s">
        <v>34</v>
      </c>
      <c r="D3" s="116" t="s">
        <v>35</v>
      </c>
      <c r="E3" s="117">
        <v>43201</v>
      </c>
      <c r="F3" s="118">
        <v>3670</v>
      </c>
      <c r="G3" s="119"/>
      <c r="H3" s="120">
        <v>2.09</v>
      </c>
      <c r="I3" s="121"/>
      <c r="J3" s="122">
        <v>377</v>
      </c>
      <c r="K3" s="121"/>
      <c r="L3" s="123">
        <v>0.25</v>
      </c>
      <c r="M3" s="268"/>
      <c r="N3" s="124">
        <v>0.84099999999999997</v>
      </c>
      <c r="O3" s="125"/>
      <c r="P3" s="126">
        <v>128</v>
      </c>
      <c r="Q3" s="125"/>
      <c r="R3" s="123">
        <v>7.11</v>
      </c>
      <c r="S3" s="268"/>
      <c r="T3" s="275">
        <v>4400</v>
      </c>
      <c r="U3" s="127"/>
      <c r="V3" s="128">
        <v>0.21099999999999999</v>
      </c>
      <c r="W3" s="129" t="s">
        <v>36</v>
      </c>
      <c r="X3" s="130">
        <v>1500</v>
      </c>
      <c r="Y3" s="121"/>
      <c r="Z3" s="123">
        <v>0.24099999999999999</v>
      </c>
      <c r="AA3" s="129" t="s">
        <v>36</v>
      </c>
      <c r="AB3" s="131">
        <v>0.24099999999999999</v>
      </c>
      <c r="AC3" s="132" t="s">
        <v>36</v>
      </c>
      <c r="AD3" s="133">
        <v>47</v>
      </c>
      <c r="AE3" s="134"/>
    </row>
    <row r="4" spans="1:66" s="105" customFormat="1" ht="17.25" x14ac:dyDescent="0.25">
      <c r="A4" s="135" t="s">
        <v>37</v>
      </c>
      <c r="B4" s="136" t="s">
        <v>30</v>
      </c>
      <c r="C4" s="137" t="s">
        <v>34</v>
      </c>
      <c r="D4" s="137" t="s">
        <v>35</v>
      </c>
      <c r="E4" s="138">
        <v>43201</v>
      </c>
      <c r="F4" s="139">
        <v>2010</v>
      </c>
      <c r="G4" s="140"/>
      <c r="H4" s="141">
        <v>2.11</v>
      </c>
      <c r="I4" s="142"/>
      <c r="J4" s="143">
        <v>491</v>
      </c>
      <c r="K4" s="142"/>
      <c r="L4" s="144">
        <v>0.23100000000000001</v>
      </c>
      <c r="M4" s="269" t="s">
        <v>36</v>
      </c>
      <c r="N4" s="145">
        <v>1.92</v>
      </c>
      <c r="O4" s="142"/>
      <c r="P4" s="146">
        <v>140</v>
      </c>
      <c r="Q4" s="142"/>
      <c r="R4" s="144">
        <v>7.68</v>
      </c>
      <c r="S4" s="269"/>
      <c r="T4" s="276">
        <v>2880</v>
      </c>
      <c r="U4" s="147"/>
      <c r="V4" s="148">
        <v>9.2399999999999996E-2</v>
      </c>
      <c r="W4" s="149" t="s">
        <v>36</v>
      </c>
      <c r="X4" s="150">
        <v>1550</v>
      </c>
      <c r="Y4" s="142"/>
      <c r="Z4" s="144">
        <v>0.23100000000000001</v>
      </c>
      <c r="AA4" s="149" t="s">
        <v>36</v>
      </c>
      <c r="AB4" s="151">
        <v>0.23100000000000001</v>
      </c>
      <c r="AC4" s="152" t="s">
        <v>36</v>
      </c>
      <c r="AD4" s="153">
        <v>51.2</v>
      </c>
      <c r="AE4" s="154"/>
    </row>
    <row r="5" spans="1:66" s="105" customFormat="1" ht="18" thickBot="1" x14ac:dyDescent="0.3">
      <c r="A5" s="155" t="s">
        <v>38</v>
      </c>
      <c r="B5" s="156" t="s">
        <v>30</v>
      </c>
      <c r="C5" s="157" t="s">
        <v>34</v>
      </c>
      <c r="D5" s="157" t="s">
        <v>35</v>
      </c>
      <c r="E5" s="158">
        <v>43201</v>
      </c>
      <c r="F5" s="159">
        <v>4490</v>
      </c>
      <c r="G5" s="160"/>
      <c r="H5" s="161">
        <v>3.15</v>
      </c>
      <c r="I5" s="162"/>
      <c r="J5" s="163">
        <v>409</v>
      </c>
      <c r="K5" s="162"/>
      <c r="L5" s="164">
        <v>2.5499999999999998</v>
      </c>
      <c r="M5" s="270"/>
      <c r="N5" s="165">
        <v>0.90600000000000003</v>
      </c>
      <c r="O5" s="162"/>
      <c r="P5" s="166">
        <v>113</v>
      </c>
      <c r="Q5" s="162"/>
      <c r="R5" s="164">
        <v>19</v>
      </c>
      <c r="S5" s="270"/>
      <c r="T5" s="277">
        <v>12400</v>
      </c>
      <c r="U5" s="167"/>
      <c r="V5" s="168">
        <v>4.0000000000000001E-3</v>
      </c>
      <c r="W5" s="169" t="s">
        <v>36</v>
      </c>
      <c r="X5" s="170">
        <v>1440</v>
      </c>
      <c r="Y5" s="162"/>
      <c r="Z5" s="164">
        <v>3.66</v>
      </c>
      <c r="AA5" s="169"/>
      <c r="AB5" s="171">
        <v>0.215</v>
      </c>
      <c r="AC5" s="172" t="s">
        <v>36</v>
      </c>
      <c r="AD5" s="173">
        <v>131</v>
      </c>
      <c r="AE5" s="174"/>
    </row>
    <row r="6" spans="1:66" ht="17.25" x14ac:dyDescent="0.25">
      <c r="A6" s="106" t="s">
        <v>39</v>
      </c>
      <c r="B6" s="107"/>
      <c r="C6" s="108"/>
      <c r="D6" s="75"/>
      <c r="E6" s="283"/>
      <c r="F6" s="109"/>
      <c r="G6" s="110"/>
      <c r="H6" s="109"/>
      <c r="I6" s="110"/>
      <c r="J6" s="111"/>
      <c r="K6" s="109"/>
      <c r="L6" s="109"/>
      <c r="M6" s="109"/>
      <c r="N6" s="109"/>
      <c r="O6" s="112"/>
      <c r="P6" s="109"/>
      <c r="Q6" s="109"/>
      <c r="R6" s="109"/>
      <c r="S6" s="113"/>
      <c r="T6" s="109"/>
      <c r="U6" s="109"/>
      <c r="V6" s="109"/>
      <c r="W6" s="109"/>
      <c r="X6" s="109"/>
      <c r="Y6" s="109"/>
      <c r="Z6" s="109"/>
      <c r="AA6" s="109"/>
      <c r="AB6" s="111"/>
      <c r="AC6" s="76"/>
      <c r="AD6" s="111"/>
      <c r="AE6" s="77"/>
    </row>
    <row r="7" spans="1:66" s="105" customFormat="1" ht="18" thickBot="1" x14ac:dyDescent="0.3">
      <c r="A7" s="175" t="s">
        <v>40</v>
      </c>
      <c r="B7" s="176" t="s">
        <v>30</v>
      </c>
      <c r="C7" s="177" t="s">
        <v>34</v>
      </c>
      <c r="D7" s="178" t="s">
        <v>35</v>
      </c>
      <c r="E7" s="179">
        <v>43201</v>
      </c>
      <c r="F7" s="180">
        <v>3460</v>
      </c>
      <c r="G7" s="181"/>
      <c r="H7" s="182">
        <v>7.93</v>
      </c>
      <c r="I7" s="183"/>
      <c r="J7" s="184">
        <v>384</v>
      </c>
      <c r="K7" s="185"/>
      <c r="L7" s="186">
        <v>3.1</v>
      </c>
      <c r="M7" s="271"/>
      <c r="N7" s="187">
        <v>2.4300000000000002</v>
      </c>
      <c r="O7" s="188" t="s">
        <v>36</v>
      </c>
      <c r="P7" s="189">
        <v>305</v>
      </c>
      <c r="Q7" s="190"/>
      <c r="R7" s="191">
        <v>16.5</v>
      </c>
      <c r="S7" s="282"/>
      <c r="T7" s="278">
        <v>18200</v>
      </c>
      <c r="U7" s="192"/>
      <c r="V7" s="193">
        <v>8.5800000000000001E-2</v>
      </c>
      <c r="W7" s="194" t="s">
        <v>36</v>
      </c>
      <c r="X7" s="195">
        <v>1840</v>
      </c>
      <c r="Y7" s="196"/>
      <c r="Z7" s="197">
        <v>1.61</v>
      </c>
      <c r="AA7" s="198"/>
      <c r="AB7" s="199">
        <v>0.23</v>
      </c>
      <c r="AC7" s="200"/>
      <c r="AD7" s="201" t="s">
        <v>31</v>
      </c>
      <c r="AE7" s="202"/>
    </row>
    <row r="8" spans="1:66" ht="17.25" x14ac:dyDescent="0.25">
      <c r="A8" s="106" t="s">
        <v>41</v>
      </c>
      <c r="B8" s="107"/>
      <c r="C8" s="108"/>
      <c r="D8" s="75"/>
      <c r="E8" s="283"/>
      <c r="F8" s="109"/>
      <c r="G8" s="110"/>
      <c r="H8" s="109"/>
      <c r="I8" s="110"/>
      <c r="J8" s="111"/>
      <c r="K8" s="109"/>
      <c r="L8" s="109"/>
      <c r="M8" s="109"/>
      <c r="N8" s="109"/>
      <c r="O8" s="112"/>
      <c r="P8" s="109"/>
      <c r="Q8" s="109"/>
      <c r="R8" s="109"/>
      <c r="S8" s="113"/>
      <c r="T8" s="109"/>
      <c r="U8" s="109"/>
      <c r="V8" s="109"/>
      <c r="W8" s="109"/>
      <c r="X8" s="109"/>
      <c r="Y8" s="109"/>
      <c r="Z8" s="109"/>
      <c r="AA8" s="109"/>
      <c r="AB8" s="111"/>
      <c r="AC8" s="76"/>
      <c r="AD8" s="111"/>
      <c r="AE8" s="77"/>
    </row>
    <row r="9" spans="1:66" ht="18" thickBot="1" x14ac:dyDescent="0.3">
      <c r="A9" s="114" t="s">
        <v>42</v>
      </c>
      <c r="B9" s="115" t="s">
        <v>30</v>
      </c>
      <c r="C9" s="203" t="s">
        <v>34</v>
      </c>
      <c r="D9" s="116" t="s">
        <v>35</v>
      </c>
      <c r="E9" s="78">
        <v>43201</v>
      </c>
      <c r="F9" s="118">
        <v>2650</v>
      </c>
      <c r="G9" s="119"/>
      <c r="H9" s="79">
        <v>1.71</v>
      </c>
      <c r="I9" s="125"/>
      <c r="J9" s="204">
        <v>112</v>
      </c>
      <c r="K9" s="205"/>
      <c r="L9" s="80">
        <v>0.95399999999999996</v>
      </c>
      <c r="M9" s="134"/>
      <c r="N9" s="128">
        <v>0.82899999999999996</v>
      </c>
      <c r="O9" s="125"/>
      <c r="P9" s="81">
        <v>103</v>
      </c>
      <c r="Q9" s="125"/>
      <c r="R9" s="206">
        <v>4.74</v>
      </c>
      <c r="S9" s="134"/>
      <c r="T9" s="279">
        <v>4190</v>
      </c>
      <c r="U9" s="134"/>
      <c r="V9" s="208">
        <v>8.5000000000000006E-2</v>
      </c>
      <c r="W9" s="172" t="s">
        <v>36</v>
      </c>
      <c r="X9" s="207">
        <v>1730</v>
      </c>
      <c r="Y9" s="125"/>
      <c r="Z9" s="206">
        <v>1.06</v>
      </c>
      <c r="AA9" s="125" t="s">
        <v>36</v>
      </c>
      <c r="AB9" s="209">
        <v>0.21099999999999999</v>
      </c>
      <c r="AC9" s="132" t="s">
        <v>36</v>
      </c>
      <c r="AD9" s="82">
        <v>43.4</v>
      </c>
      <c r="AE9" s="134"/>
    </row>
    <row r="10" spans="1:66" ht="17.25" x14ac:dyDescent="0.25">
      <c r="A10" s="106" t="s">
        <v>43</v>
      </c>
      <c r="B10" s="107"/>
      <c r="C10" s="108"/>
      <c r="D10" s="75"/>
      <c r="E10" s="283"/>
      <c r="F10" s="109"/>
      <c r="G10" s="110"/>
      <c r="H10" s="109"/>
      <c r="I10" s="110"/>
      <c r="J10" s="111"/>
      <c r="K10" s="109"/>
      <c r="L10" s="109"/>
      <c r="M10" s="109"/>
      <c r="N10" s="109"/>
      <c r="O10" s="112"/>
      <c r="P10" s="109"/>
      <c r="Q10" s="109"/>
      <c r="R10" s="109"/>
      <c r="S10" s="113"/>
      <c r="T10" s="109"/>
      <c r="U10" s="109"/>
      <c r="V10" s="109"/>
      <c r="W10" s="109"/>
      <c r="X10" s="109"/>
      <c r="Y10" s="109"/>
      <c r="Z10" s="109"/>
      <c r="AA10" s="109"/>
      <c r="AB10" s="111"/>
      <c r="AC10" s="76"/>
      <c r="AD10" s="111"/>
      <c r="AE10" s="77"/>
    </row>
    <row r="11" spans="1:66" s="105" customFormat="1" ht="17.25" x14ac:dyDescent="0.25">
      <c r="A11" s="210" t="s">
        <v>44</v>
      </c>
      <c r="B11" s="114" t="s">
        <v>30</v>
      </c>
      <c r="C11" s="211" t="s">
        <v>34</v>
      </c>
      <c r="D11" s="116" t="s">
        <v>35</v>
      </c>
      <c r="E11" s="212">
        <v>43201</v>
      </c>
      <c r="F11" s="213">
        <v>7100</v>
      </c>
      <c r="G11" s="119"/>
      <c r="H11" s="206">
        <v>3.73</v>
      </c>
      <c r="I11" s="214"/>
      <c r="J11" s="207">
        <v>1740</v>
      </c>
      <c r="K11" s="205"/>
      <c r="L11" s="215">
        <v>1.06</v>
      </c>
      <c r="M11" s="272"/>
      <c r="N11" s="216">
        <v>2.85</v>
      </c>
      <c r="O11" s="217" t="s">
        <v>36</v>
      </c>
      <c r="P11" s="218">
        <v>175</v>
      </c>
      <c r="Q11" s="125"/>
      <c r="R11" s="219">
        <v>25.6</v>
      </c>
      <c r="S11" s="134"/>
      <c r="T11" s="280">
        <v>5950</v>
      </c>
      <c r="U11" s="134"/>
      <c r="V11" s="220">
        <v>0.11</v>
      </c>
      <c r="W11" s="132" t="s">
        <v>36</v>
      </c>
      <c r="X11" s="221">
        <v>1530</v>
      </c>
      <c r="Y11" s="125"/>
      <c r="Z11" s="222">
        <v>1.38</v>
      </c>
      <c r="AA11" s="132" t="s">
        <v>36</v>
      </c>
      <c r="AB11" s="223">
        <v>0.27500000000000002</v>
      </c>
      <c r="AC11" s="132" t="s">
        <v>36</v>
      </c>
      <c r="AD11" s="224">
        <v>113</v>
      </c>
      <c r="AE11" s="134"/>
    </row>
    <row r="12" spans="1:66" s="105" customFormat="1" ht="17.25" x14ac:dyDescent="0.25">
      <c r="A12" s="225" t="s">
        <v>45</v>
      </c>
      <c r="B12" s="155" t="s">
        <v>30</v>
      </c>
      <c r="C12" s="226" t="s">
        <v>34</v>
      </c>
      <c r="D12" s="157" t="s">
        <v>35</v>
      </c>
      <c r="E12" s="227">
        <v>43201</v>
      </c>
      <c r="F12" s="228">
        <v>3220</v>
      </c>
      <c r="G12" s="160"/>
      <c r="H12" s="229">
        <v>1.53</v>
      </c>
      <c r="I12" s="230"/>
      <c r="J12" s="231">
        <v>297</v>
      </c>
      <c r="K12" s="232"/>
      <c r="L12" s="233">
        <v>0.24</v>
      </c>
      <c r="M12" s="273" t="s">
        <v>36</v>
      </c>
      <c r="N12" s="234">
        <v>2.66</v>
      </c>
      <c r="O12" s="235" t="s">
        <v>36</v>
      </c>
      <c r="P12" s="236">
        <v>84</v>
      </c>
      <c r="Q12" s="237"/>
      <c r="R12" s="238">
        <v>8.23</v>
      </c>
      <c r="S12" s="174"/>
      <c r="T12" s="281">
        <v>1560</v>
      </c>
      <c r="U12" s="174"/>
      <c r="V12" s="239">
        <v>9.6100000000000005E-2</v>
      </c>
      <c r="W12" s="172" t="s">
        <v>36</v>
      </c>
      <c r="X12" s="240">
        <v>2370</v>
      </c>
      <c r="Y12" s="237"/>
      <c r="Z12" s="241">
        <v>1.2</v>
      </c>
      <c r="AA12" s="172" t="s">
        <v>36</v>
      </c>
      <c r="AB12" s="242">
        <v>0.24</v>
      </c>
      <c r="AC12" s="172" t="s">
        <v>36</v>
      </c>
      <c r="AD12" s="243">
        <v>63.9</v>
      </c>
      <c r="AE12" s="174"/>
    </row>
    <row r="13" spans="1:66" x14ac:dyDescent="0.25">
      <c r="D13" s="83"/>
      <c r="E13" s="83"/>
      <c r="T13" s="85"/>
      <c r="U13" s="86"/>
      <c r="V13" s="85"/>
      <c r="W13" s="86"/>
      <c r="X13" s="85"/>
      <c r="Y13" s="86"/>
    </row>
    <row r="14" spans="1:66" x14ac:dyDescent="0.25">
      <c r="A14" s="87" t="s">
        <v>58</v>
      </c>
      <c r="D14" s="83"/>
      <c r="E14" s="83"/>
      <c r="T14" s="85"/>
      <c r="U14" s="86"/>
      <c r="V14" s="85"/>
      <c r="W14" s="86"/>
      <c r="X14" s="85"/>
      <c r="Y14" s="86"/>
    </row>
    <row r="15" spans="1:66" x14ac:dyDescent="0.25">
      <c r="A15" s="88" t="s">
        <v>46</v>
      </c>
      <c r="D15" s="83"/>
      <c r="E15" s="83"/>
      <c r="T15" s="85"/>
      <c r="U15" s="86"/>
      <c r="V15" s="85"/>
      <c r="W15" s="86"/>
      <c r="X15" s="85"/>
      <c r="Y15" s="86"/>
    </row>
    <row r="16" spans="1:66" x14ac:dyDescent="0.25">
      <c r="A16" s="302" t="s">
        <v>94</v>
      </c>
      <c r="B16" s="302"/>
      <c r="C16" s="302"/>
      <c r="D16" s="302"/>
      <c r="E16" s="303"/>
      <c r="F16" s="89"/>
      <c r="G16" s="90"/>
      <c r="H16" s="89"/>
      <c r="I16" s="90"/>
      <c r="J16" s="91"/>
      <c r="K16" s="90"/>
      <c r="L16" s="91"/>
      <c r="M16" s="90"/>
      <c r="N16" s="91"/>
      <c r="O16" s="90"/>
      <c r="P16" s="91"/>
      <c r="Q16" s="92"/>
      <c r="R16" s="91"/>
      <c r="S16" s="92"/>
      <c r="T16" s="89"/>
      <c r="U16" s="92"/>
      <c r="V16" s="89"/>
      <c r="W16" s="92"/>
      <c r="X16" s="89"/>
      <c r="Y16" s="92"/>
      <c r="Z16" s="89"/>
      <c r="AA16" s="92"/>
      <c r="AB16" s="89"/>
      <c r="AC16" s="93"/>
      <c r="AD16" s="89"/>
      <c r="AE16" s="93"/>
      <c r="AF16" s="93"/>
      <c r="AG16" s="93"/>
      <c r="AH16" s="93"/>
      <c r="AP16" s="93"/>
      <c r="AQ16" s="93"/>
      <c r="AR16" s="93"/>
      <c r="AS16" s="93"/>
      <c r="AT16" s="93"/>
      <c r="AU16" s="94"/>
      <c r="AV16" s="94"/>
      <c r="AW16" s="94"/>
      <c r="AX16" s="94"/>
      <c r="AY16" s="94"/>
      <c r="AZ16" s="95"/>
      <c r="BA16" s="95"/>
      <c r="BB16" s="95"/>
      <c r="BC16" s="95"/>
      <c r="BD16" s="95"/>
      <c r="BE16" s="96"/>
      <c r="BF16" s="96"/>
      <c r="BG16" s="96"/>
      <c r="BH16" s="96"/>
      <c r="BI16" s="96"/>
      <c r="BJ16" s="96"/>
      <c r="BK16" s="96"/>
      <c r="BL16" s="96"/>
      <c r="BM16" s="96"/>
      <c r="BN16" s="96"/>
    </row>
    <row r="17" spans="1:30" x14ac:dyDescent="0.25">
      <c r="A17" s="99" t="s">
        <v>47</v>
      </c>
      <c r="B17" s="97"/>
      <c r="C17" s="88"/>
      <c r="D17" s="74"/>
      <c r="E17" s="74"/>
      <c r="F17" s="89"/>
      <c r="G17" s="98"/>
      <c r="H17" s="89"/>
      <c r="I17" s="98"/>
      <c r="J17" s="89"/>
      <c r="K17" s="98"/>
      <c r="L17" s="89"/>
      <c r="M17" s="98"/>
      <c r="N17" s="89"/>
      <c r="O17" s="98"/>
      <c r="P17" s="89"/>
      <c r="Q17" s="98"/>
      <c r="R17" s="89"/>
      <c r="S17" s="98"/>
      <c r="T17" s="89"/>
      <c r="U17" s="98"/>
      <c r="V17" s="89"/>
      <c r="W17" s="98"/>
      <c r="X17" s="89"/>
      <c r="Y17" s="98"/>
      <c r="Z17" s="89"/>
      <c r="AA17" s="98"/>
      <c r="AB17" s="89"/>
      <c r="AD17" s="89"/>
    </row>
    <row r="21" spans="1:30" x14ac:dyDescent="0.25">
      <c r="N21" s="100"/>
      <c r="O21" s="101"/>
      <c r="P21" s="100"/>
    </row>
  </sheetData>
  <mergeCells count="14">
    <mergeCell ref="A16:E16"/>
    <mergeCell ref="AD1:AE1"/>
    <mergeCell ref="AB1:AC1"/>
    <mergeCell ref="Z1:AA1"/>
    <mergeCell ref="X1:Y1"/>
    <mergeCell ref="V1:W1"/>
    <mergeCell ref="J1:K1"/>
    <mergeCell ref="H1:I1"/>
    <mergeCell ref="F1:G1"/>
    <mergeCell ref="T1:U1"/>
    <mergeCell ref="R1:S1"/>
    <mergeCell ref="P1:Q1"/>
    <mergeCell ref="N1:O1"/>
    <mergeCell ref="L1:M1"/>
  </mergeCells>
  <pageMargins left="0.7" right="0.7" top="0.75" bottom="0.75" header="0.3" footer="0.3"/>
  <pageSetup scale="82" fitToWidth="2" orientation="landscape" horizontalDpi="1200" verticalDpi="1200" r:id="rId1"/>
  <headerFooter>
    <oddFooter>&amp;RPage &amp;P of &amp;N</oddFooter>
  </headerFooter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AC4BA-214A-4344-B35C-2CC10596CB92}">
  <sheetPr>
    <pageSetUpPr fitToPage="1"/>
  </sheetPr>
  <dimension ref="A1:O35"/>
  <sheetViews>
    <sheetView zoomScaleNormal="100" zoomScaleSheetLayoutView="90" workbookViewId="0">
      <selection activeCell="A4" sqref="A4:O4"/>
    </sheetView>
  </sheetViews>
  <sheetFormatPr defaultRowHeight="15" x14ac:dyDescent="0.25"/>
  <cols>
    <col min="2" max="2" width="9" customWidth="1"/>
    <col min="3" max="3" width="10.7109375" customWidth="1"/>
    <col min="6" max="6" width="9.7109375" customWidth="1"/>
    <col min="7" max="7" width="12.5703125" customWidth="1"/>
    <col min="10" max="10" width="12.140625" customWidth="1"/>
  </cols>
  <sheetData>
    <row r="1" spans="1:15" ht="15.75" x14ac:dyDescent="0.25">
      <c r="A1" s="310" t="s">
        <v>56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</row>
    <row r="2" spans="1:15" ht="15.75" x14ac:dyDescent="0.25">
      <c r="A2" s="310" t="s">
        <v>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</row>
    <row r="4" spans="1:15" x14ac:dyDescent="0.25">
      <c r="A4" s="311" t="s">
        <v>55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</row>
    <row r="5" spans="1:15" ht="30.75" thickBot="1" x14ac:dyDescent="0.3">
      <c r="A5" s="8" t="s">
        <v>54</v>
      </c>
      <c r="B5" s="9" t="s">
        <v>4</v>
      </c>
      <c r="C5" s="10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18</v>
      </c>
      <c r="J5" s="8" t="s">
        <v>19</v>
      </c>
      <c r="K5" s="8" t="s">
        <v>20</v>
      </c>
      <c r="L5" s="8" t="s">
        <v>21</v>
      </c>
      <c r="M5" s="8" t="s">
        <v>22</v>
      </c>
      <c r="N5" s="8" t="s">
        <v>23</v>
      </c>
      <c r="O5" s="8" t="s">
        <v>24</v>
      </c>
    </row>
    <row r="6" spans="1:15" x14ac:dyDescent="0.25">
      <c r="A6" s="6" t="s">
        <v>60</v>
      </c>
      <c r="B6" s="11">
        <f>StorPile!B15</f>
        <v>3.2092396491227644E-2</v>
      </c>
      <c r="C6" s="12">
        <f>Metal_Com!$F$9/1000000*Metal_Em_Rate!B6</f>
        <v>8.5044850701753257E-5</v>
      </c>
      <c r="D6" s="13">
        <f>Metal_Com!$H$9/1000000*Metal_Em_Rate!B6</f>
        <v>5.4877997999999268E-8</v>
      </c>
      <c r="E6" s="13">
        <f>Metal_Com!$J$9/1000000*Metal_Em_Rate!B6</f>
        <v>3.5943484070174959E-6</v>
      </c>
      <c r="F6" s="13">
        <f>Metal_Com!$L$9/1000000*Metal_Em_Rate!B6</f>
        <v>3.0616146252631171E-8</v>
      </c>
      <c r="G6" s="13">
        <f>Metal_Com!$N$9/1000000*Metal_Em_Rate!B6</f>
        <v>2.6604596691227714E-8</v>
      </c>
      <c r="H6" s="13">
        <f>Metal_Com!$P$9/1000000*Metal_Em_Rate!B6</f>
        <v>3.3055168385964474E-6</v>
      </c>
      <c r="I6" s="13">
        <f>Metal_Com!$R$9/1000000*Metal_Em_Rate!B6</f>
        <v>1.5211795936841904E-7</v>
      </c>
      <c r="J6" s="13">
        <f>Metal_Com!$T$9/1000000*Metal_Em_Rate!B6</f>
        <v>1.3446714129824384E-4</v>
      </c>
      <c r="K6" s="13">
        <f>Metal_Com!$V$9/1000000*Metal_Em_Rate!B6</f>
        <v>2.7278537017543498E-9</v>
      </c>
      <c r="L6" s="13">
        <f>Metal_Com!$X$9/1000000*Metal_Em_Rate!B6</f>
        <v>5.5519845929823824E-5</v>
      </c>
      <c r="M6" s="13">
        <f>Metal_Com!$Z$9/1000000*Metal_Em_Rate!B6</f>
        <v>3.40179402807013E-8</v>
      </c>
      <c r="N6" s="13">
        <f>Metal_Com!$AB$9/1000000*Metal_Em_Rate!B6</f>
        <v>6.7714956596490328E-9</v>
      </c>
      <c r="O6" s="13">
        <f>Metal_Com!$AD$9/1000000*Metal_Em_Rate!B6</f>
        <v>1.3928100077192796E-6</v>
      </c>
    </row>
    <row r="7" spans="1:15" x14ac:dyDescent="0.25">
      <c r="A7" s="6" t="s">
        <v>48</v>
      </c>
      <c r="B7" s="11">
        <f>StorPile!E15</f>
        <v>0.29509914874101312</v>
      </c>
      <c r="C7" s="12">
        <f>Metal_Com!$F$12/1000000*Metal_Em_Rate!B7</f>
        <v>9.5021925894606227E-4</v>
      </c>
      <c r="D7" s="13">
        <f>Metal_Com!$H$12/1000000*Metal_Em_Rate!B7</f>
        <v>4.5150169757375005E-7</v>
      </c>
      <c r="E7" s="13">
        <f>Metal_Com!$J$12/1000000*Metal_Em_Rate!B7</f>
        <v>8.7644447176080903E-5</v>
      </c>
      <c r="F7" s="13">
        <f>Metal_Com!$L$12/1000000*Metal_Em_Rate!B7</f>
        <v>7.0823795697843139E-8</v>
      </c>
      <c r="G7" s="13">
        <f>Metal_Com!$N$12/1000000*Metal_Em_Rate!B7</f>
        <v>7.8496373565109491E-7</v>
      </c>
      <c r="H7" s="13">
        <f>Metal_Com!$P$12/1000000*Metal_Em_Rate!B7</f>
        <v>2.4788328494245101E-5</v>
      </c>
      <c r="I7" s="13">
        <f>Metal_Com!$R$12/1000000*Metal_Em_Rate!B7</f>
        <v>2.4286659941385384E-6</v>
      </c>
      <c r="J7" s="13">
        <f>Metal_Com!$T$12/1000000*Metal_Em_Rate!B7</f>
        <v>4.6035467203598047E-4</v>
      </c>
      <c r="K7" s="13">
        <f>Metal_Com!$V$12/1000000*Metal_Em_Rate!B7</f>
        <v>2.8359028194011363E-8</v>
      </c>
      <c r="L7" s="13">
        <f>Metal_Com!$X$12/1000000*Metal_Em_Rate!B7</f>
        <v>6.9938498251620115E-4</v>
      </c>
      <c r="M7" s="13">
        <f>Metal_Com!$Z$12/1000000*Metal_Em_Rate!B7</f>
        <v>3.5411897848921573E-7</v>
      </c>
      <c r="N7" s="13">
        <f>Metal_Com!$AB$12/1000000*Metal_Em_Rate!B7</f>
        <v>7.0823795697843139E-8</v>
      </c>
      <c r="O7" s="13">
        <f>Metal_Com!$AD$12/1000000*Metal_Em_Rate!B7</f>
        <v>1.8856835604550736E-5</v>
      </c>
    </row>
    <row r="8" spans="1:15" x14ac:dyDescent="0.25">
      <c r="A8" s="6" t="s">
        <v>49</v>
      </c>
      <c r="B8" s="11">
        <f>StorPile!H15</f>
        <v>2.5719517873905983E-2</v>
      </c>
      <c r="C8" s="12">
        <f>Metal_Com!$F$9/1000000*Metal_Em_Rate!B8</f>
        <v>6.8156722365850854E-5</v>
      </c>
      <c r="D8" s="13">
        <f>Metal_Com!$H$9/1000000*Metal_Em_Rate!B8</f>
        <v>4.3980375564379229E-8</v>
      </c>
      <c r="E8" s="13">
        <f>Metal_Com!$J$9/1000000*Metal_Em_Rate!B8</f>
        <v>2.8805860018774702E-6</v>
      </c>
      <c r="F8" s="13">
        <f>Metal_Com!$L$9/1000000*Metal_Em_Rate!B8</f>
        <v>2.4536420051706306E-8</v>
      </c>
      <c r="G8" s="13">
        <f>Metal_Com!$N$9/1000000*Metal_Em_Rate!B8</f>
        <v>2.1321480317468058E-8</v>
      </c>
      <c r="H8" s="13">
        <f>Metal_Com!$P$9/1000000*Metal_Em_Rate!B8</f>
        <v>2.6491103410123162E-6</v>
      </c>
      <c r="I8" s="13">
        <f>Metal_Com!$R$9/1000000*Metal_Em_Rate!B8</f>
        <v>1.2191051472231436E-7</v>
      </c>
      <c r="J8" s="13">
        <f>Metal_Com!$T$9/1000000*Metal_Em_Rate!B8</f>
        <v>1.0776477989166608E-4</v>
      </c>
      <c r="K8" s="13">
        <f>Metal_Com!$V$9/1000000*Metal_Em_Rate!B8</f>
        <v>2.1861590192820089E-9</v>
      </c>
      <c r="L8" s="13">
        <f>Metal_Com!$X$9/1000000*Metal_Em_Rate!B8</f>
        <v>4.4494765921857348E-5</v>
      </c>
      <c r="M8" s="13">
        <f>Metal_Com!$Z$9/1000000*Metal_Em_Rate!B8</f>
        <v>2.7262688946340341E-8</v>
      </c>
      <c r="N8" s="13">
        <f>Metal_Com!$AB$9/1000000*Metal_Em_Rate!B8</f>
        <v>5.4268182713941625E-9</v>
      </c>
      <c r="O8" s="13">
        <f>Metal_Com!$AD$9/1000000*Metal_Em_Rate!B8</f>
        <v>1.1162270757275196E-6</v>
      </c>
    </row>
    <row r="9" spans="1:15" x14ac:dyDescent="0.25">
      <c r="A9" s="7" t="s">
        <v>50</v>
      </c>
      <c r="B9" s="14">
        <f>StorPile!K15</f>
        <v>0.19727146751906247</v>
      </c>
      <c r="C9" s="15">
        <f>Metal_Com!$F$9/1000000*Metal_Em_Rate!B9</f>
        <v>5.2276938892551557E-4</v>
      </c>
      <c r="D9" s="16">
        <f>Metal_Com!$H$9/1000000*Metal_Em_Rate!B9</f>
        <v>3.3733420945759678E-7</v>
      </c>
      <c r="E9" s="16">
        <f>Metal_Com!$J$9/1000000*Metal_Em_Rate!B9</f>
        <v>2.2094404362134995E-5</v>
      </c>
      <c r="F9" s="16">
        <f>Metal_Com!$L$9/1000000*Metal_Em_Rate!B9</f>
        <v>1.8819698001318556E-7</v>
      </c>
      <c r="G9" s="16">
        <f>Metal_Com!$N$9/1000000*Metal_Em_Rate!B9</f>
        <v>1.6353804657330276E-7</v>
      </c>
      <c r="H9" s="16">
        <f>Metal_Com!$P$9/1000000*Metal_Em_Rate!B9</f>
        <v>2.0318961154463434E-5</v>
      </c>
      <c r="I9" s="16">
        <f>Metal_Com!$R$9/1000000*Metal_Em_Rate!B9</f>
        <v>9.350667560403562E-7</v>
      </c>
      <c r="J9" s="16">
        <f>Metal_Com!$T$9/1000000*Metal_Em_Rate!B9</f>
        <v>8.2656744890487177E-4</v>
      </c>
      <c r="K9" s="16">
        <f>Metal_Com!$V$9/1000000*Metal_Em_Rate!B9</f>
        <v>1.676807473912031E-8</v>
      </c>
      <c r="L9" s="16">
        <f>Metal_Com!$X$9/1000000*Metal_Em_Rate!B9</f>
        <v>3.4127963880797808E-4</v>
      </c>
      <c r="M9" s="16">
        <f>Metal_Com!$Z$9/1000000*Metal_Em_Rate!B9</f>
        <v>2.0910775557020623E-7</v>
      </c>
      <c r="N9" s="16">
        <f>Metal_Com!$AB$9/1000000*Metal_Em_Rate!B9</f>
        <v>4.1624279646522179E-8</v>
      </c>
      <c r="O9" s="16">
        <f>Metal_Com!$AD$9/1000000*Metal_Em_Rate!B9</f>
        <v>8.5615816903273111E-6</v>
      </c>
    </row>
    <row r="10" spans="1:15" x14ac:dyDescent="0.25">
      <c r="A10" s="244" t="s">
        <v>59</v>
      </c>
      <c r="B10" s="17"/>
      <c r="C10" s="17">
        <f>SUM(C6:C9)</f>
        <v>1.6261902209391819E-3</v>
      </c>
      <c r="D10" s="17">
        <f t="shared" ref="D10:O10" si="0">SUM(D6:D9)</f>
        <v>8.8769428059572525E-7</v>
      </c>
      <c r="E10" s="17">
        <f t="shared" si="0"/>
        <v>1.1621378594711087E-4</v>
      </c>
      <c r="F10" s="17">
        <f t="shared" si="0"/>
        <v>3.141733420153662E-7</v>
      </c>
      <c r="G10" s="17">
        <f t="shared" si="0"/>
        <v>9.9642785923309357E-7</v>
      </c>
      <c r="H10" s="17">
        <f t="shared" si="0"/>
        <v>5.1061916828317304E-5</v>
      </c>
      <c r="I10" s="17">
        <f t="shared" si="0"/>
        <v>3.637761224269628E-6</v>
      </c>
      <c r="J10" s="17">
        <f t="shared" si="0"/>
        <v>1.5291540421307622E-3</v>
      </c>
      <c r="K10" s="17">
        <f t="shared" si="0"/>
        <v>5.004111565416803E-8</v>
      </c>
      <c r="L10" s="17">
        <f t="shared" si="0"/>
        <v>1.1406792331758605E-3</v>
      </c>
      <c r="M10" s="17">
        <f t="shared" si="0"/>
        <v>6.2450736328646362E-7</v>
      </c>
      <c r="N10" s="17">
        <f t="shared" si="0"/>
        <v>1.246463892754085E-7</v>
      </c>
      <c r="O10" s="17">
        <f t="shared" si="0"/>
        <v>2.9927454378324849E-5</v>
      </c>
    </row>
    <row r="11" spans="1:15" ht="6.75" customHeight="1" x14ac:dyDescent="0.25">
      <c r="A11" s="24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25">
      <c r="A12" s="246" t="s">
        <v>58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47" t="s">
        <v>57</v>
      </c>
    </row>
    <row r="15" spans="1:15" x14ac:dyDescent="0.25">
      <c r="A15" s="311" t="s">
        <v>75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</row>
    <row r="16" spans="1:15" ht="30.75" thickBot="1" x14ac:dyDescent="0.3">
      <c r="A16" s="8" t="s">
        <v>54</v>
      </c>
      <c r="B16" s="9" t="s">
        <v>4</v>
      </c>
      <c r="C16" s="10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  <c r="N16" s="8" t="s">
        <v>23</v>
      </c>
      <c r="O16" s="8" t="s">
        <v>24</v>
      </c>
    </row>
    <row r="17" spans="1:15" x14ac:dyDescent="0.25">
      <c r="A17" s="252" t="s">
        <v>60</v>
      </c>
      <c r="B17" s="262">
        <f>StorPile!C15</f>
        <v>0.77021751578946351</v>
      </c>
      <c r="C17" s="19">
        <f>Metal_Com!$F$9/1000000*Metal_Em_Rate!B17</f>
        <v>2.0410764168420784E-3</v>
      </c>
      <c r="D17" s="20">
        <f>Metal_Com!$H$9/1000000*Metal_Em_Rate!B17</f>
        <v>1.3170719519999826E-6</v>
      </c>
      <c r="E17" s="20">
        <f>Metal_Com!$J$9/1000000*Metal_Em_Rate!B17</f>
        <v>8.6264361768419908E-5</v>
      </c>
      <c r="F17" s="20">
        <f>Metal_Com!$L$9/1000000*Metal_Em_Rate!B17</f>
        <v>7.3478751006314816E-7</v>
      </c>
      <c r="G17" s="20">
        <f>Metal_Com!$N$9/1000000*Metal_Em_Rate!B17</f>
        <v>6.3851032058946522E-7</v>
      </c>
      <c r="H17" s="20">
        <f>Metal_Com!$P$9/1000000*Metal_Em_Rate!B17</f>
        <v>7.9332404126314734E-5</v>
      </c>
      <c r="I17" s="20">
        <f>Metal_Com!$R$9/1000000*Metal_Em_Rate!B17</f>
        <v>3.6508310248420572E-6</v>
      </c>
      <c r="J17" s="20">
        <f>Metal_Com!$T$9/1000000*Metal_Em_Rate!B17</f>
        <v>3.2272113911578524E-3</v>
      </c>
      <c r="K17" s="20">
        <f>Metal_Com!$V$9/1000000*Metal_Em_Rate!B17</f>
        <v>6.5468488842104404E-8</v>
      </c>
      <c r="L17" s="20">
        <f>Metal_Com!$X$9/1000000*Metal_Em_Rate!B17</f>
        <v>1.3324763023157718E-3</v>
      </c>
      <c r="M17" s="20">
        <f>Metal_Com!$Z$9/1000000*Metal_Em_Rate!B17</f>
        <v>8.1643056673683137E-7</v>
      </c>
      <c r="N17" s="20">
        <f>Metal_Com!$AB$9/1000000*Metal_Em_Rate!B17</f>
        <v>1.6251589583157681E-7</v>
      </c>
      <c r="O17" s="20">
        <f>Metal_Com!$AD$9/1000000*Metal_Em_Rate!B17</f>
        <v>3.3427440185262715E-5</v>
      </c>
    </row>
    <row r="18" spans="1:15" x14ac:dyDescent="0.25">
      <c r="A18" s="252" t="s">
        <v>48</v>
      </c>
      <c r="B18" s="264">
        <f>StorPile!F15</f>
        <v>7.0823795697843153</v>
      </c>
      <c r="C18" s="19">
        <f>Metal_Com!$F$12/1000000*Metal_Em_Rate!B18</f>
        <v>2.2805262214705496E-2</v>
      </c>
      <c r="D18" s="20">
        <f>Metal_Com!$H$12/1000000*Metal_Em_Rate!B18</f>
        <v>1.0836040741770002E-5</v>
      </c>
      <c r="E18" s="20">
        <f>Metal_Com!$J$12/1000000*Metal_Em_Rate!B18</f>
        <v>2.1034667322259418E-3</v>
      </c>
      <c r="F18" s="20">
        <f>Metal_Com!$L$12/1000000*Metal_Em_Rate!B18</f>
        <v>1.6997710967482354E-6</v>
      </c>
      <c r="G18" s="20">
        <f>Metal_Com!$N$12/1000000*Metal_Em_Rate!B18</f>
        <v>1.883912965562628E-5</v>
      </c>
      <c r="H18" s="20">
        <f>Metal_Com!$P$12/1000000*Metal_Em_Rate!B18</f>
        <v>5.9491988386188241E-4</v>
      </c>
      <c r="I18" s="20">
        <f>Metal_Com!$R$12/1000000*Metal_Em_Rate!B18</f>
        <v>5.8287983859324922E-5</v>
      </c>
      <c r="J18" s="20">
        <f>Metal_Com!$T$12/1000000*Metal_Em_Rate!B18</f>
        <v>1.1048512128863531E-2</v>
      </c>
      <c r="K18" s="20">
        <f>Metal_Com!$V$12/1000000*Metal_Em_Rate!B18</f>
        <v>6.8061667665627279E-7</v>
      </c>
      <c r="L18" s="20">
        <f>Metal_Com!$X$12/1000000*Metal_Em_Rate!B18</f>
        <v>1.6785239580388828E-2</v>
      </c>
      <c r="M18" s="20">
        <f>Metal_Com!$Z$12/1000000*Metal_Em_Rate!B18</f>
        <v>8.498855483741178E-6</v>
      </c>
      <c r="N18" s="20">
        <f>Metal_Com!$AB$12/1000000*Metal_Em_Rate!B18</f>
        <v>1.6997710967482354E-6</v>
      </c>
      <c r="O18" s="20">
        <f>Metal_Com!$AD$12/1000000*Metal_Em_Rate!B18</f>
        <v>4.525640545092177E-4</v>
      </c>
    </row>
    <row r="19" spans="1:15" x14ac:dyDescent="0.25">
      <c r="A19" s="252" t="s">
        <v>49</v>
      </c>
      <c r="B19" s="262">
        <f>StorPile!I15</f>
        <v>0.61726842897374357</v>
      </c>
      <c r="C19" s="19">
        <f>Metal_Com!$F$9/1000000*Metal_Em_Rate!B19</f>
        <v>1.6357613367804205E-3</v>
      </c>
      <c r="D19" s="20">
        <f>Metal_Com!$H$9/1000000*Metal_Em_Rate!B19</f>
        <v>1.0555290135451015E-6</v>
      </c>
      <c r="E19" s="20">
        <f>Metal_Com!$J$9/1000000*Metal_Em_Rate!B19</f>
        <v>6.9134064045059274E-5</v>
      </c>
      <c r="F19" s="20">
        <f>Metal_Com!$L$9/1000000*Metal_Em_Rate!B19</f>
        <v>5.8887408124095132E-7</v>
      </c>
      <c r="G19" s="20">
        <f>Metal_Com!$N$9/1000000*Metal_Em_Rate!B19</f>
        <v>5.1171552761923339E-7</v>
      </c>
      <c r="H19" s="20">
        <f>Metal_Com!$P$9/1000000*Metal_Em_Rate!B19</f>
        <v>6.3578648184295592E-5</v>
      </c>
      <c r="I19" s="20">
        <f>Metal_Com!$R$9/1000000*Metal_Em_Rate!B19</f>
        <v>2.9258523533355446E-6</v>
      </c>
      <c r="J19" s="20">
        <f>Metal_Com!$T$9/1000000*Metal_Em_Rate!B19</f>
        <v>2.5863547173999857E-3</v>
      </c>
      <c r="K19" s="20">
        <f>Metal_Com!$V$9/1000000*Metal_Em_Rate!B19</f>
        <v>5.246781646276821E-8</v>
      </c>
      <c r="L19" s="20">
        <f>Metal_Com!$X$9/1000000*Metal_Em_Rate!B19</f>
        <v>1.0678743821245765E-3</v>
      </c>
      <c r="M19" s="20">
        <f>Metal_Com!$Z$9/1000000*Metal_Em_Rate!B19</f>
        <v>6.5430453471216821E-7</v>
      </c>
      <c r="N19" s="20">
        <f>Metal_Com!$AB$9/1000000*Metal_Em_Rate!B19</f>
        <v>1.3024363851345988E-7</v>
      </c>
      <c r="O19" s="20">
        <f>Metal_Com!$AD$9/1000000*Metal_Em_Rate!B19</f>
        <v>2.6789449817460468E-5</v>
      </c>
    </row>
    <row r="20" spans="1:15" x14ac:dyDescent="0.25">
      <c r="A20" s="253" t="s">
        <v>50</v>
      </c>
      <c r="B20" s="265">
        <f>StorPile!L15</f>
        <v>4.7345152204574994</v>
      </c>
      <c r="C20" s="21">
        <f>Metal_Com!$F$9/1000000*Metal_Em_Rate!B20</f>
        <v>1.2546465334212373E-2</v>
      </c>
      <c r="D20" s="22">
        <f>Metal_Com!$H$9/1000000*Metal_Em_Rate!B20</f>
        <v>8.0960210269823235E-6</v>
      </c>
      <c r="E20" s="22">
        <f>Metal_Com!$J$9/1000000*Metal_Em_Rate!B20</f>
        <v>5.3026570469123996E-4</v>
      </c>
      <c r="F20" s="22">
        <f>Metal_Com!$L$9/1000000*Metal_Em_Rate!B20</f>
        <v>4.5167275203164542E-6</v>
      </c>
      <c r="G20" s="22">
        <f>Metal_Com!$N$9/1000000*Metal_Em_Rate!B20</f>
        <v>3.9249131177592663E-6</v>
      </c>
      <c r="H20" s="22">
        <f>Metal_Com!$P$9/1000000*Metal_Em_Rate!B20</f>
        <v>4.8765506770712244E-4</v>
      </c>
      <c r="I20" s="22">
        <f>Metal_Com!$R$9/1000000*Metal_Em_Rate!B20</f>
        <v>2.2441602144968548E-5</v>
      </c>
      <c r="J20" s="22">
        <f>Metal_Com!$T$9/1000000*Metal_Em_Rate!B20</f>
        <v>1.9837618773716922E-2</v>
      </c>
      <c r="K20" s="22">
        <f>Metal_Com!$V$9/1000000*Metal_Em_Rate!B20</f>
        <v>4.0243379373888747E-7</v>
      </c>
      <c r="L20" s="22">
        <f>Metal_Com!$X$9/1000000*Metal_Em_Rate!B20</f>
        <v>8.1907113313914731E-3</v>
      </c>
      <c r="M20" s="22">
        <f>Metal_Com!$Z$9/1000000*Metal_Em_Rate!B20</f>
        <v>5.0185861336849491E-6</v>
      </c>
      <c r="N20" s="22">
        <f>Metal_Com!$AB$9/1000000*Metal_Em_Rate!B20</f>
        <v>9.9898271151653229E-7</v>
      </c>
      <c r="O20" s="22">
        <f>Metal_Com!$AD$9/1000000*Metal_Em_Rate!B20</f>
        <v>2.0547796056785545E-4</v>
      </c>
    </row>
    <row r="21" spans="1:15" x14ac:dyDescent="0.25">
      <c r="A21" s="254" t="s">
        <v>59</v>
      </c>
      <c r="B21" s="23"/>
      <c r="C21" s="23">
        <f>SUM(C17:C20)</f>
        <v>3.9028565302540369E-2</v>
      </c>
      <c r="D21" s="23">
        <f t="shared" ref="D21" si="1">SUM(D17:D20)</f>
        <v>2.1304662734297411E-5</v>
      </c>
      <c r="E21" s="23">
        <f t="shared" ref="E21" si="2">SUM(E17:E20)</f>
        <v>2.7891308627306611E-3</v>
      </c>
      <c r="F21" s="23">
        <f t="shared" ref="F21" si="3">SUM(F17:F20)</f>
        <v>7.5401602083687887E-6</v>
      </c>
      <c r="G21" s="23">
        <f t="shared" ref="G21" si="4">SUM(G17:G20)</f>
        <v>2.3914268621594246E-5</v>
      </c>
      <c r="H21" s="23">
        <f t="shared" ref="H21" si="5">SUM(H17:H20)</f>
        <v>1.2254860038796152E-3</v>
      </c>
      <c r="I21" s="23">
        <f t="shared" ref="I21" si="6">SUM(I17:I20)</f>
        <v>8.7306269382471076E-5</v>
      </c>
      <c r="J21" s="23">
        <f t="shared" ref="J21" si="7">SUM(J17:J20)</f>
        <v>3.6699697011138288E-2</v>
      </c>
      <c r="K21" s="23">
        <f t="shared" ref="K21" si="8">SUM(K17:K20)</f>
        <v>1.2009867757000329E-6</v>
      </c>
      <c r="L21" s="23">
        <f t="shared" ref="L21" si="9">SUM(L17:L20)</f>
        <v>2.7376301596220648E-2</v>
      </c>
      <c r="M21" s="23">
        <f t="shared" ref="M21" si="10">SUM(M17:M20)</f>
        <v>1.4988176718875125E-5</v>
      </c>
      <c r="N21" s="23">
        <f t="shared" ref="N21" si="11">SUM(N17:N20)</f>
        <v>2.9915133426098044E-6</v>
      </c>
      <c r="O21" s="23">
        <f t="shared" ref="O21" si="12">SUM(O17:O20)</f>
        <v>7.1825890507979631E-4</v>
      </c>
    </row>
    <row r="22" spans="1:15" ht="6.95" customHeight="1" x14ac:dyDescent="0.25">
      <c r="A22" s="255"/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</row>
    <row r="23" spans="1:15" x14ac:dyDescent="0.25">
      <c r="A23" s="256" t="s">
        <v>58</v>
      </c>
      <c r="B23" s="263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</row>
    <row r="24" spans="1:15" x14ac:dyDescent="0.25">
      <c r="A24" s="258" t="s">
        <v>77</v>
      </c>
      <c r="B24" s="263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</row>
    <row r="25" spans="1:15" x14ac:dyDescent="0.25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</row>
    <row r="26" spans="1:15" x14ac:dyDescent="0.25">
      <c r="A26" s="312" t="s">
        <v>76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2"/>
      <c r="O26" s="312"/>
    </row>
    <row r="27" spans="1:15" ht="30.75" thickBot="1" x14ac:dyDescent="0.3">
      <c r="A27" s="259" t="s">
        <v>54</v>
      </c>
      <c r="B27" s="260" t="s">
        <v>4</v>
      </c>
      <c r="C27" s="261" t="s">
        <v>12</v>
      </c>
      <c r="D27" s="259" t="s">
        <v>13</v>
      </c>
      <c r="E27" s="259" t="s">
        <v>14</v>
      </c>
      <c r="F27" s="259" t="s">
        <v>15</v>
      </c>
      <c r="G27" s="259" t="s">
        <v>16</v>
      </c>
      <c r="H27" s="259" t="s">
        <v>17</v>
      </c>
      <c r="I27" s="259" t="s">
        <v>18</v>
      </c>
      <c r="J27" s="259" t="s">
        <v>19</v>
      </c>
      <c r="K27" s="259" t="s">
        <v>20</v>
      </c>
      <c r="L27" s="259" t="s">
        <v>21</v>
      </c>
      <c r="M27" s="259" t="s">
        <v>22</v>
      </c>
      <c r="N27" s="259" t="s">
        <v>23</v>
      </c>
      <c r="O27" s="259" t="s">
        <v>24</v>
      </c>
    </row>
    <row r="28" spans="1:15" x14ac:dyDescent="0.25">
      <c r="A28" s="252" t="s">
        <v>60</v>
      </c>
      <c r="B28" s="266">
        <f>StorPile!D15*2000</f>
        <v>281.12939326315416</v>
      </c>
      <c r="C28" s="19">
        <f>Metal_Com!$F$9/1000000*Metal_Em_Rate!B28</f>
        <v>0.74499289214735853</v>
      </c>
      <c r="D28" s="20">
        <f>Metal_Com!$H$9/1000000*Metal_Em_Rate!B28</f>
        <v>4.8073126247999361E-4</v>
      </c>
      <c r="E28" s="20">
        <f>Metal_Com!$J$9/1000000*Metal_Em_Rate!B28</f>
        <v>3.1486492045473262E-2</v>
      </c>
      <c r="F28" s="20">
        <f>Metal_Com!$L$9/1000000*Metal_Em_Rate!B28</f>
        <v>2.6819744117304901E-4</v>
      </c>
      <c r="G28" s="20">
        <f>Metal_Com!$N$9/1000000*Metal_Em_Rate!B28</f>
        <v>2.3305626701515476E-4</v>
      </c>
      <c r="H28" s="20">
        <f>Metal_Com!$P$9/1000000*Metal_Em_Rate!B28</f>
        <v>2.8956327506104877E-2</v>
      </c>
      <c r="I28" s="20">
        <f>Metal_Com!$R$9/1000000*Metal_Em_Rate!B28</f>
        <v>1.3325533240673509E-3</v>
      </c>
      <c r="J28" s="20">
        <f>Metal_Com!$T$9/1000000*Metal_Em_Rate!B28</f>
        <v>1.1779321577726161</v>
      </c>
      <c r="K28" s="20">
        <f>Metal_Com!$V$9/1000000*Metal_Em_Rate!B28</f>
        <v>2.3895998427368106E-5</v>
      </c>
      <c r="L28" s="20">
        <f>Metal_Com!$X$9/1000000*Metal_Em_Rate!B28</f>
        <v>0.48635385034525669</v>
      </c>
      <c r="M28" s="20">
        <f>Metal_Com!$Z$9/1000000*Metal_Em_Rate!B28</f>
        <v>2.9799715685894341E-4</v>
      </c>
      <c r="N28" s="20">
        <f>Metal_Com!$AB$9/1000000*Metal_Em_Rate!B28</f>
        <v>5.9318301978525529E-5</v>
      </c>
      <c r="O28" s="20">
        <f>Metal_Com!$AD$9/1000000*Metal_Em_Rate!B28</f>
        <v>1.220101566762089E-2</v>
      </c>
    </row>
    <row r="29" spans="1:15" x14ac:dyDescent="0.25">
      <c r="A29" s="252" t="s">
        <v>48</v>
      </c>
      <c r="B29" s="266">
        <f>StorPile!G15*2000</f>
        <v>2585.0685429712748</v>
      </c>
      <c r="C29" s="19">
        <f>Metal_Com!$F$12/1000000*Metal_Em_Rate!B29</f>
        <v>8.3239207083675062</v>
      </c>
      <c r="D29" s="20">
        <f>Metal_Com!$H$12/1000000*Metal_Em_Rate!B29</f>
        <v>3.9551548707460506E-3</v>
      </c>
      <c r="E29" s="20">
        <f>Metal_Com!$J$12/1000000*Metal_Em_Rate!B29</f>
        <v>0.76776535726246864</v>
      </c>
      <c r="F29" s="20">
        <f>Metal_Com!$L$12/1000000*Metal_Em_Rate!B29</f>
        <v>6.2041645031310586E-4</v>
      </c>
      <c r="G29" s="20">
        <f>Metal_Com!$N$12/1000000*Metal_Em_Rate!B29</f>
        <v>6.876282324303591E-3</v>
      </c>
      <c r="H29" s="20">
        <f>Metal_Com!$P$12/1000000*Metal_Em_Rate!B29</f>
        <v>0.21714575760958707</v>
      </c>
      <c r="I29" s="20">
        <f>Metal_Com!$R$12/1000000*Metal_Em_Rate!B29</f>
        <v>2.1275114108653594E-2</v>
      </c>
      <c r="J29" s="20">
        <f>Metal_Com!$T$12/1000000*Metal_Em_Rate!B29</f>
        <v>4.0327069270351883</v>
      </c>
      <c r="K29" s="20">
        <f>Metal_Com!$V$12/1000000*Metal_Em_Rate!B29</f>
        <v>2.4842508697953955E-4</v>
      </c>
      <c r="L29" s="20">
        <f>Metal_Com!$X$12/1000000*Metal_Em_Rate!B29</f>
        <v>6.1266124468419214</v>
      </c>
      <c r="M29" s="20">
        <f>Metal_Com!$Z$12/1000000*Metal_Em_Rate!B29</f>
        <v>3.1020822515655296E-3</v>
      </c>
      <c r="N29" s="20">
        <f>Metal_Com!$AB$12/1000000*Metal_Em_Rate!B29</f>
        <v>6.2041645031310586E-4</v>
      </c>
      <c r="O29" s="20">
        <f>Metal_Com!$AD$12/1000000*Metal_Em_Rate!B29</f>
        <v>0.16518587989586445</v>
      </c>
    </row>
    <row r="30" spans="1:15" x14ac:dyDescent="0.25">
      <c r="A30" s="252" t="s">
        <v>49</v>
      </c>
      <c r="B30" s="266">
        <f>StorPile!J15*2000</f>
        <v>225.30297657541641</v>
      </c>
      <c r="C30" s="19">
        <f>Metal_Com!$F$9/1000000*Metal_Em_Rate!B30</f>
        <v>0.59705288792485345</v>
      </c>
      <c r="D30" s="20">
        <f>Metal_Com!$H$9/1000000*Metal_Em_Rate!B30</f>
        <v>3.8526808994396203E-4</v>
      </c>
      <c r="E30" s="20">
        <f>Metal_Com!$J$9/1000000*Metal_Em_Rate!B30</f>
        <v>2.5233933376446638E-2</v>
      </c>
      <c r="F30" s="20">
        <f>Metal_Com!$L$9/1000000*Metal_Em_Rate!B30</f>
        <v>2.1493903965294722E-4</v>
      </c>
      <c r="G30" s="20">
        <f>Metal_Com!$N$9/1000000*Metal_Em_Rate!B30</f>
        <v>1.8677616758102018E-4</v>
      </c>
      <c r="H30" s="20">
        <f>Metal_Com!$P$9/1000000*Metal_Em_Rate!B30</f>
        <v>2.3206206587267891E-2</v>
      </c>
      <c r="I30" s="20">
        <f>Metal_Com!$R$9/1000000*Metal_Em_Rate!B30</f>
        <v>1.0679361089674739E-3</v>
      </c>
      <c r="J30" s="20">
        <f>Metal_Com!$T$9/1000000*Metal_Em_Rate!B30</f>
        <v>0.94401947185099477</v>
      </c>
      <c r="K30" s="20">
        <f>Metal_Com!$V$9/1000000*Metal_Em_Rate!B30</f>
        <v>1.9150753008910395E-5</v>
      </c>
      <c r="L30" s="20">
        <f>Metal_Com!$X$9/1000000*Metal_Em_Rate!B30</f>
        <v>0.3897741494754704</v>
      </c>
      <c r="M30" s="20">
        <f>Metal_Com!$Z$9/1000000*Metal_Em_Rate!B30</f>
        <v>2.3882115516994139E-4</v>
      </c>
      <c r="N30" s="20">
        <f>Metal_Com!$AB$9/1000000*Metal_Em_Rate!B30</f>
        <v>4.7538928057412859E-5</v>
      </c>
      <c r="O30" s="20">
        <f>Metal_Com!$AD$9/1000000*Metal_Em_Rate!B30</f>
        <v>9.7781491833730718E-3</v>
      </c>
    </row>
    <row r="31" spans="1:15" x14ac:dyDescent="0.25">
      <c r="A31" s="253" t="s">
        <v>50</v>
      </c>
      <c r="B31" s="267">
        <f>StorPile!M15*2000</f>
        <v>1728.0980554669873</v>
      </c>
      <c r="C31" s="21">
        <f>Metal_Com!$F$9/1000000*Metal_Em_Rate!B31</f>
        <v>4.5794598469875165</v>
      </c>
      <c r="D31" s="22">
        <f>Metal_Com!$H$9/1000000*Metal_Em_Rate!B31</f>
        <v>2.9550476748485483E-3</v>
      </c>
      <c r="E31" s="22">
        <f>Metal_Com!$J$9/1000000*Metal_Em_Rate!B31</f>
        <v>0.19354698221230257</v>
      </c>
      <c r="F31" s="22">
        <f>Metal_Com!$L$9/1000000*Metal_Em_Rate!B31</f>
        <v>1.6486055449155055E-3</v>
      </c>
      <c r="G31" s="22">
        <f>Metal_Com!$N$9/1000000*Metal_Em_Rate!B31</f>
        <v>1.4325932879821323E-3</v>
      </c>
      <c r="H31" s="22">
        <f>Metal_Com!$P$9/1000000*Metal_Em_Rate!B31</f>
        <v>0.17799409971309968</v>
      </c>
      <c r="I31" s="22">
        <f>Metal_Com!$R$9/1000000*Metal_Em_Rate!B31</f>
        <v>8.1911847829135194E-3</v>
      </c>
      <c r="J31" s="22">
        <f>Metal_Com!$T$9/1000000*Metal_Em_Rate!B31</f>
        <v>7.2407308524066769</v>
      </c>
      <c r="K31" s="22">
        <f>Metal_Com!$V$9/1000000*Metal_Em_Rate!B31</f>
        <v>1.4688833471469392E-4</v>
      </c>
      <c r="L31" s="22">
        <f>Metal_Com!$X$9/1000000*Metal_Em_Rate!B31</f>
        <v>2.9896096359578879</v>
      </c>
      <c r="M31" s="22">
        <f>Metal_Com!$Z$9/1000000*Metal_Em_Rate!B31</f>
        <v>1.8317839387950066E-3</v>
      </c>
      <c r="N31" s="22">
        <f>Metal_Com!$AB$9/1000000*Metal_Em_Rate!B31</f>
        <v>3.6462868970353428E-4</v>
      </c>
      <c r="O31" s="22">
        <f>Metal_Com!$AD$9/1000000*Metal_Em_Rate!B31</f>
        <v>7.4999455607267243E-2</v>
      </c>
    </row>
    <row r="32" spans="1:15" x14ac:dyDescent="0.25">
      <c r="A32" s="244" t="s">
        <v>59</v>
      </c>
      <c r="B32" s="17"/>
      <c r="C32" s="23">
        <f>SUM(C28:C31)</f>
        <v>14.245426335427235</v>
      </c>
      <c r="D32" s="23">
        <f t="shared" ref="D32" si="13">SUM(D28:D31)</f>
        <v>7.7762018980185544E-3</v>
      </c>
      <c r="E32" s="23">
        <f t="shared" ref="E32" si="14">SUM(E28:E31)</f>
        <v>1.0180327648966911</v>
      </c>
      <c r="F32" s="23">
        <f t="shared" ref="F32" si="15">SUM(F28:F31)</f>
        <v>2.7521584760546074E-3</v>
      </c>
      <c r="G32" s="23">
        <f t="shared" ref="G32" si="16">SUM(G28:G31)</f>
        <v>8.7287080468818976E-3</v>
      </c>
      <c r="H32" s="23">
        <f t="shared" ref="H32" si="17">SUM(H28:H31)</f>
        <v>0.44730239141605954</v>
      </c>
      <c r="I32" s="23">
        <f t="shared" ref="I32" si="18">SUM(I28:I31)</f>
        <v>3.1866788324601936E-2</v>
      </c>
      <c r="J32" s="23">
        <f t="shared" ref="J32" si="19">SUM(J28:J31)</f>
        <v>13.395389409065476</v>
      </c>
      <c r="K32" s="23">
        <f t="shared" ref="K32" si="20">SUM(K28:K31)</f>
        <v>4.3836017313051193E-4</v>
      </c>
      <c r="L32" s="23">
        <f t="shared" ref="L32" si="21">SUM(L28:L31)</f>
        <v>9.9923500826205363</v>
      </c>
      <c r="M32" s="23">
        <f t="shared" ref="M32" si="22">SUM(M28:M31)</f>
        <v>5.4706845023894208E-3</v>
      </c>
      <c r="N32" s="23">
        <f t="shared" ref="N32" si="23">SUM(N28:N31)</f>
        <v>1.0919023700525785E-3</v>
      </c>
      <c r="O32" s="23">
        <f t="shared" ref="O32" si="24">SUM(O28:O31)</f>
        <v>0.26216450035412564</v>
      </c>
    </row>
    <row r="33" spans="1:15" ht="6.75" customHeight="1" x14ac:dyDescent="0.25">
      <c r="A33" s="245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1:15" x14ac:dyDescent="0.25">
      <c r="A34" s="246" t="s">
        <v>58</v>
      </c>
      <c r="B34" s="1"/>
    </row>
    <row r="35" spans="1:15" x14ac:dyDescent="0.25">
      <c r="A35" s="248" t="s">
        <v>78</v>
      </c>
    </row>
  </sheetData>
  <mergeCells count="5">
    <mergeCell ref="A1:O1"/>
    <mergeCell ref="A2:O2"/>
    <mergeCell ref="A4:O4"/>
    <mergeCell ref="A15:O15"/>
    <mergeCell ref="A26:O26"/>
  </mergeCells>
  <pageMargins left="0.7" right="0.7" top="0.75" bottom="0.75" header="0.3" footer="0.3"/>
  <pageSetup scale="84" orientation="landscape" horizontalDpi="300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D4B9B62E87C4191FB63136FA21716" ma:contentTypeVersion="3" ma:contentTypeDescription="Create a new document." ma:contentTypeScope="" ma:versionID="52f34a55bcb4604769b5b26f83c610df">
  <xsd:schema xmlns:xsd="http://www.w3.org/2001/XMLSchema" xmlns:xs="http://www.w3.org/2001/XMLSchema" xmlns:p="http://schemas.microsoft.com/office/2006/metadata/properties" xmlns:ns1="http://schemas.microsoft.com/sharepoint/v3" xmlns:ns2="89cdaa30-7b22-4a6a-9ff8-e919efaf11cd" xmlns:ns3="4d0624c3-f678-473a-aaed-aa14d03be472" targetNamespace="http://schemas.microsoft.com/office/2006/metadata/properties" ma:root="true" ma:fieldsID="2d7cf663f22e1939383caf4bb963b843" ns1:_="" ns2:_="" ns3:_="">
    <xsd:import namespace="http://schemas.microsoft.com/sharepoint/v3"/>
    <xsd:import namespace="89cdaa30-7b22-4a6a-9ff8-e919efaf11cd"/>
    <xsd:import namespace="4d0624c3-f678-473a-aaed-aa14d03be47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acil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daa30-7b22-4a6a-9ff8-e919efaf11cd" elementFormDefault="qualified">
    <xsd:import namespace="http://schemas.microsoft.com/office/2006/documentManagement/types"/>
    <xsd:import namespace="http://schemas.microsoft.com/office/infopath/2007/PartnerControls"/>
    <xsd:element name="Facility" ma:index="10" nillable="true" ma:displayName="Facility" ma:default="select..." ma:format="Dropdown" ma:internalName="Facility">
      <xsd:simpleType>
        <xsd:union memberTypes="dms:Text">
          <xsd:simpleType>
            <xsd:restriction base="dms:Choice">
              <xsd:enumeration value="select..."/>
              <xsd:enumeration value="General document"/>
              <xsd:enumeration value="Permit document"/>
              <xsd:enumeration value="AmeriTies West"/>
              <xsd:enumeration value="Cascade Steel"/>
              <xsd:enumeration value="ChemWaste"/>
              <xsd:enumeration value="Collins Pine"/>
              <xsd:enumeration value="Columbia Steel"/>
              <xsd:enumeration value="Covanta"/>
              <xsd:enumeration value="Eagle"/>
              <xsd:enumeration value="EcoLube"/>
              <xsd:enumeration value="Entek"/>
              <xsd:enumeration value="Genentech"/>
              <xsd:enumeration value="HollingsworthVose"/>
              <xsd:enumeration value="Hydro Extrusion"/>
              <xsd:enumeration value="NEXT"/>
              <xsd:enumeration value="NWMetals"/>
              <xsd:enumeration value="ORRCO"/>
              <xsd:enumeration value="Owens Brockway"/>
              <xsd:enumeration value="Packaging Corporation of America"/>
              <xsd:enumeration value="PCC Structurals"/>
              <xsd:enumeration value="QTS"/>
              <xsd:enumeration value="Roseburg FP Medford"/>
              <xsd:enumeration value="Stimson Lumber"/>
              <xsd:enumeration value="Wol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0624c3-f678-473a-aaed-aa14d03be47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Facility xmlns="89cdaa30-7b22-4a6a-9ff8-e919efaf11cd">Columbia Steel</Facility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D9FD9E-8F91-4385-857D-807BE48A820E}"/>
</file>

<file path=customXml/itemProps2.xml><?xml version="1.0" encoding="utf-8"?>
<ds:datastoreItem xmlns:ds="http://schemas.openxmlformats.org/officeDocument/2006/customXml" ds:itemID="{2577EEFB-E2E8-4B58-95A8-566630685756}"/>
</file>

<file path=customXml/itemProps3.xml><?xml version="1.0" encoding="utf-8"?>
<ds:datastoreItem xmlns:ds="http://schemas.openxmlformats.org/officeDocument/2006/customXml" ds:itemID="{52A39D6B-E659-4F21-A9AC-FF16236291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StorPile</vt:lpstr>
      <vt:lpstr>Metal_Com</vt:lpstr>
      <vt:lpstr>Metal_Em_Rate</vt:lpstr>
      <vt:lpstr>Metal_Em_Rate!Print_Area</vt:lpstr>
      <vt:lpstr>Metal_Com!Print_Titles</vt:lpstr>
    </vt:vector>
  </TitlesOfParts>
  <Company>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GRAIVER David</dc:creator>
  <cp:lastModifiedBy>Kaitlan Locke</cp:lastModifiedBy>
  <cp:lastPrinted>2021-09-13T21:44:05Z</cp:lastPrinted>
  <dcterms:created xsi:type="dcterms:W3CDTF">2021-06-02T17:27:06Z</dcterms:created>
  <dcterms:modified xsi:type="dcterms:W3CDTF">2021-11-19T00:07:08Z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0x0101002D0D4B9B62E87C4191FB63136FA21716</vt:lpwstr>
  </property>
</Properties>
</file>