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cts\0438.02 Georgia-Pacific\05_Air Toxics Risk Assessment\Draft Documents\_CAO Call-In Emissions Inventory\Attachments\"/>
    </mc:Choice>
  </mc:AlternateContent>
  <xr:revisionPtr revIDLastSave="0" documentId="13_ncr:1_{6D24E9CB-790D-4F42-AC6F-8251A405155D}" xr6:coauthVersionLast="47" xr6:coauthVersionMax="47" xr10:uidLastSave="{00000000-0000-0000-0000-000000000000}"/>
  <bookViews>
    <workbookView xWindow="2625" yWindow="60" windowWidth="20475" windowHeight="15210" xr2:uid="{A12DFF05-2924-4BC3-8A4F-5D92C1607AB8}"/>
  </bookViews>
  <sheets>
    <sheet name="Clarifier" sheetId="1" r:id="rId1"/>
    <sheet name="Thermal" sheetId="2" r:id="rId2"/>
    <sheet name="Load_Level" sheetId="3" r:id="rId3"/>
    <sheet name="Treatment" sheetId="4" r:id="rId4"/>
    <sheet name="Settling" sheetId="5" r:id="rId5"/>
    <sheet name="Diesel_Engines" sheetId="6" r:id="rId6"/>
    <sheet name="Gas_Engine" sheetId="7" r:id="rId7"/>
    <sheet name="Welding_Emissions" sheetId="8" r:id="rId8"/>
    <sheet name="Welding_Risk" sheetId="9" r:id="rId9"/>
  </sheets>
  <externalReferences>
    <externalReference r:id="rId10"/>
    <externalReference r:id="rId11"/>
  </externalReference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amf" hidden="1">#REF!</definedName>
    <definedName name="asdawsfd" hidden="1">#REF!</definedName>
    <definedName name="dfasdf" hidden="1">#REF!</definedName>
    <definedName name="Frequency">'[1]GHG Emission Factors and GWPs'!#REF!</definedName>
    <definedName name="HAPs">'[2]DEQ Pollutant List'!$D$617:$D$625</definedName>
    <definedName name="m" hidden="1">{#N/A,#N/A,FALSE,"Combust 5";#N/A,#N/A,FALSE,"Combust 4";#N/A,#N/A,FALSE,"Combust 2A";#N/A,#N/A,FALSE,"Combust 1";#N/A,#N/A,FALSE,"Combust 3"}</definedName>
    <definedName name="mmmm" hidden="1">{#N/A,#N/A,FALSE,"Emission Calcs";#N/A,#N/A,FALSE,"Equipment Summary";#N/A,#N/A,FALSE,"PRODUCTION SUMMARY "}</definedName>
    <definedName name="portrait" hidden="1">#REF!</definedName>
    <definedName name="_xlnm.Print_Area" localSheetId="0">Clarifier!$A$1:$N$36</definedName>
    <definedName name="_xlnm.Print_Area" localSheetId="5">Diesel_Engines!$A$1:$V$60</definedName>
    <definedName name="_xlnm.Print_Area" localSheetId="6">Gas_Engine!$A$1:$K$41</definedName>
    <definedName name="_xlnm.Print_Area" localSheetId="2">Load_Level!$A$1:$N$36</definedName>
    <definedName name="_xlnm.Print_Area" localSheetId="4">Settling!$A$1:$N$36</definedName>
    <definedName name="_xlnm.Print_Area" localSheetId="1">Thermal!$A$1:$N$36</definedName>
    <definedName name="_xlnm.Print_Area" localSheetId="3">Treatment!$A$1:$N$36</definedName>
    <definedName name="_xlnm.Print_Area" localSheetId="7">Welding_Emissions!$A$1:$H$20</definedName>
    <definedName name="_xlnm.Print_Area" localSheetId="8">Welding_Risk!$A$1:$K$20</definedName>
    <definedName name="_xlnm.Print_Area">#REF!</definedName>
    <definedName name="PRINT_AREA_MI">#REF!</definedName>
    <definedName name="rrrrr" hidden="1">#REF!</definedName>
    <definedName name="sdsa" hidden="1">#REF!</definedName>
    <definedName name="Tier3Fuels">'[1]GHG Emission Factors and GWPs'!#REF!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1C3" hidden="1">#REF!</definedName>
    <definedName name="UNIFORMANCES1R2C3" hidden="1">#REF!</definedName>
    <definedName name="UNIFORMANCES1R3C3" hidden="1">#REF!</definedName>
    <definedName name="UNIFORMANCES2R1C3" hidden="1">#REF!</definedName>
    <definedName name="UNIFORMANCES2R3C3" hidden="1">#REF!</definedName>
    <definedName name="wrn.Bellamy._.Calcs." hidden="1">{#N/A,#N/A,FALSE,"Combust 5";#N/A,#N/A,FALSE,"Combust 4";#N/A,#N/A,FALSE,"Combust 2A";#N/A,#N/A,FALSE,"Combust 1";#N/A,#N/A,FALSE,"Combust 3"}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G6input." hidden="1">{#N/A,#N/A,FALSE,"Emission Calcs";#N/A,#N/A,FALSE,"Equipment Summary";#N/A,#N/A,FALSE,"PRODUCTION SUMMARY 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9" l="1"/>
  <c r="J9" i="9"/>
  <c r="J10" i="9"/>
  <c r="J7" i="9"/>
  <c r="H8" i="9"/>
  <c r="H9" i="9"/>
  <c r="H10" i="9"/>
  <c r="H7" i="9"/>
  <c r="H11" i="9" l="1"/>
  <c r="E15" i="9" l="1"/>
  <c r="B18" i="9"/>
  <c r="G10" i="8"/>
  <c r="G7" i="8"/>
  <c r="G8" i="8"/>
  <c r="G9" i="8"/>
  <c r="G6" i="8"/>
  <c r="J11" i="9" l="1"/>
  <c r="E14" i="8"/>
  <c r="K20" i="6" l="1"/>
  <c r="H22" i="7"/>
  <c r="K22" i="7" s="1"/>
  <c r="H21" i="7"/>
  <c r="K21" i="7" s="1"/>
  <c r="K20" i="7"/>
  <c r="H20" i="7"/>
  <c r="J20" i="7" s="1"/>
  <c r="F19" i="7"/>
  <c r="H19" i="7" s="1"/>
  <c r="J18" i="7"/>
  <c r="H18" i="7"/>
  <c r="K18" i="7" s="1"/>
  <c r="K17" i="7"/>
  <c r="J17" i="7"/>
  <c r="H17" i="7"/>
  <c r="H16" i="7"/>
  <c r="J16" i="7" s="1"/>
  <c r="H15" i="7"/>
  <c r="J15" i="7" s="1"/>
  <c r="H14" i="7"/>
  <c r="J14" i="7" s="1"/>
  <c r="J12" i="7"/>
  <c r="S25" i="6"/>
  <c r="F26" i="6"/>
  <c r="I26" i="6" s="1"/>
  <c r="F25" i="6"/>
  <c r="I25" i="6" s="1"/>
  <c r="N25" i="6" s="1"/>
  <c r="N22" i="6"/>
  <c r="I22" i="6"/>
  <c r="R22" i="6" s="1"/>
  <c r="I21" i="6"/>
  <c r="S21" i="6" s="1"/>
  <c r="I20" i="6"/>
  <c r="N20" i="6" s="1"/>
  <c r="F19" i="6"/>
  <c r="I19" i="6" s="1"/>
  <c r="P18" i="6"/>
  <c r="M18" i="6"/>
  <c r="I18" i="6"/>
  <c r="Q18" i="6" s="1"/>
  <c r="Q17" i="6"/>
  <c r="I17" i="6"/>
  <c r="I16" i="6"/>
  <c r="O16" i="6" s="1"/>
  <c r="I15" i="6"/>
  <c r="S15" i="6" s="1"/>
  <c r="Q14" i="6"/>
  <c r="I14" i="6"/>
  <c r="R14" i="6" s="1"/>
  <c r="S12" i="6"/>
  <c r="Q12" i="6"/>
  <c r="O12" i="6"/>
  <c r="M12" i="6"/>
  <c r="K12" i="6"/>
  <c r="I11" i="5"/>
  <c r="M11" i="5" s="1"/>
  <c r="G11" i="5"/>
  <c r="K11" i="5" s="1"/>
  <c r="G8" i="5"/>
  <c r="K8" i="5" s="1"/>
  <c r="I7" i="5"/>
  <c r="M7" i="5" s="1"/>
  <c r="K9" i="4"/>
  <c r="G9" i="4" s="1"/>
  <c r="I8" i="4"/>
  <c r="M8" i="4" s="1"/>
  <c r="M9" i="3"/>
  <c r="I9" i="3" s="1"/>
  <c r="I10" i="3"/>
  <c r="M10" i="3" s="1"/>
  <c r="G10" i="3"/>
  <c r="K10" i="3" s="1"/>
  <c r="I8" i="3"/>
  <c r="M8" i="3" s="1"/>
  <c r="G8" i="3"/>
  <c r="K8" i="3" s="1"/>
  <c r="G11" i="2"/>
  <c r="K11" i="2" s="1"/>
  <c r="I10" i="2"/>
  <c r="M10" i="2" s="1"/>
  <c r="G10" i="2"/>
  <c r="K10" i="2" s="1"/>
  <c r="I8" i="2"/>
  <c r="M8" i="2" s="1"/>
  <c r="G8" i="2"/>
  <c r="K8" i="2" s="1"/>
  <c r="I7" i="2"/>
  <c r="M7" i="2" s="1"/>
  <c r="G7" i="2"/>
  <c r="K7" i="2" s="1"/>
  <c r="G11" i="1"/>
  <c r="K11" i="1" s="1"/>
  <c r="G10" i="1"/>
  <c r="K10" i="1" s="1"/>
  <c r="I10" i="1"/>
  <c r="M10" i="1" s="1"/>
  <c r="M9" i="1"/>
  <c r="I9" i="1" s="1"/>
  <c r="K9" i="1"/>
  <c r="G9" i="1" s="1"/>
  <c r="I8" i="1"/>
  <c r="M8" i="1" s="1"/>
  <c r="G7" i="1"/>
  <c r="K7" i="1" s="1"/>
  <c r="K14" i="7" l="1"/>
  <c r="J21" i="7"/>
  <c r="K15" i="7"/>
  <c r="J22" i="7"/>
  <c r="K16" i="7"/>
  <c r="N18" i="6"/>
  <c r="O22" i="6"/>
  <c r="R16" i="6"/>
  <c r="S18" i="6"/>
  <c r="U16" i="6"/>
  <c r="P14" i="6"/>
  <c r="U19" i="6"/>
  <c r="M19" i="6"/>
  <c r="N14" i="6"/>
  <c r="Q16" i="6"/>
  <c r="R18" i="6"/>
  <c r="Q20" i="6"/>
  <c r="P22" i="6"/>
  <c r="K16" i="6"/>
  <c r="U18" i="6"/>
  <c r="K21" i="6"/>
  <c r="K14" i="6"/>
  <c r="M16" i="6"/>
  <c r="K18" i="6"/>
  <c r="Q21" i="6"/>
  <c r="M14" i="6"/>
  <c r="N16" i="6"/>
  <c r="L18" i="6"/>
  <c r="K9" i="3"/>
  <c r="G9" i="3" s="1"/>
  <c r="I7" i="4"/>
  <c r="M7" i="4" s="1"/>
  <c r="G7" i="4"/>
  <c r="K7" i="4" s="1"/>
  <c r="I7" i="3"/>
  <c r="M7" i="3" s="1"/>
  <c r="G7" i="3"/>
  <c r="K7" i="3" s="1"/>
  <c r="M13" i="2"/>
  <c r="G11" i="4"/>
  <c r="K11" i="4" s="1"/>
  <c r="I11" i="4"/>
  <c r="M11" i="4" s="1"/>
  <c r="K9" i="2"/>
  <c r="G9" i="2" s="1"/>
  <c r="M9" i="2"/>
  <c r="I9" i="2" s="1"/>
  <c r="I11" i="3"/>
  <c r="M11" i="3" s="1"/>
  <c r="G11" i="3"/>
  <c r="K11" i="3" s="1"/>
  <c r="I11" i="1"/>
  <c r="M11" i="1" s="1"/>
  <c r="G10" i="4"/>
  <c r="K10" i="4" s="1"/>
  <c r="I10" i="4"/>
  <c r="M10" i="4" s="1"/>
  <c r="R15" i="6"/>
  <c r="I7" i="1"/>
  <c r="M7" i="1" s="1"/>
  <c r="M13" i="1" s="1"/>
  <c r="K13" i="1"/>
  <c r="K13" i="2"/>
  <c r="G10" i="5"/>
  <c r="K10" i="5" s="1"/>
  <c r="I10" i="5"/>
  <c r="M10" i="5" s="1"/>
  <c r="M9" i="4"/>
  <c r="I9" i="4" s="1"/>
  <c r="R17" i="6"/>
  <c r="N17" i="6"/>
  <c r="L17" i="6"/>
  <c r="K17" i="6"/>
  <c r="U17" i="6"/>
  <c r="S17" i="6"/>
  <c r="P17" i="6"/>
  <c r="O17" i="6"/>
  <c r="M17" i="6"/>
  <c r="O26" i="6"/>
  <c r="N26" i="6"/>
  <c r="N24" i="6" s="1"/>
  <c r="U26" i="6"/>
  <c r="M26" i="6"/>
  <c r="R26" i="6"/>
  <c r="Q26" i="6"/>
  <c r="P26" i="6"/>
  <c r="S26" i="6"/>
  <c r="L26" i="6"/>
  <c r="K26" i="6"/>
  <c r="G8" i="1"/>
  <c r="K8" i="1" s="1"/>
  <c r="K12" i="1" s="1"/>
  <c r="I8" i="5"/>
  <c r="M8" i="5" s="1"/>
  <c r="M13" i="5" s="1"/>
  <c r="U15" i="6"/>
  <c r="M15" i="6"/>
  <c r="M28" i="6" s="1"/>
  <c r="N15" i="6"/>
  <c r="N28" i="6" s="1"/>
  <c r="K15" i="6"/>
  <c r="Q15" i="6"/>
  <c r="P15" i="6"/>
  <c r="O15" i="6"/>
  <c r="G8" i="4"/>
  <c r="K8" i="4" s="1"/>
  <c r="K13" i="4" s="1"/>
  <c r="G7" i="5"/>
  <c r="K7" i="5" s="1"/>
  <c r="M9" i="5"/>
  <c r="I9" i="5" s="1"/>
  <c r="K9" i="5"/>
  <c r="G9" i="5" s="1"/>
  <c r="I11" i="2"/>
  <c r="M11" i="2" s="1"/>
  <c r="L15" i="6"/>
  <c r="S14" i="6"/>
  <c r="Q19" i="6"/>
  <c r="L20" i="6"/>
  <c r="S20" i="6"/>
  <c r="R20" i="6"/>
  <c r="O20" i="6"/>
  <c r="U20" i="6"/>
  <c r="M20" i="6"/>
  <c r="O21" i="6"/>
  <c r="N21" i="6"/>
  <c r="U21" i="6"/>
  <c r="M21" i="6"/>
  <c r="R21" i="6"/>
  <c r="P21" i="6"/>
  <c r="K19" i="7"/>
  <c r="J19" i="7"/>
  <c r="S19" i="6"/>
  <c r="U25" i="6"/>
  <c r="J23" i="7"/>
  <c r="L14" i="6"/>
  <c r="U14" i="6"/>
  <c r="P20" i="6"/>
  <c r="L21" i="6"/>
  <c r="P19" i="6"/>
  <c r="O19" i="6"/>
  <c r="L19" i="6"/>
  <c r="R19" i="6"/>
  <c r="O14" i="6"/>
  <c r="P16" i="6"/>
  <c r="L16" i="6"/>
  <c r="S16" i="6"/>
  <c r="K19" i="6"/>
  <c r="Q25" i="6"/>
  <c r="Q24" i="6" s="1"/>
  <c r="P25" i="6"/>
  <c r="O25" i="6"/>
  <c r="L25" i="6"/>
  <c r="K25" i="6"/>
  <c r="R25" i="6"/>
  <c r="N19" i="6"/>
  <c r="M25" i="6"/>
  <c r="M24" i="6" s="1"/>
  <c r="S24" i="6"/>
  <c r="J24" i="7"/>
  <c r="O18" i="6"/>
  <c r="K22" i="6"/>
  <c r="S22" i="6"/>
  <c r="L22" i="6"/>
  <c r="M22" i="6"/>
  <c r="U22" i="6"/>
  <c r="Q22" i="6"/>
  <c r="K23" i="7" l="1"/>
  <c r="W19" i="6"/>
  <c r="X15" i="6"/>
  <c r="W16" i="6"/>
  <c r="W14" i="6"/>
  <c r="W21" i="6"/>
  <c r="W20" i="6"/>
  <c r="W18" i="6"/>
  <c r="X18" i="6"/>
  <c r="X19" i="6"/>
  <c r="U24" i="6"/>
  <c r="U27" i="6" s="1"/>
  <c r="W17" i="6"/>
  <c r="M27" i="6"/>
  <c r="Q27" i="6"/>
  <c r="X22" i="6"/>
  <c r="X16" i="6"/>
  <c r="W26" i="6"/>
  <c r="X26" i="6"/>
  <c r="M13" i="4"/>
  <c r="M12" i="2"/>
  <c r="N9" i="2"/>
  <c r="L9" i="2"/>
  <c r="V26" i="6"/>
  <c r="T26" i="6"/>
  <c r="N9" i="5"/>
  <c r="L9" i="5"/>
  <c r="N9" i="1"/>
  <c r="L9" i="1"/>
  <c r="J9" i="2"/>
  <c r="V25" i="6"/>
  <c r="J9" i="5"/>
  <c r="J9" i="1"/>
  <c r="H9" i="2"/>
  <c r="T25" i="6"/>
  <c r="N9" i="3"/>
  <c r="N9" i="4"/>
  <c r="L9" i="4"/>
  <c r="H9" i="5"/>
  <c r="H9" i="1"/>
  <c r="N10" i="2"/>
  <c r="N8" i="2"/>
  <c r="N11" i="2"/>
  <c r="N7" i="2"/>
  <c r="J26" i="6"/>
  <c r="L9" i="3"/>
  <c r="J9" i="3"/>
  <c r="J9" i="4"/>
  <c r="N11" i="5"/>
  <c r="N7" i="5"/>
  <c r="N10" i="5"/>
  <c r="N8" i="5"/>
  <c r="N8" i="1"/>
  <c r="N11" i="1"/>
  <c r="N10" i="1"/>
  <c r="N7" i="1"/>
  <c r="L11" i="2"/>
  <c r="L8" i="2"/>
  <c r="L10" i="2"/>
  <c r="L7" i="2"/>
  <c r="J22" i="6"/>
  <c r="J17" i="6"/>
  <c r="J14" i="6"/>
  <c r="J20" i="6"/>
  <c r="J21" i="6"/>
  <c r="J25" i="6"/>
  <c r="J19" i="6"/>
  <c r="J18" i="6"/>
  <c r="J15" i="6"/>
  <c r="J16" i="6"/>
  <c r="H9" i="3"/>
  <c r="N7" i="3"/>
  <c r="N11" i="3"/>
  <c r="N10" i="3"/>
  <c r="N8" i="3"/>
  <c r="H9" i="4"/>
  <c r="L11" i="5"/>
  <c r="L8" i="5"/>
  <c r="L7" i="5"/>
  <c r="L10" i="5"/>
  <c r="J10" i="5"/>
  <c r="J8" i="5"/>
  <c r="J7" i="5"/>
  <c r="J11" i="5"/>
  <c r="L10" i="1"/>
  <c r="L11" i="1"/>
  <c r="L8" i="1"/>
  <c r="L7" i="1"/>
  <c r="J11" i="1"/>
  <c r="J7" i="1"/>
  <c r="J8" i="1"/>
  <c r="J10" i="1"/>
  <c r="J7" i="2"/>
  <c r="J11" i="2"/>
  <c r="J10" i="2"/>
  <c r="J8" i="2"/>
  <c r="N10" i="4"/>
  <c r="N7" i="4"/>
  <c r="N8" i="4"/>
  <c r="N11" i="4"/>
  <c r="V21" i="6"/>
  <c r="V17" i="6"/>
  <c r="V16" i="6"/>
  <c r="V22" i="6"/>
  <c r="V20" i="6"/>
  <c r="V18" i="6"/>
  <c r="V19" i="6"/>
  <c r="V15" i="6"/>
  <c r="V14" i="6"/>
  <c r="L11" i="3"/>
  <c r="L8" i="3"/>
  <c r="L10" i="3"/>
  <c r="L7" i="3"/>
  <c r="J10" i="3"/>
  <c r="J11" i="3"/>
  <c r="J8" i="3"/>
  <c r="J7" i="3"/>
  <c r="L11" i="4"/>
  <c r="L10" i="4"/>
  <c r="L7" i="4"/>
  <c r="L8" i="4"/>
  <c r="H7" i="5"/>
  <c r="H11" i="5"/>
  <c r="H10" i="5"/>
  <c r="H8" i="5"/>
  <c r="H8" i="1"/>
  <c r="H11" i="1"/>
  <c r="H7" i="1"/>
  <c r="H10" i="1"/>
  <c r="H10" i="2"/>
  <c r="H8" i="2"/>
  <c r="H11" i="2"/>
  <c r="H7" i="2"/>
  <c r="J7" i="4"/>
  <c r="J11" i="4"/>
  <c r="J10" i="4"/>
  <c r="J8" i="4"/>
  <c r="T20" i="6"/>
  <c r="T18" i="6"/>
  <c r="T19" i="6"/>
  <c r="T16" i="6"/>
  <c r="T22" i="6"/>
  <c r="T17" i="6"/>
  <c r="T21" i="6"/>
  <c r="T15" i="6"/>
  <c r="T14" i="6"/>
  <c r="H7" i="3"/>
  <c r="H11" i="3"/>
  <c r="H8" i="3"/>
  <c r="H10" i="3"/>
  <c r="H7" i="4"/>
  <c r="H8" i="4"/>
  <c r="H11" i="4"/>
  <c r="H10" i="4"/>
  <c r="P28" i="6"/>
  <c r="K12" i="3"/>
  <c r="K13" i="3"/>
  <c r="O24" i="6"/>
  <c r="O28" i="6" s="1"/>
  <c r="X20" i="6"/>
  <c r="X21" i="6"/>
  <c r="K12" i="5"/>
  <c r="M12" i="5"/>
  <c r="W22" i="6"/>
  <c r="N27" i="6"/>
  <c r="K24" i="7"/>
  <c r="R24" i="6"/>
  <c r="R27" i="6" s="1"/>
  <c r="P24" i="6"/>
  <c r="P27" i="6" s="1"/>
  <c r="S27" i="6"/>
  <c r="K12" i="4"/>
  <c r="K12" i="2"/>
  <c r="M12" i="4"/>
  <c r="W25" i="6"/>
  <c r="K24" i="6"/>
  <c r="X14" i="6"/>
  <c r="W15" i="6"/>
  <c r="X17" i="6"/>
  <c r="S28" i="6"/>
  <c r="Q28" i="6"/>
  <c r="U28" i="6"/>
  <c r="X25" i="6"/>
  <c r="L24" i="6"/>
  <c r="M12" i="1"/>
  <c r="K13" i="5"/>
  <c r="M12" i="3"/>
  <c r="M13" i="3"/>
  <c r="W28" i="6" l="1"/>
  <c r="W24" i="6"/>
  <c r="W27" i="6"/>
  <c r="H26" i="6"/>
  <c r="E44" i="6"/>
  <c r="H25" i="6"/>
  <c r="D27" i="1"/>
  <c r="D30" i="1"/>
  <c r="H19" i="6"/>
  <c r="D29" i="1"/>
  <c r="D26" i="1"/>
  <c r="D30" i="3"/>
  <c r="D27" i="3"/>
  <c r="E40" i="6"/>
  <c r="H16" i="6"/>
  <c r="H22" i="6"/>
  <c r="H21" i="6"/>
  <c r="H20" i="6"/>
  <c r="H14" i="6"/>
  <c r="H17" i="6"/>
  <c r="H15" i="6"/>
  <c r="H18" i="6"/>
  <c r="G19" i="7"/>
  <c r="D19" i="1"/>
  <c r="D30" i="5"/>
  <c r="D27" i="5"/>
  <c r="D29" i="5"/>
  <c r="D26" i="5"/>
  <c r="D30" i="4"/>
  <c r="D27" i="4"/>
  <c r="D26" i="4"/>
  <c r="D29" i="4"/>
  <c r="D29" i="3"/>
  <c r="D26" i="3"/>
  <c r="D30" i="2"/>
  <c r="D27" i="2"/>
  <c r="D26" i="2"/>
  <c r="D29" i="2"/>
  <c r="G16" i="7"/>
  <c r="G15" i="7"/>
  <c r="G14" i="7"/>
  <c r="G22" i="7"/>
  <c r="G21" i="7"/>
  <c r="G20" i="7"/>
  <c r="G18" i="7"/>
  <c r="G17" i="7"/>
  <c r="E51" i="6"/>
  <c r="E48" i="6"/>
  <c r="E47" i="6"/>
  <c r="E43" i="6"/>
  <c r="J7" i="6"/>
  <c r="E50" i="6"/>
  <c r="J8" i="6"/>
  <c r="J9" i="6"/>
  <c r="E33" i="7"/>
  <c r="D19" i="2"/>
  <c r="D19" i="5"/>
  <c r="D19" i="4"/>
  <c r="D19" i="3"/>
  <c r="I8" i="7"/>
  <c r="I7" i="7"/>
  <c r="I9" i="7"/>
  <c r="X24" i="6"/>
  <c r="X28" i="6" s="1"/>
  <c r="R28" i="6"/>
  <c r="O27" i="6"/>
  <c r="K27" i="6"/>
  <c r="L27" i="6"/>
  <c r="K28" i="6"/>
  <c r="L28" i="6"/>
  <c r="X27" i="6" l="1"/>
</calcChain>
</file>

<file path=xl/sharedStrings.xml><?xml version="1.0" encoding="utf-8"?>
<sst xmlns="http://schemas.openxmlformats.org/spreadsheetml/2006/main" count="597" uniqueCount="182">
  <si>
    <t>Table 1</t>
  </si>
  <si>
    <t>Clarifier WWTP (EU129A) Toxic Air Contaminant Emissions Estimate</t>
  </si>
  <si>
    <t>Georgia Pacific ― Toledo, Oregon</t>
  </si>
  <si>
    <t>Toxic Air Contaminant</t>
  </si>
  <si>
    <t>CAS</t>
  </si>
  <si>
    <t>HAP?
(Yes/No)</t>
  </si>
  <si>
    <t>RBC?
(Yes/No)</t>
  </si>
  <si>
    <r>
      <t xml:space="preserve">Modeled Emission 
Rate </t>
    </r>
    <r>
      <rPr>
        <b/>
        <vertAlign val="superscript"/>
        <sz val="8.1"/>
        <color theme="1"/>
        <rFont val="Century Gothic"/>
        <family val="2"/>
      </rPr>
      <t>(1)</t>
    </r>
    <r>
      <rPr>
        <b/>
        <sz val="9"/>
        <color theme="1"/>
        <rFont val="Century Gothic"/>
        <family val="2"/>
      </rPr>
      <t xml:space="preserve">
(g/s)</t>
    </r>
  </si>
  <si>
    <t>Emission Factor</t>
  </si>
  <si>
    <t>Emissions Estimate</t>
  </si>
  <si>
    <t>Short-Term
(lb/hr)</t>
  </si>
  <si>
    <t>Long-Term
(lb/hr)</t>
  </si>
  <si>
    <t>Daily
(lb/day)</t>
  </si>
  <si>
    <t>Annual
(lb/yr)</t>
  </si>
  <si>
    <t>Acetaldehyde</t>
  </si>
  <si>
    <t>Formaldehyde</t>
  </si>
  <si>
    <t>Hydrogen sulfide</t>
  </si>
  <si>
    <t>--</t>
  </si>
  <si>
    <t>Methanol</t>
  </si>
  <si>
    <t>2-Butanone (Methyl ethyl ketone)</t>
  </si>
  <si>
    <t>Total TAC Emissions Estimate</t>
  </si>
  <si>
    <t>Total RBC Emissions Estimate</t>
  </si>
  <si>
    <t>NOTES:</t>
  </si>
  <si>
    <t>HAP = Hazardous Air Pollutant.</t>
  </si>
  <si>
    <t>RBC = Risk Based Concentration.</t>
  </si>
  <si>
    <t>TAC = Toxic Air Contaminant.</t>
  </si>
  <si>
    <t>Short-term emission factor (lb/hr) = (modeled emission rate [g/s]) x (short term multiplier) / (453.592 g/lb) x (3,600 s/hr)</t>
  </si>
  <si>
    <t>Short term multiplier =</t>
  </si>
  <si>
    <t>Long-term emission factor (lb/hr) = (modeled emission rate [g/s]) / (453.592 g/lb) x (3,600 s/hr)</t>
  </si>
  <si>
    <t>Daily emissions estimate (lb/day) = (short-term emission factor [lb/hr]) x (24 hrs/day)</t>
  </si>
  <si>
    <t>Annual emissions estimate (lb/yr) = (long-term emission factor [lb/hr]) x (8,760 hr/yr)</t>
  </si>
  <si>
    <t>Short-term emission factor (lb/hr) = (daily emissions estimate emission rate [lb/day]) / (24 hrs/day)</t>
  </si>
  <si>
    <t>Long-term emission factor (lb/hr) = (annual emissions estimate emission rate [lb/yr]) / (8.760 hrs/yr)</t>
  </si>
  <si>
    <t>Daily emissions estimate (lb/day) = (NCASI WWTP daily emissions estimate [lb/day]) x (clarifier percentage of WWTP emissions [%] /100)</t>
  </si>
  <si>
    <t>NCASI WWTP daily emissions estimate (lb/day) =</t>
  </si>
  <si>
    <t>Clarifier percentage of WWTP emissions (%) =</t>
  </si>
  <si>
    <t>Annual emissions estimate (lb/yr) = (NCASI WWTP annual emissions estimate [lb/yr]) x (clarifier percentage of WWTP emissions [%] / 100)</t>
  </si>
  <si>
    <t>NCASI WWTP annual emissions estimate (lb/yr) =</t>
  </si>
  <si>
    <t>REFERENCES:</t>
  </si>
  <si>
    <t>Emission rate provided by NCASI based on water analysis and WATER 9 model. Water analysis results that were non-detect are included at 1/2 the detection level.</t>
  </si>
  <si>
    <t>EPA multiplier for short-term (i.e. daily) emission rates used in NESHAP Subparts S and MM Residual Risk and Technology Review. See RTI memorandum dated November 11, 2011.</t>
  </si>
  <si>
    <t>Emission rate provided by NCASI based on ambient monitoring data.</t>
  </si>
  <si>
    <t>Clarifier percentage of total system emissions based on previous modeling analyses performed by NCASI and Georgia Pacific. Daily emissions include the short term multiplier.</t>
  </si>
  <si>
    <t>Table 2</t>
  </si>
  <si>
    <t>Thermal Ponds WWTP (EU129B) Toxic Air Contaminant Emissions Estimate</t>
  </si>
  <si>
    <r>
      <t xml:space="preserve">Modeled Emission 
Rate </t>
    </r>
    <r>
      <rPr>
        <b/>
        <vertAlign val="superscript"/>
        <sz val="8.1"/>
        <color theme="1"/>
        <rFont val="Century Gothic"/>
        <family val="2"/>
      </rPr>
      <t>(2)</t>
    </r>
    <r>
      <rPr>
        <b/>
        <sz val="9"/>
        <color theme="1"/>
        <rFont val="Century Gothic"/>
        <family val="2"/>
      </rPr>
      <t xml:space="preserve">
(g/s)</t>
    </r>
  </si>
  <si>
    <t>Daily emissions estimate (lb/day) = (NCASI WWTP daily emissions estimate [lb/day]) x (thermal ponds percentage of WWTP emissions [%] /100)</t>
  </si>
  <si>
    <t>Thermal ponds percentage of WWTP emissions (%) =</t>
  </si>
  <si>
    <t>Annual emissions estimate (lb/yr) = (NCASI WWTP annual emissions estimate [lb/yr]) x (thermal ponds percentage of WWTP emissions [%] / 100)</t>
  </si>
  <si>
    <t>Thermal ponds percentage of total system emissions based on previous modeling analyses performed by NCASI and Georgia Pacific. Daily emissions include the short term multiplier.</t>
  </si>
  <si>
    <t>Table 3</t>
  </si>
  <si>
    <t>Load Leveling Lagoon WWTP (EU129C) Toxic Air Contaminant Emissions Estimate</t>
  </si>
  <si>
    <t>Daily emissions estimate (lb/day) = (NCASI WWTP daily emissions estimate [lb/day]) x (load level lagoon percentage of WWTP emissions [%] /100)</t>
  </si>
  <si>
    <t>Load level lagoon percentage of WWTP emissions (%) =</t>
  </si>
  <si>
    <t>Annual emissions estimate (lb/yr) = (NCASI WWTP annual emissions estimate [lb/yr]) x (load level lagoon percentage of WWTP emissions [%] / 100)</t>
  </si>
  <si>
    <t>Load level lagoon percentage of total system emissions based on previous modeling analyses performed by NCASI and Georgia Pacific. Daily emissions include the short term multiplier.</t>
  </si>
  <si>
    <t>Table 4</t>
  </si>
  <si>
    <t>Treatment Pond WWTP (EU129D) Toxic Air Contaminant Emissions Estimate</t>
  </si>
  <si>
    <t>Daily emissions estimate (lb/day) = (NCASI WWTP daily emissions estimate [lb/day]) x (treatment ponds percentage of WWTP emissions [%] /100)</t>
  </si>
  <si>
    <t>Treatment ponds percentage of WWTP emissions (%) =</t>
  </si>
  <si>
    <t>Annual emissions estimate (lb/yr) = (NCASI WWTP annual emissions estimate [lb/yr]) x (treatment ponds percentage of WWTP emissions [%] / 100)</t>
  </si>
  <si>
    <t>Treatment ponds percentage of total system emissions based on previous modeling analyses performed by NCASI and Georgia Pacific. Daily emissions include the short term multiplier.</t>
  </si>
  <si>
    <t>Table 5</t>
  </si>
  <si>
    <t>Settling Pond WWTP (EU129E) Toxic Air Contaminant Emissions Estimate</t>
  </si>
  <si>
    <t>Daily emissions estimate (lb/day) = (NCASI WWTP daily emissions estimate [lb/day]) x (settling pond percentage of WWTP emissions [%] /100)</t>
  </si>
  <si>
    <t>Settling pond percentage of WWTP emissions (%) =</t>
  </si>
  <si>
    <t>Annual emissions estimate (lb/yr) = (NCASI WWTP annual emissions estimate [lb/yr]) x (settling pond percentage of WWTP emissions [%] / 100)</t>
  </si>
  <si>
    <t>Settling pond percentage of total system emissions based on previous modeling analyses performed by NCASI and Georgia Pacific. Daily emissions include the short term multiplier.</t>
  </si>
  <si>
    <t>Table 6</t>
  </si>
  <si>
    <t>Emergency Diesel Engines Toxic Air Contaminant Emissions Estimate</t>
  </si>
  <si>
    <t>Parameter</t>
  </si>
  <si>
    <t>EU134</t>
  </si>
  <si>
    <t>EU135</t>
  </si>
  <si>
    <t>EU136</t>
  </si>
  <si>
    <t>EU137</t>
  </si>
  <si>
    <t>EU145</t>
  </si>
  <si>
    <t>Emission Unit Description</t>
  </si>
  <si>
    <t>No. 2 Fire Pump</t>
  </si>
  <si>
    <t>Fire Pump NW of Boiler No. 4</t>
  </si>
  <si>
    <t>Turbine Generator</t>
  </si>
  <si>
    <t>Outfall 003 Standby Engine</t>
  </si>
  <si>
    <t>Juno Emergency Generator</t>
  </si>
  <si>
    <t>Engine Size</t>
  </si>
  <si>
    <t>Maximum Daily Operating Hours</t>
  </si>
  <si>
    <t>Annual Operating Hours</t>
  </si>
  <si>
    <t>Emission Factors</t>
  </si>
  <si>
    <t>Emissions Estimates</t>
  </si>
  <si>
    <t>Total</t>
  </si>
  <si>
    <t>(units)</t>
  </si>
  <si>
    <t>(lb/hp-hr)</t>
  </si>
  <si>
    <r>
      <t xml:space="preserve">Daily </t>
    </r>
    <r>
      <rPr>
        <b/>
        <vertAlign val="superscript"/>
        <sz val="8.1"/>
        <rFont val="Century Gothic"/>
        <family val="2"/>
      </rPr>
      <t>(a)</t>
    </r>
    <r>
      <rPr>
        <b/>
        <sz val="9"/>
        <rFont val="Century Gothic"/>
        <family val="2"/>
      </rPr>
      <t xml:space="preserve">
(lb/day)</t>
    </r>
  </si>
  <si>
    <r>
      <t xml:space="preserve">Annual </t>
    </r>
    <r>
      <rPr>
        <b/>
        <vertAlign val="superscript"/>
        <sz val="8.1"/>
        <rFont val="Century Gothic"/>
        <family val="2"/>
      </rPr>
      <t>(b)</t>
    </r>
    <r>
      <rPr>
        <b/>
        <sz val="9"/>
        <rFont val="Century Gothic"/>
        <family val="2"/>
      </rPr>
      <t xml:space="preserve">
(lb/yr)</t>
    </r>
  </si>
  <si>
    <t>(lb/MMBtu)</t>
  </si>
  <si>
    <t>Benzene</t>
  </si>
  <si>
    <t>Benzo(a)pyrene</t>
  </si>
  <si>
    <t>Naphthalene</t>
  </si>
  <si>
    <t>Polycyclic aromatic hydrocarbons (PAHs)</t>
  </si>
  <si>
    <t>Propylene</t>
  </si>
  <si>
    <t>Toluene</t>
  </si>
  <si>
    <t>Xylene (mixture), including m-xylene, o-xylene, p-xylene</t>
  </si>
  <si>
    <t>DIESEL PARTICULATE MATTER (DPM)</t>
  </si>
  <si>
    <t>Total DPM</t>
  </si>
  <si>
    <t>DPM from Normal Operation</t>
  </si>
  <si>
    <t>DPM from Cold Start</t>
  </si>
  <si>
    <t>(g/kW-hr)</t>
  </si>
  <si>
    <t>Btu = British thermal units.</t>
  </si>
  <si>
    <t>hp = horsepower.</t>
  </si>
  <si>
    <t>kW = kilowatts.</t>
  </si>
  <si>
    <t>MMBtu = million British thermal units.</t>
  </si>
  <si>
    <t>Daily emissions estimate (lb/day) = (emission factor [lb/hp-hr]) x (engine size [hp]) x (maximum daily operating hours [hrs/day])</t>
  </si>
  <si>
    <t>Annual emissions estimate (lb/yr) = (emission factor [lb/hp-hr]) x (engine size [hp]) x (annual operating hours [hrs/yr])</t>
  </si>
  <si>
    <t>Emission factor (lb/hp-hr) = (emission factor [lb/MMBtu]) / (brake-specific fuel consumption [Btu/hp-hr]) / (1,000,000 Btu/MMBtu)</t>
  </si>
  <si>
    <t>Brake-specific fuel consumption (Btu/hp-hr) =</t>
  </si>
  <si>
    <t>Emission factor (lb/hp-hr) = (emission factor [g/kW-hr]) / (453.592 g/lb) / (1.341 hp/kW)</t>
  </si>
  <si>
    <t>Daily emissions estimate (lb/day) = ([engine certification filterable PM emission factor {lb/hp-hr}] + [condensable PM emission factor {lb/hp-hr}]) x (engine size [hp]) x (maximum daily operating hours [hrs/day])</t>
  </si>
  <si>
    <t>Engine certification filterable PM emission factor (lb/hp-hr) =</t>
  </si>
  <si>
    <t>Condensable PM emission factor (lb/hp-hr) =</t>
  </si>
  <si>
    <t>Annual emissions estimate (lb/yr) = ([engine certification filterable PM emission factor {lb/hp-hr}] + [condensable PM emission factor {lb/hp-hr}]) x (engine size [hp]) x (annual operating hours [hrs/yr])</t>
  </si>
  <si>
    <t>Daily emissions estimate (lb/day) = (emission factor [lb/hp-hr]) x (engine size [hp]) x (cold start duration [min/cold start]) / (60 min/hr) x (daily number of cold starts [cold starts/day])</t>
  </si>
  <si>
    <t>Cold start duration (min/cold start) =</t>
  </si>
  <si>
    <t>Daily number of cold starts (cold starts/day) =</t>
  </si>
  <si>
    <t>Annual emissions estimate (tons/yr) = (emission factor [lb/hp-hr]) x (engine size [hp]) x (cold start duration [min/cold start]) / (60 min/hr) x (annual number of cold starts [cold starts/yr])</t>
  </si>
  <si>
    <t>Annual number of cold starts (cold starts/yr) =</t>
  </si>
  <si>
    <t>Information provided by Georgia Pacific.</t>
  </si>
  <si>
    <t xml:space="preserve">AP-42 Chapter 3.3 (October 1996), Table 3.3-2. </t>
  </si>
  <si>
    <t xml:space="preserve">Brake-specific fuel consumption from footnote a in AP-42 Chapter 3.3 (October 1996), Table 3.3-1. </t>
  </si>
  <si>
    <t>AP-42 Chapter 3.3 (October 1996), Table 3.3-2. Total PAH emission factor excludes naphthalene because risk is assessed separately for naphthalene.</t>
  </si>
  <si>
    <t>Filterable particlulate emission factor from AP-42 Chapter 3.3 (October 1996), Table 3.3-1 plus condensable particulate emission factor from AP-42 Chapter 3.4 (October 1996), Table 3.4-2.</t>
  </si>
  <si>
    <t xml:space="preserve">AP-42 Chapter 3.4 (October 1996), Table 3.4-2. </t>
  </si>
  <si>
    <t>USEPA Nonroad Compression-Ignition Engines: Exhaust Emission Standards (EPA-420-B-16-022) dated March 2016. Assumes Tier 1 PM emission factor plus Tier 1 emission factor for NMHC is representative of DPM during uncontrolled cold start period.</t>
  </si>
  <si>
    <t>Table 7</t>
  </si>
  <si>
    <t>Non-Exempt Gasoline Engine Toxic Air Contaminant Emissions Estimate</t>
  </si>
  <si>
    <t>EU141</t>
  </si>
  <si>
    <t>No. 2 Mud Tank Agitator Auxiliary Drive</t>
  </si>
  <si>
    <r>
      <t xml:space="preserve">(lb/hp-hr) </t>
    </r>
    <r>
      <rPr>
        <b/>
        <vertAlign val="superscript"/>
        <sz val="7.2"/>
        <rFont val="Century Gothic"/>
        <family val="2"/>
      </rPr>
      <t>(a)</t>
    </r>
  </si>
  <si>
    <r>
      <t xml:space="preserve">Daily </t>
    </r>
    <r>
      <rPr>
        <b/>
        <vertAlign val="superscript"/>
        <sz val="8.1"/>
        <rFont val="Century Gothic"/>
        <family val="2"/>
      </rPr>
      <t>(b)</t>
    </r>
    <r>
      <rPr>
        <b/>
        <sz val="9"/>
        <rFont val="Century Gothic"/>
        <family val="2"/>
      </rPr>
      <t xml:space="preserve">
(lb/day)</t>
    </r>
  </si>
  <si>
    <r>
      <t xml:space="preserve">Annual </t>
    </r>
    <r>
      <rPr>
        <b/>
        <vertAlign val="superscript"/>
        <sz val="8.1"/>
        <rFont val="Century Gothic"/>
        <family val="2"/>
      </rPr>
      <t>(c)</t>
    </r>
    <r>
      <rPr>
        <b/>
        <sz val="9"/>
        <rFont val="Century Gothic"/>
        <family val="2"/>
      </rPr>
      <t xml:space="preserve">
(lb/yr)</t>
    </r>
  </si>
  <si>
    <t>(a)</t>
  </si>
  <si>
    <t>(b)</t>
  </si>
  <si>
    <t>(c)</t>
  </si>
  <si>
    <t>(d)</t>
  </si>
  <si>
    <t>(e)</t>
  </si>
  <si>
    <t>(f)</t>
  </si>
  <si>
    <t>(g)</t>
  </si>
  <si>
    <t>(h)</t>
  </si>
  <si>
    <t>(1)</t>
  </si>
  <si>
    <t>(2)</t>
  </si>
  <si>
    <t>(3)</t>
  </si>
  <si>
    <t>(4)</t>
  </si>
  <si>
    <t>Yes</t>
  </si>
  <si>
    <t>No</t>
  </si>
  <si>
    <t>(5)</t>
  </si>
  <si>
    <t>(6)</t>
  </si>
  <si>
    <t>(7)</t>
  </si>
  <si>
    <t>Table 8</t>
  </si>
  <si>
    <t>Welding Emissions for Electrodes Exceeding the Reporting Threshold</t>
  </si>
  <si>
    <t>Mlb = thousand pounds.</t>
  </si>
  <si>
    <t>Product</t>
  </si>
  <si>
    <r>
      <t xml:space="preserve">Emission Factor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(lb/Mlb electrode consumed)</t>
    </r>
  </si>
  <si>
    <r>
      <t xml:space="preserve">Annual Emissions Estimate </t>
    </r>
    <r>
      <rPr>
        <b/>
        <vertAlign val="superscript"/>
        <sz val="9"/>
        <rFont val="Century Gothic"/>
        <family val="2"/>
      </rPr>
      <t xml:space="preserve">(a)
</t>
    </r>
    <r>
      <rPr>
        <b/>
        <sz val="9"/>
        <rFont val="Century Gothic"/>
        <family val="2"/>
      </rPr>
      <t>(lb/yr)</t>
    </r>
  </si>
  <si>
    <t>Chromium (nonhexavalent)</t>
  </si>
  <si>
    <t>Cobalt and compounds</t>
  </si>
  <si>
    <t>Manganese and compounds</t>
  </si>
  <si>
    <t>Nickel compounds, insoluble</t>
  </si>
  <si>
    <t>SMAW E7018</t>
  </si>
  <si>
    <t>Annual E7018 electrode usage (lb/yr) =</t>
  </si>
  <si>
    <t>Annual emissions estimate (lb/yr) = (emission factor [lb/Mlb])  x (annual electrode usage [lb/yr]) / (1,000 lb/Mlb)</t>
  </si>
  <si>
    <t xml:space="preserve">2020 Air Toxics Emissions Inventory Welding Emission Factor Search Tool provided by the Oregon Department of </t>
  </si>
  <si>
    <t>Environmental Quality.</t>
  </si>
  <si>
    <t>Table 9</t>
  </si>
  <si>
    <t>Level 1 Risk Assessment for Welding Electrodes Exceeding the Reporting Threshold</t>
  </si>
  <si>
    <r>
      <t xml:space="preserve">Annual Emissions Estimate </t>
    </r>
    <r>
      <rPr>
        <b/>
        <vertAlign val="superscript"/>
        <sz val="9"/>
        <rFont val="Century Gothic"/>
        <family val="2"/>
      </rPr>
      <t xml:space="preserve">(1)
</t>
    </r>
    <r>
      <rPr>
        <b/>
        <sz val="9"/>
        <rFont val="Century Gothic"/>
        <family val="2"/>
      </rPr>
      <t>(lb/yr)</t>
    </r>
  </si>
  <si>
    <t>Total Risk Estimate</t>
  </si>
  <si>
    <t>Cancer</t>
  </si>
  <si>
    <t>Chronic Noncancer</t>
  </si>
  <si>
    <t>OAR 340-245-8010 Table 2. The most restictive value for residential, worker and child exposure is conservatively used.</t>
  </si>
  <si>
    <t>OAR 340-245-8010 Table 3. Assumes the most conservative annual exposure dispersion factor for fugitive emission releases.</t>
  </si>
  <si>
    <r>
      <t>Dispersion factor (ug/m</t>
    </r>
    <r>
      <rPr>
        <vertAlign val="superscript"/>
        <sz val="8"/>
        <color theme="1"/>
        <rFont val="Century Gothic"/>
        <family val="2"/>
      </rPr>
      <t>3</t>
    </r>
    <r>
      <rPr>
        <sz val="8"/>
        <color theme="1"/>
        <rFont val="Century Gothic"/>
        <family val="2"/>
      </rPr>
      <t>/lb/yr) =</t>
    </r>
  </si>
  <si>
    <t>Chronic Noncancer Hazard Index</t>
  </si>
  <si>
    <t>Cancer Risk
(Chances-in-1,000,000)</t>
  </si>
  <si>
    <r>
      <t>Cancer risk or chronic noncancer hazard index = (annual emissions estimate [lb/yr]) x (dispersion factor [ug/m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/lb/yr]) / (risk based concentration [ug/m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])</t>
    </r>
  </si>
  <si>
    <r>
      <t xml:space="preserve">Risk Based Concentration </t>
    </r>
    <r>
      <rPr>
        <b/>
        <vertAlign val="superscript"/>
        <sz val="9"/>
        <color theme="1"/>
        <rFont val="Century Gothic"/>
        <family val="2"/>
      </rPr>
      <t>(2)</t>
    </r>
    <r>
      <rPr>
        <b/>
        <sz val="9"/>
        <color theme="1"/>
        <rFont val="Century Gothic"/>
        <family val="2"/>
      </rPr>
      <t xml:space="preserve">
(ug/m</t>
    </r>
    <r>
      <rPr>
        <b/>
        <vertAlign val="superscript"/>
        <sz val="9"/>
        <color theme="1"/>
        <rFont val="Century Gothic"/>
        <family val="2"/>
      </rPr>
      <t>3</t>
    </r>
    <r>
      <rPr>
        <b/>
        <sz val="9"/>
        <color theme="1"/>
        <rFont val="Century Gothic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</si>
</sst>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0.000"/>
    <numFmt numFmtId="166" formatCode="0.0E+00"/>
    <numFmt numFmtId="167" formatCode="##\-##\-#"/>
    <numFmt numFmtId="168" formatCode="#,##0.0"/>
    <numFmt numFmtId="169" formatCode="0_);\(0\)"/>
    <numFmt numFmtId="170" formatCode="#,##0.0000"/>
  </numFmts>
  <fonts count="25" x14ac:knownFonts="1">
    <font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vertAlign val="superscript"/>
      <sz val="8.1"/>
      <color theme="1"/>
      <name val="Century Gothic"/>
      <family val="2"/>
    </font>
    <font>
      <b/>
      <sz val="9"/>
      <name val="Century Gothic"/>
      <family val="2"/>
    </font>
    <font>
      <vertAlign val="superscript"/>
      <sz val="9"/>
      <color theme="1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sz val="9"/>
      <color rgb="FFFFFF00"/>
      <name val="Century Gothic"/>
      <family val="2"/>
    </font>
    <font>
      <b/>
      <sz val="12"/>
      <name val="Century Gothic"/>
      <family val="2"/>
    </font>
    <font>
      <b/>
      <vertAlign val="superscript"/>
      <sz val="8.1"/>
      <name val="Century Gothic"/>
      <family val="2"/>
    </font>
    <font>
      <vertAlign val="superscript"/>
      <sz val="9"/>
      <name val="Century Gothic"/>
      <family val="2"/>
    </font>
    <font>
      <b/>
      <vertAlign val="superscript"/>
      <sz val="7.2"/>
      <name val="Century Gothic"/>
      <family val="2"/>
    </font>
    <font>
      <sz val="8"/>
      <color rgb="FFFF0000"/>
      <name val="Century Gothic"/>
      <family val="2"/>
    </font>
    <font>
      <b/>
      <sz val="9"/>
      <color rgb="FFFF0000"/>
      <name val="Century Gothic"/>
      <family val="2"/>
    </font>
    <font>
      <b/>
      <vertAlign val="superscript"/>
      <sz val="9"/>
      <name val="Century Gothic"/>
      <family val="2"/>
    </font>
    <font>
      <sz val="11"/>
      <color theme="1"/>
      <name val="Times New Roman"/>
      <family val="2"/>
    </font>
    <font>
      <b/>
      <sz val="8"/>
      <name val="Century Gothic"/>
      <family val="2"/>
    </font>
    <font>
      <b/>
      <sz val="8"/>
      <color rgb="FFFF0000"/>
      <name val="Century Gothic"/>
      <family val="2"/>
    </font>
    <font>
      <b/>
      <vertAlign val="superscript"/>
      <sz val="9"/>
      <color theme="1"/>
      <name val="Century Gothic"/>
      <family val="2"/>
    </font>
    <font>
      <vertAlign val="superscript"/>
      <sz val="8"/>
      <color theme="1"/>
      <name val="Century Gothic"/>
      <family val="2"/>
    </font>
    <font>
      <vertAlign val="superscript"/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" fillId="0" borderId="0"/>
  </cellStyleXfs>
  <cellXfs count="3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11" xfId="0" applyFont="1" applyBorder="1" applyAlignment="1">
      <alignment horizontal="centerContinuous" vertical="center" wrapText="1"/>
    </xf>
    <xf numFmtId="0" fontId="2" fillId="0" borderId="19" xfId="0" applyFont="1" applyBorder="1" applyAlignment="1">
      <alignment horizontal="centerContinuous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67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6" fontId="6" fillId="0" borderId="32" xfId="0" applyNumberFormat="1" applyFont="1" applyBorder="1" applyAlignment="1">
      <alignment horizontal="center" vertical="center"/>
    </xf>
    <xf numFmtId="166" fontId="0" fillId="0" borderId="33" xfId="0" applyNumberFormat="1" applyBorder="1" applyAlignment="1">
      <alignment horizontal="centerContinuous" vertical="center"/>
    </xf>
    <xf numFmtId="166" fontId="6" fillId="0" borderId="30" xfId="0" applyNumberFormat="1" applyFont="1" applyBorder="1" applyAlignment="1">
      <alignment horizontal="centerContinuous" vertical="center"/>
    </xf>
    <xf numFmtId="166" fontId="0" fillId="0" borderId="31" xfId="0" applyNumberFormat="1" applyBorder="1" applyAlignment="1">
      <alignment horizontal="centerContinuous" vertical="center"/>
    </xf>
    <xf numFmtId="166" fontId="6" fillId="0" borderId="32" xfId="0" applyNumberFormat="1" applyFont="1" applyBorder="1" applyAlignment="1">
      <alignment horizontal="centerContinuous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167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6" fontId="0" fillId="0" borderId="36" xfId="0" applyNumberFormat="1" applyBorder="1" applyAlignment="1">
      <alignment horizontal="center" vertical="center"/>
    </xf>
    <xf numFmtId="166" fontId="6" fillId="0" borderId="38" xfId="0" applyNumberFormat="1" applyFont="1" applyBorder="1" applyAlignment="1">
      <alignment horizontal="center" vertical="center"/>
    </xf>
    <xf numFmtId="166" fontId="0" fillId="0" borderId="35" xfId="0" applyNumberFormat="1" applyBorder="1" applyAlignment="1">
      <alignment horizontal="center" vertical="center"/>
    </xf>
    <xf numFmtId="166" fontId="6" fillId="0" borderId="39" xfId="0" applyNumberFormat="1" applyFont="1" applyBorder="1" applyAlignment="1">
      <alignment horizontal="center" vertical="center"/>
    </xf>
    <xf numFmtId="166" fontId="0" fillId="0" borderId="36" xfId="0" applyNumberFormat="1" applyBorder="1" applyAlignment="1">
      <alignment horizontal="centerContinuous" vertical="center"/>
    </xf>
    <xf numFmtId="0" fontId="6" fillId="0" borderId="38" xfId="0" applyFont="1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  <xf numFmtId="0" fontId="6" fillId="0" borderId="39" xfId="0" applyFont="1" applyBorder="1" applyAlignment="1">
      <alignment horizontal="centerContinuous" vertical="center"/>
    </xf>
    <xf numFmtId="166" fontId="0" fillId="0" borderId="36" xfId="0" quotePrefix="1" applyNumberFormat="1" applyBorder="1" applyAlignment="1">
      <alignment horizontal="center" vertical="center"/>
    </xf>
    <xf numFmtId="166" fontId="6" fillId="0" borderId="38" xfId="0" quotePrefix="1" applyNumberFormat="1" applyFont="1" applyBorder="1" applyAlignment="1">
      <alignment horizontal="center" vertical="center"/>
    </xf>
    <xf numFmtId="166" fontId="0" fillId="0" borderId="35" xfId="0" quotePrefix="1" applyNumberFormat="1" applyBorder="1" applyAlignment="1">
      <alignment horizontal="center" vertical="center"/>
    </xf>
    <xf numFmtId="166" fontId="6" fillId="0" borderId="39" xfId="0" quotePrefix="1" applyNumberFormat="1" applyFont="1" applyBorder="1" applyAlignment="1">
      <alignment horizontal="center" vertical="center"/>
    </xf>
    <xf numFmtId="166" fontId="6" fillId="0" borderId="38" xfId="0" applyNumberFormat="1" applyFont="1" applyBorder="1" applyAlignment="1">
      <alignment horizontal="centerContinuous" vertical="center"/>
    </xf>
    <xf numFmtId="166" fontId="0" fillId="0" borderId="35" xfId="0" applyNumberFormat="1" applyBorder="1" applyAlignment="1">
      <alignment horizontal="centerContinuous" vertical="center"/>
    </xf>
    <xf numFmtId="166" fontId="6" fillId="0" borderId="39" xfId="0" applyNumberFormat="1" applyFont="1" applyBorder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167" fontId="0" fillId="0" borderId="42" xfId="0" applyNumberFormat="1" applyBorder="1" applyAlignment="1">
      <alignment horizontal="center" vertical="center"/>
    </xf>
    <xf numFmtId="166" fontId="0" fillId="0" borderId="43" xfId="0" applyNumberForma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0" fillId="0" borderId="45" xfId="0" applyNumberFormat="1" applyBorder="1" applyAlignment="1">
      <alignment horizontal="center" vertical="center"/>
    </xf>
    <xf numFmtId="166" fontId="6" fillId="0" borderId="46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Continuous" vertical="center"/>
    </xf>
    <xf numFmtId="0" fontId="6" fillId="0" borderId="44" xfId="0" applyFont="1" applyBorder="1" applyAlignment="1">
      <alignment horizontal="centerContinuous" vertical="center"/>
    </xf>
    <xf numFmtId="0" fontId="0" fillId="0" borderId="48" xfId="0" applyBorder="1" applyAlignment="1">
      <alignment horizontal="centerContinuous" vertical="center"/>
    </xf>
    <xf numFmtId="0" fontId="6" fillId="0" borderId="46" xfId="0" applyFont="1" applyBorder="1" applyAlignment="1">
      <alignment horizontal="centerContinuous" vertical="center"/>
    </xf>
    <xf numFmtId="0" fontId="2" fillId="2" borderId="49" xfId="0" applyFont="1" applyFill="1" applyBorder="1" applyAlignment="1">
      <alignment horizontal="centerContinuous" vertical="center"/>
    </xf>
    <xf numFmtId="0" fontId="2" fillId="2" borderId="50" xfId="0" applyFont="1" applyFill="1" applyBorder="1" applyAlignment="1">
      <alignment horizontal="centerContinuous" vertical="center"/>
    </xf>
    <xf numFmtId="0" fontId="2" fillId="2" borderId="51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2" fillId="2" borderId="52" xfId="0" applyFont="1" applyFill="1" applyBorder="1" applyAlignment="1">
      <alignment horizontal="centerContinuous" vertical="center"/>
    </xf>
    <xf numFmtId="0" fontId="2" fillId="2" borderId="53" xfId="0" applyFont="1" applyFill="1" applyBorder="1" applyAlignment="1">
      <alignment horizontal="centerContinuous" vertical="center"/>
    </xf>
    <xf numFmtId="0" fontId="2" fillId="2" borderId="54" xfId="0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55" xfId="0" applyFont="1" applyFill="1" applyBorder="1" applyAlignment="1">
      <alignment horizontal="centerContinuous" vertical="center"/>
    </xf>
    <xf numFmtId="0" fontId="2" fillId="2" borderId="18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horizontal="centerContinuous" vertical="center"/>
    </xf>
    <xf numFmtId="0" fontId="2" fillId="2" borderId="17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166" fontId="8" fillId="0" borderId="0" xfId="0" applyNumberFormat="1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Continuous" vertical="center"/>
    </xf>
    <xf numFmtId="166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37" fontId="8" fillId="0" borderId="0" xfId="1" applyNumberFormat="1" applyFont="1" applyFill="1" applyAlignment="1">
      <alignment horizontal="centerContinuous" vertical="center"/>
    </xf>
    <xf numFmtId="4" fontId="8" fillId="0" borderId="0" xfId="0" applyNumberFormat="1" applyFont="1" applyAlignment="1">
      <alignment horizontal="centerContinuous" vertical="center"/>
    </xf>
    <xf numFmtId="2" fontId="8" fillId="0" borderId="0" xfId="0" applyNumberFormat="1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0" fillId="0" borderId="29" xfId="0" applyNumberForma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167" fontId="0" fillId="0" borderId="60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6" fontId="6" fillId="0" borderId="61" xfId="0" applyNumberFormat="1" applyFont="1" applyBorder="1" applyAlignment="1">
      <alignment horizontal="center" vertical="center"/>
    </xf>
    <xf numFmtId="166" fontId="6" fillId="0" borderId="62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Continuous" vertical="center"/>
    </xf>
    <xf numFmtId="0" fontId="6" fillId="0" borderId="61" xfId="0" applyFont="1" applyBorder="1" applyAlignment="1">
      <alignment horizontal="centerContinuous" vertical="center"/>
    </xf>
    <xf numFmtId="0" fontId="0" fillId="0" borderId="45" xfId="0" applyBorder="1" applyAlignment="1">
      <alignment horizontal="centerContinuous" vertical="center"/>
    </xf>
    <xf numFmtId="0" fontId="6" fillId="0" borderId="62" xfId="0" applyFont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2" fillId="2" borderId="19" xfId="0" applyFont="1" applyFill="1" applyBorder="1" applyAlignment="1">
      <alignment horizontal="centerContinuous" vertical="center"/>
    </xf>
    <xf numFmtId="168" fontId="8" fillId="0" borderId="0" xfId="0" applyNumberFormat="1" applyFont="1" applyAlignment="1">
      <alignment horizontal="centerContinuous" vertical="center"/>
    </xf>
    <xf numFmtId="3" fontId="8" fillId="0" borderId="0" xfId="0" applyNumberFormat="1" applyFont="1" applyAlignment="1">
      <alignment horizontal="centerContinuous" vertical="center"/>
    </xf>
    <xf numFmtId="166" fontId="0" fillId="0" borderId="27" xfId="0" applyNumberFormat="1" applyBorder="1" applyAlignment="1">
      <alignment horizontal="centerContinuous" vertical="center"/>
    </xf>
    <xf numFmtId="166" fontId="6" fillId="0" borderId="63" xfId="0" applyNumberFormat="1" applyFont="1" applyBorder="1" applyAlignment="1">
      <alignment horizontal="centerContinuous" vertical="center"/>
    </xf>
    <xf numFmtId="166" fontId="0" fillId="0" borderId="26" xfId="0" applyNumberForma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168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2" fontId="9" fillId="0" borderId="0" xfId="0" applyNumberFormat="1" applyFont="1" applyAlignment="1">
      <alignment horizontal="centerContinuous" vertical="center"/>
    </xf>
    <xf numFmtId="4" fontId="9" fillId="0" borderId="0" xfId="0" applyNumberFormat="1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2" fillId="0" borderId="65" xfId="0" applyFont="1" applyBorder="1" applyAlignment="1">
      <alignment horizontal="centerContinuous" vertical="center"/>
    </xf>
    <xf numFmtId="0" fontId="2" fillId="0" borderId="67" xfId="0" applyFont="1" applyBorder="1" applyAlignment="1">
      <alignment horizontal="centerContinuous" vertical="center"/>
    </xf>
    <xf numFmtId="0" fontId="5" fillId="0" borderId="65" xfId="0" applyFont="1" applyBorder="1" applyAlignment="1">
      <alignment horizontal="centerContinuous" vertical="center"/>
    </xf>
    <xf numFmtId="0" fontId="5" fillId="0" borderId="66" xfId="0" applyFont="1" applyBorder="1" applyAlignment="1">
      <alignment horizontal="centerContinuous" vertical="center"/>
    </xf>
    <xf numFmtId="0" fontId="5" fillId="0" borderId="67" xfId="0" applyFont="1" applyBorder="1" applyAlignment="1">
      <alignment horizontal="centerContinuous" vertical="center"/>
    </xf>
    <xf numFmtId="0" fontId="0" fillId="0" borderId="27" xfId="0" applyBorder="1" applyAlignment="1">
      <alignment horizontal="centerContinuous" vertical="center"/>
    </xf>
    <xf numFmtId="0" fontId="0" fillId="0" borderId="63" xfId="0" applyBorder="1" applyAlignment="1">
      <alignment horizontal="centerContinuous" vertical="center"/>
    </xf>
    <xf numFmtId="0" fontId="7" fillId="0" borderId="27" xfId="0" applyFont="1" applyBorder="1" applyAlignment="1">
      <alignment horizontal="centerContinuous" vertical="center" wrapText="1"/>
    </xf>
    <xf numFmtId="0" fontId="7" fillId="0" borderId="68" xfId="0" applyFont="1" applyBorder="1" applyAlignment="1">
      <alignment horizontal="centerContinuous" vertical="center" wrapText="1"/>
    </xf>
    <xf numFmtId="0" fontId="7" fillId="0" borderId="63" xfId="0" applyFont="1" applyBorder="1" applyAlignment="1">
      <alignment horizontal="centerContinuous" vertical="center" wrapText="1"/>
    </xf>
    <xf numFmtId="0" fontId="7" fillId="0" borderId="69" xfId="0" applyFont="1" applyBorder="1" applyAlignment="1">
      <alignment horizontal="centerContinuous" vertical="center" wrapText="1"/>
    </xf>
    <xf numFmtId="0" fontId="7" fillId="0" borderId="70" xfId="0" applyFont="1" applyBorder="1" applyAlignment="1">
      <alignment horizontal="centerContinuous" vertical="center" wrapText="1"/>
    </xf>
    <xf numFmtId="0" fontId="7" fillId="0" borderId="71" xfId="0" applyFont="1" applyBorder="1" applyAlignment="1">
      <alignment horizontal="centerContinuous" vertical="center" wrapText="1"/>
    </xf>
    <xf numFmtId="0" fontId="6" fillId="0" borderId="63" xfId="0" applyFont="1" applyBorder="1" applyAlignment="1">
      <alignment horizontal="centerContinuous" vertical="center"/>
    </xf>
    <xf numFmtId="0" fontId="0" fillId="0" borderId="68" xfId="0" applyBorder="1" applyAlignment="1">
      <alignment horizontal="centerContinuous" vertical="center"/>
    </xf>
    <xf numFmtId="0" fontId="0" fillId="0" borderId="38" xfId="0" applyBorder="1" applyAlignment="1">
      <alignment horizontal="centerContinuous" vertical="center"/>
    </xf>
    <xf numFmtId="0" fontId="0" fillId="0" borderId="3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72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6" fillId="0" borderId="73" xfId="0" applyFont="1" applyBorder="1" applyAlignment="1">
      <alignment horizontal="centerContinuous" vertical="center"/>
    </xf>
    <xf numFmtId="0" fontId="0" fillId="0" borderId="74" xfId="0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5" fillId="0" borderId="75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 wrapText="1"/>
    </xf>
    <xf numFmtId="0" fontId="5" fillId="0" borderId="40" xfId="0" applyFont="1" applyBorder="1" applyAlignment="1">
      <alignment horizontal="centerContinuous" vertical="center" wrapText="1"/>
    </xf>
    <xf numFmtId="0" fontId="5" fillId="0" borderId="41" xfId="0" applyFont="1" applyBorder="1" applyAlignment="1">
      <alignment horizontal="centerContinuous" vertical="center" wrapText="1"/>
    </xf>
    <xf numFmtId="0" fontId="5" fillId="0" borderId="52" xfId="0" applyFont="1" applyBorder="1" applyAlignment="1">
      <alignment horizontal="centerContinuous" vertical="center" wrapText="1"/>
    </xf>
    <xf numFmtId="0" fontId="2" fillId="0" borderId="52" xfId="0" applyFont="1" applyBorder="1" applyAlignment="1">
      <alignment horizontal="centerContinuous" vertical="center" wrapText="1"/>
    </xf>
    <xf numFmtId="0" fontId="2" fillId="0" borderId="53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Continuous" vertical="center" wrapText="1"/>
    </xf>
    <xf numFmtId="0" fontId="5" fillId="0" borderId="17" xfId="0" applyFont="1" applyBorder="1" applyAlignment="1">
      <alignment horizontal="centerContinuous" vertical="center" wrapText="1"/>
    </xf>
    <xf numFmtId="0" fontId="5" fillId="0" borderId="18" xfId="0" applyFont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Continuous" vertical="center" wrapText="1"/>
    </xf>
    <xf numFmtId="0" fontId="5" fillId="0" borderId="80" xfId="0" applyFont="1" applyBorder="1" applyAlignment="1">
      <alignment horizontal="centerContinuous" vertical="center" wrapText="1"/>
    </xf>
    <xf numFmtId="0" fontId="5" fillId="0" borderId="78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81" xfId="0" applyBorder="1" applyAlignment="1">
      <alignment vertical="center"/>
    </xf>
    <xf numFmtId="166" fontId="0" fillId="0" borderId="63" xfId="0" applyNumberFormat="1" applyBorder="1" applyAlignment="1">
      <alignment horizontal="centerContinuous" vertical="center"/>
    </xf>
    <xf numFmtId="166" fontId="0" fillId="0" borderId="26" xfId="0" applyNumberForma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81" xfId="0" applyNumberFormat="1" applyBorder="1" applyAlignment="1">
      <alignment horizontal="center" vertical="center"/>
    </xf>
    <xf numFmtId="166" fontId="6" fillId="0" borderId="68" xfId="0" applyNumberFormat="1" applyFont="1" applyBorder="1" applyAlignment="1">
      <alignment horizontal="centerContinuous" vertical="center"/>
    </xf>
    <xf numFmtId="166" fontId="0" fillId="0" borderId="63" xfId="0" applyNumberFormat="1" applyBorder="1" applyAlignment="1">
      <alignment horizontal="center" vertical="center"/>
    </xf>
    <xf numFmtId="0" fontId="0" fillId="0" borderId="82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166" fontId="0" fillId="0" borderId="82" xfId="0" applyNumberFormat="1" applyBorder="1" applyAlignment="1">
      <alignment horizontal="center" vertical="center"/>
    </xf>
    <xf numFmtId="166" fontId="0" fillId="0" borderId="38" xfId="0" applyNumberFormat="1" applyBorder="1" applyAlignment="1">
      <alignment horizontal="center" vertical="center"/>
    </xf>
    <xf numFmtId="11" fontId="0" fillId="0" borderId="36" xfId="0" applyNumberFormat="1" applyBorder="1" applyAlignment="1">
      <alignment horizontal="centerContinuous" vertical="center"/>
    </xf>
    <xf numFmtId="166" fontId="0" fillId="0" borderId="38" xfId="0" applyNumberFormat="1" applyBorder="1" applyAlignment="1">
      <alignment horizontal="centerContinuous" vertical="center"/>
    </xf>
    <xf numFmtId="166" fontId="7" fillId="0" borderId="36" xfId="0" applyNumberFormat="1" applyFont="1" applyBorder="1" applyAlignment="1">
      <alignment horizontal="centerContinuous" vertical="center"/>
    </xf>
    <xf numFmtId="166" fontId="7" fillId="0" borderId="38" xfId="0" applyNumberFormat="1" applyFont="1" applyBorder="1" applyAlignment="1">
      <alignment horizontal="centerContinuous" vertical="center"/>
    </xf>
    <xf numFmtId="166" fontId="14" fillId="0" borderId="38" xfId="0" applyNumberFormat="1" applyFont="1" applyBorder="1" applyAlignment="1">
      <alignment horizontal="centerContinuous" vertical="center"/>
    </xf>
    <xf numFmtId="0" fontId="0" fillId="0" borderId="44" xfId="0" applyBorder="1" applyAlignment="1">
      <alignment horizontal="centerContinuous" vertical="center"/>
    </xf>
    <xf numFmtId="0" fontId="0" fillId="0" borderId="48" xfId="0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0" borderId="40" xfId="2" applyFont="1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167" fontId="0" fillId="0" borderId="52" xfId="0" applyNumberFormat="1" applyBorder="1" applyAlignment="1">
      <alignment horizontal="center" vertical="center"/>
    </xf>
    <xf numFmtId="0" fontId="0" fillId="0" borderId="52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6" fillId="0" borderId="24" xfId="0" applyFont="1" applyBorder="1" applyAlignment="1">
      <alignment horizontal="centerContinuous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centerContinuous" vertical="center"/>
    </xf>
    <xf numFmtId="0" fontId="0" fillId="0" borderId="64" xfId="0" applyBorder="1" applyAlignment="1">
      <alignment horizontal="centerContinuous" vertical="center"/>
    </xf>
    <xf numFmtId="0" fontId="0" fillId="0" borderId="41" xfId="0" applyBorder="1" applyAlignment="1">
      <alignment horizontal="center" vertical="center"/>
    </xf>
    <xf numFmtId="0" fontId="0" fillId="0" borderId="85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20" xfId="0" quotePrefix="1" applyBorder="1" applyAlignment="1">
      <alignment horizontal="centerContinuous" vertical="center"/>
    </xf>
    <xf numFmtId="0" fontId="0" fillId="0" borderId="0" xfId="0" quotePrefix="1" applyAlignment="1">
      <alignment horizontal="centerContinuous" vertical="center"/>
    </xf>
    <xf numFmtId="0" fontId="6" fillId="0" borderId="0" xfId="0" quotePrefix="1" applyFont="1" applyAlignment="1">
      <alignment horizontal="centerContinuous" vertical="center"/>
    </xf>
    <xf numFmtId="0" fontId="0" fillId="0" borderId="56" xfId="0" quotePrefix="1" applyBorder="1" applyAlignment="1">
      <alignment horizontal="centerContinuous" vertical="center"/>
    </xf>
    <xf numFmtId="0" fontId="6" fillId="0" borderId="4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7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33" xfId="0" applyBorder="1" applyAlignment="1">
      <alignment vertical="center"/>
    </xf>
    <xf numFmtId="0" fontId="0" fillId="0" borderId="30" xfId="0" applyBorder="1" applyAlignment="1">
      <alignment vertical="center"/>
    </xf>
    <xf numFmtId="167" fontId="0" fillId="0" borderId="28" xfId="0" quotePrefix="1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Continuous" vertical="center"/>
    </xf>
    <xf numFmtId="0" fontId="0" fillId="0" borderId="30" xfId="0" applyBorder="1" applyAlignment="1">
      <alignment horizontal="centerContinuous" vertical="center"/>
    </xf>
    <xf numFmtId="0" fontId="6" fillId="0" borderId="30" xfId="0" applyFont="1" applyBorder="1" applyAlignment="1">
      <alignment horizontal="centerContinuous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6" fillId="0" borderId="32" xfId="0" applyFont="1" applyBorder="1" applyAlignment="1">
      <alignment horizontal="centerContinuous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167" fontId="0" fillId="0" borderId="37" xfId="0" quotePrefix="1" applyNumberFormat="1" applyBorder="1" applyAlignment="1">
      <alignment horizontal="center" vertical="center"/>
    </xf>
    <xf numFmtId="0" fontId="0" fillId="0" borderId="61" xfId="0" applyBorder="1" applyAlignment="1">
      <alignment horizontal="centerContinuous" vertical="center"/>
    </xf>
    <xf numFmtId="0" fontId="6" fillId="0" borderId="46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6" fontId="5" fillId="2" borderId="40" xfId="0" applyNumberFormat="1" applyFont="1" applyFill="1" applyBorder="1" applyAlignment="1">
      <alignment horizontal="centerContinuous" vertical="center"/>
    </xf>
    <xf numFmtId="166" fontId="5" fillId="2" borderId="53" xfId="0" applyNumberFormat="1" applyFont="1" applyFill="1" applyBorder="1" applyAlignment="1">
      <alignment horizontal="centerContinuous" vertical="center"/>
    </xf>
    <xf numFmtId="166" fontId="5" fillId="2" borderId="51" xfId="0" applyNumberFormat="1" applyFont="1" applyFill="1" applyBorder="1" applyAlignment="1">
      <alignment horizontal="centerContinuous" vertical="center"/>
    </xf>
    <xf numFmtId="166" fontId="5" fillId="2" borderId="52" xfId="0" applyNumberFormat="1" applyFont="1" applyFill="1" applyBorder="1" applyAlignment="1">
      <alignment horizontal="centerContinuous" vertical="center"/>
    </xf>
    <xf numFmtId="166" fontId="5" fillId="2" borderId="41" xfId="0" applyNumberFormat="1" applyFont="1" applyFill="1" applyBorder="1" applyAlignment="1">
      <alignment horizontal="centerContinuous" vertical="center"/>
    </xf>
    <xf numFmtId="0" fontId="5" fillId="2" borderId="53" xfId="0" applyFont="1" applyFill="1" applyBorder="1" applyAlignment="1">
      <alignment horizontal="centerContinuous" vertical="center"/>
    </xf>
    <xf numFmtId="0" fontId="5" fillId="2" borderId="16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0" fontId="5" fillId="2" borderId="17" xfId="0" applyFont="1" applyFill="1" applyBorder="1" applyAlignment="1">
      <alignment horizontal="centerContinuous" vertical="center"/>
    </xf>
    <xf numFmtId="0" fontId="5" fillId="2" borderId="19" xfId="0" applyFont="1" applyFill="1" applyBorder="1" applyAlignment="1">
      <alignment horizontal="centerContinuous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Continuous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2" fontId="9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7" fillId="0" borderId="27" xfId="0" applyFont="1" applyBorder="1" applyAlignment="1">
      <alignment horizontal="centerContinuous" vertical="center"/>
    </xf>
    <xf numFmtId="0" fontId="7" fillId="0" borderId="68" xfId="0" applyFont="1" applyBorder="1" applyAlignment="1">
      <alignment horizontal="centerContinuous" vertical="center"/>
    </xf>
    <xf numFmtId="0" fontId="7" fillId="0" borderId="20" xfId="0" applyFont="1" applyBorder="1" applyAlignment="1">
      <alignment horizontal="centerContinuous" vertical="center"/>
    </xf>
    <xf numFmtId="0" fontId="7" fillId="0" borderId="21" xfId="0" applyFont="1" applyBorder="1" applyAlignment="1">
      <alignment horizontal="centerContinuous" vertical="center"/>
    </xf>
    <xf numFmtId="0" fontId="7" fillId="0" borderId="72" xfId="0" applyFont="1" applyBorder="1" applyAlignment="1">
      <alignment horizontal="centerContinuous" vertical="center"/>
    </xf>
    <xf numFmtId="0" fontId="7" fillId="0" borderId="74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Continuous" vertical="center" wrapText="1"/>
    </xf>
    <xf numFmtId="0" fontId="0" fillId="0" borderId="36" xfId="0" quotePrefix="1" applyBorder="1" applyAlignment="1">
      <alignment horizontal="center" vertical="center"/>
    </xf>
    <xf numFmtId="166" fontId="6" fillId="0" borderId="57" xfId="0" applyNumberFormat="1" applyFont="1" applyBorder="1" applyAlignment="1">
      <alignment horizontal="centerContinuous" vertical="center"/>
    </xf>
    <xf numFmtId="0" fontId="6" fillId="0" borderId="57" xfId="0" applyFont="1" applyBorder="1" applyAlignment="1">
      <alignment horizontal="centerContinuous" vertical="center"/>
    </xf>
    <xf numFmtId="0" fontId="6" fillId="0" borderId="58" xfId="0" applyFont="1" applyBorder="1" applyAlignment="1">
      <alignment horizontal="centerContinuous" vertical="center"/>
    </xf>
    <xf numFmtId="0" fontId="0" fillId="0" borderId="88" xfId="0" applyBorder="1" applyAlignment="1">
      <alignment horizontal="center" vertical="center"/>
    </xf>
    <xf numFmtId="166" fontId="2" fillId="2" borderId="40" xfId="0" applyNumberFormat="1" applyFont="1" applyFill="1" applyBorder="1" applyAlignment="1">
      <alignment horizontal="centerContinuous" vertical="center"/>
    </xf>
    <xf numFmtId="166" fontId="2" fillId="2" borderId="53" xfId="0" applyNumberFormat="1" applyFont="1" applyFill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169" fontId="7" fillId="0" borderId="28" xfId="0" applyNumberFormat="1" applyFont="1" applyFill="1" applyBorder="1" applyAlignment="1">
      <alignment horizontal="center" vertical="center"/>
    </xf>
    <xf numFmtId="169" fontId="7" fillId="0" borderId="37" xfId="0" applyNumberFormat="1" applyFont="1" applyFill="1" applyBorder="1" applyAlignment="1">
      <alignment horizontal="center" vertical="center"/>
    </xf>
    <xf numFmtId="0" fontId="9" fillId="0" borderId="0" xfId="4" applyFont="1" applyAlignment="1">
      <alignment horizontal="left" vertical="center" indent="1"/>
    </xf>
    <xf numFmtId="0" fontId="9" fillId="0" borderId="0" xfId="5" applyFont="1" applyAlignment="1">
      <alignment vertical="center"/>
    </xf>
    <xf numFmtId="0" fontId="16" fillId="0" borderId="0" xfId="2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2" fillId="2" borderId="89" xfId="0" applyFont="1" applyFill="1" applyBorder="1" applyAlignment="1">
      <alignment horizontal="centerContinuous" vertical="center"/>
    </xf>
    <xf numFmtId="166" fontId="0" fillId="0" borderId="39" xfId="0" applyNumberFormat="1" applyBorder="1" applyAlignment="1">
      <alignment horizontal="center" vertical="center"/>
    </xf>
    <xf numFmtId="166" fontId="0" fillId="0" borderId="68" xfId="0" applyNumberFormat="1" applyBorder="1" applyAlignment="1">
      <alignment horizontal="center" vertical="center"/>
    </xf>
    <xf numFmtId="0" fontId="2" fillId="0" borderId="9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7" fontId="7" fillId="0" borderId="37" xfId="0" applyNumberFormat="1" applyFont="1" applyFill="1" applyBorder="1" applyAlignment="1">
      <alignment horizontal="center" vertical="center"/>
    </xf>
    <xf numFmtId="169" fontId="0" fillId="0" borderId="37" xfId="0" applyNumberFormat="1" applyBorder="1" applyAlignment="1">
      <alignment horizontal="center" vertical="center"/>
    </xf>
    <xf numFmtId="166" fontId="2" fillId="2" borderId="19" xfId="0" applyNumberFormat="1" applyFont="1" applyFill="1" applyBorder="1" applyAlignment="1">
      <alignment horizontal="centerContinuous" vertical="center"/>
    </xf>
    <xf numFmtId="166" fontId="2" fillId="2" borderId="16" xfId="0" applyNumberFormat="1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7" fontId="0" fillId="0" borderId="29" xfId="0" applyNumberFormat="1" applyBorder="1" applyAlignment="1">
      <alignment horizontal="centerContinuous" vertical="center"/>
    </xf>
    <xf numFmtId="167" fontId="0" fillId="0" borderId="37" xfId="0" applyNumberFormat="1" applyBorder="1" applyAlignment="1">
      <alignment horizontal="centerContinuous" vertical="center"/>
    </xf>
    <xf numFmtId="167" fontId="7" fillId="0" borderId="37" xfId="0" applyNumberFormat="1" applyFont="1" applyFill="1" applyBorder="1" applyAlignment="1">
      <alignment horizontal="centerContinuous" vertical="center"/>
    </xf>
    <xf numFmtId="169" fontId="0" fillId="0" borderId="37" xfId="0" applyNumberForma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2" fillId="2" borderId="16" xfId="0" quotePrefix="1" applyFont="1" applyFill="1" applyBorder="1" applyAlignment="1">
      <alignment horizontal="centerContinuous" vertical="center"/>
    </xf>
    <xf numFmtId="166" fontId="0" fillId="0" borderId="63" xfId="0" quotePrefix="1" applyNumberFormat="1" applyFont="1" applyBorder="1" applyAlignment="1">
      <alignment horizontal="centerContinuous" vertical="center"/>
    </xf>
    <xf numFmtId="166" fontId="0" fillId="0" borderId="38" xfId="0" applyNumberFormat="1" applyFont="1" applyBorder="1" applyAlignment="1">
      <alignment horizontal="centerContinuous" vertical="center"/>
    </xf>
    <xf numFmtId="166" fontId="0" fillId="0" borderId="38" xfId="0" quotePrefix="1" applyNumberFormat="1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0" fillId="0" borderId="91" xfId="0" quotePrefix="1" applyNumberFormat="1" applyFont="1" applyBorder="1" applyAlignment="1">
      <alignment horizontal="centerContinuous" vertical="center"/>
    </xf>
    <xf numFmtId="166" fontId="0" fillId="0" borderId="82" xfId="0" applyNumberFormat="1" applyFont="1" applyBorder="1" applyAlignment="1">
      <alignment horizontal="centerContinuous" vertical="center"/>
    </xf>
    <xf numFmtId="166" fontId="0" fillId="0" borderId="88" xfId="0" applyNumberFormat="1" applyFont="1" applyBorder="1" applyAlignment="1">
      <alignment horizontal="centerContinuous" vertical="center"/>
    </xf>
    <xf numFmtId="170" fontId="8" fillId="0" borderId="0" xfId="2" applyNumberFormat="1" applyFont="1" applyAlignment="1">
      <alignment horizontal="center" vertical="center"/>
    </xf>
    <xf numFmtId="0" fontId="5" fillId="2" borderId="10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10 10 2 2 2 2" xfId="3" xr:uid="{733D0FD0-35B8-4A2A-93BE-85D0EF7CD1BB}"/>
    <cellStyle name="Normal 2 2 2" xfId="6" xr:uid="{CA682767-7C24-47A0-92AB-ED8CF17F776A}"/>
    <cellStyle name="Normal 2 3 3" xfId="4" xr:uid="{83D8A3CE-D433-4F80-A5E3-00090EA85159}"/>
    <cellStyle name="Normal 3 3 2 2 2" xfId="5" xr:uid="{6F854B60-EF49-43D4-A93F-553CC841E210}"/>
    <cellStyle name="Normal 3 5" xfId="8" xr:uid="{B009A02D-6F55-4C56-9EEE-D51CAE4B91D1}"/>
    <cellStyle name="Normal 8 35" xfId="2" xr:uid="{F1F3C349-74B8-44A6-A0C5-32692149B930}"/>
    <cellStyle name="Normal 8 35 2" xfId="7" xr:uid="{F7188665-87EE-4BA1-AA73-60EE13DC8F06}"/>
  </cellStyles>
  <dxfs count="96"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  <dxf>
      <numFmt numFmtId="166" formatCode="0.0E+00"/>
    </dxf>
    <dxf>
      <numFmt numFmtId="165" formatCode="0.000"/>
    </dxf>
    <dxf>
      <numFmt numFmtId="2" formatCode="0.00"/>
    </dxf>
    <dxf>
      <numFmt numFmtId="164" formatCode="0.0"/>
    </dxf>
    <dxf>
      <numFmt numFmtId="3" formatCode="#,##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2%20Operations\Pulp%20and%20Paper\Toledo,%20OR\Title%20V%20Renewal%20(2019)\Emissions\Copy%20of%20Toledo%20Details%20Sheets%20mz%20no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02%20Operations\Pulp%20and%20Paper\Toledo,%20OR\Air%20Toxics%20(2019)\Emissions\AQ405cao%20-%20Toledo%20(2019-05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Calculations -&gt;"/>
      <sheetName val="GHG Baseline"/>
      <sheetName val="GHG Emission Factors and GWPs"/>
      <sheetName val="GHG Baseline - 2000-2010 Yearly"/>
      <sheetName val="2019 PSEL Proposals &gt;"/>
      <sheetName val="PSEL Changes"/>
      <sheetName val="PM PSEL 2019"/>
      <sheetName val="PM10 PSEL 2019"/>
      <sheetName val="PM2.5 PSEL 2019"/>
      <sheetName val="NOX PSEL 2019"/>
      <sheetName val="Current Production Basis"/>
      <sheetName val="WAUNA PM2.5 PSEL 2019"/>
      <sheetName val="WAUNA NOX PSEL 2019"/>
      <sheetName val="WAUNA CO PSEL 2019"/>
      <sheetName val="WAUNA SO2 PSEL 2019"/>
      <sheetName val="WAUNA VOC PSEL 2019"/>
      <sheetName val="WAUNA TRS PSEL 2019"/>
      <sheetName val="WAUNA Pb PSEL 2019"/>
      <sheetName val="WAUNA GHG PSEL 2019"/>
      <sheetName val="SUPPORT DATA -&gt;"/>
      <sheetName val="CNCG &amp; DNCG Sources"/>
      <sheetName val="OLD PSELs -&gt;"/>
      <sheetName val="Old Production Basis"/>
      <sheetName val="CO PSEL Short &amp; Long"/>
      <sheetName val="PM &amp; PM10 PSEL"/>
      <sheetName val="NOx PSEL"/>
      <sheetName val="SO2 PSEL Short &amp; Long"/>
      <sheetName val="VOC PSEL Short &amp; Long"/>
      <sheetName val="TRS PSEL Short &amp; Long"/>
      <sheetName val="Pb PSEL Short &amp; Long"/>
      <sheetName val="Methanol PSEL Short &amp; Long"/>
      <sheetName val="Chloroform PSEL Short &amp; Long"/>
      <sheetName val="Acetone  PSEL Short &amp; Long"/>
      <sheetName val="Summary"/>
      <sheetName val="List of All EUs"/>
      <sheetName val="All EUs summary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Instructions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617">
          <cell r="D617" t="str">
            <v>nickel</v>
          </cell>
        </row>
        <row r="618">
          <cell r="D618" t="str">
            <v>mineral fiber emissions</v>
          </cell>
        </row>
        <row r="619">
          <cell r="D619" t="str">
            <v>PCB</v>
          </cell>
        </row>
        <row r="620">
          <cell r="D620" t="str">
            <v>PAH</v>
          </cell>
        </row>
        <row r="621">
          <cell r="D621" t="str">
            <v>radionuclides</v>
          </cell>
        </row>
        <row r="622">
          <cell r="D622" t="str">
            <v>radon</v>
          </cell>
        </row>
        <row r="623">
          <cell r="D623" t="str">
            <v>teq</v>
          </cell>
        </row>
        <row r="624">
          <cell r="D624" t="str">
            <v>phthalates</v>
          </cell>
        </row>
        <row r="625">
          <cell r="D625" t="str">
            <v>coke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34EA-D5D6-47F2-ABF6-D146C858C983}">
  <sheetPr>
    <pageSetUpPr fitToPage="1"/>
  </sheetPr>
  <dimension ref="A1:N45"/>
  <sheetViews>
    <sheetView tabSelected="1" zoomScale="85" zoomScaleNormal="85" workbookViewId="0">
      <selection activeCell="B31" sqref="B31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3" style="5" bestFit="1" customWidth="1"/>
    <col min="4" max="5" width="9.140625" style="5"/>
    <col min="6" max="7" width="12.85546875" style="5" customWidth="1"/>
    <col min="8" max="8" width="3.5703125" style="5" customWidth="1"/>
    <col min="9" max="9" width="12.85546875" style="5" customWidth="1"/>
    <col min="10" max="10" width="3.5703125" style="5" customWidth="1"/>
    <col min="11" max="11" width="12.85546875" style="4" customWidth="1"/>
    <col min="12" max="12" width="3.5703125" style="4" customWidth="1"/>
    <col min="13" max="13" width="12.85546875" style="4" customWidth="1"/>
    <col min="14" max="14" width="3.5703125" style="4" customWidth="1"/>
    <col min="15" max="15" width="3.7109375" style="4" customWidth="1"/>
    <col min="16" max="16384" width="9.140625" style="4"/>
  </cols>
  <sheetData>
    <row r="1" spans="1:14" s="1" customFormat="1" ht="18" customHeight="1" x14ac:dyDescent="0.3">
      <c r="A1" s="1" t="s">
        <v>0</v>
      </c>
      <c r="C1" s="2"/>
      <c r="D1" s="2"/>
      <c r="E1" s="2"/>
      <c r="F1" s="2"/>
      <c r="G1" s="2"/>
      <c r="H1" s="2"/>
      <c r="I1" s="2"/>
      <c r="J1" s="2"/>
      <c r="K1"/>
      <c r="L1"/>
      <c r="M1"/>
      <c r="N1"/>
    </row>
    <row r="2" spans="1:14" s="1" customFormat="1" ht="18" customHeight="1" x14ac:dyDescent="0.3">
      <c r="A2" s="1" t="s">
        <v>1</v>
      </c>
      <c r="C2" s="2"/>
      <c r="D2" s="2"/>
      <c r="E2" s="2"/>
      <c r="F2" s="2"/>
      <c r="G2" s="2"/>
      <c r="H2" s="2"/>
      <c r="I2" s="2"/>
      <c r="J2" s="2"/>
      <c r="K2"/>
      <c r="L2"/>
      <c r="M2"/>
      <c r="N2"/>
    </row>
    <row r="3" spans="1:14" s="1" customFormat="1" ht="18" customHeight="1" x14ac:dyDescent="0.3">
      <c r="A3" s="1" t="s">
        <v>2</v>
      </c>
      <c r="C3" s="2"/>
      <c r="D3" s="2"/>
      <c r="E3" s="2"/>
      <c r="F3" s="2"/>
      <c r="G3" s="2"/>
      <c r="H3" s="2"/>
      <c r="I3" s="2"/>
      <c r="J3" s="2"/>
    </row>
    <row r="4" spans="1:14" ht="15" customHeight="1" thickBot="1" x14ac:dyDescent="0.35"/>
    <row r="5" spans="1:14" s="6" customFormat="1" ht="30" customHeight="1" x14ac:dyDescent="0.3">
      <c r="A5" s="322" t="s">
        <v>3</v>
      </c>
      <c r="B5" s="323"/>
      <c r="C5" s="313" t="s">
        <v>4</v>
      </c>
      <c r="D5" s="326" t="s">
        <v>5</v>
      </c>
      <c r="E5" s="328" t="s">
        <v>6</v>
      </c>
      <c r="F5" s="313" t="s">
        <v>7</v>
      </c>
      <c r="G5" s="315" t="s">
        <v>8</v>
      </c>
      <c r="H5" s="316"/>
      <c r="I5" s="316"/>
      <c r="J5" s="317"/>
      <c r="K5" s="315" t="s">
        <v>9</v>
      </c>
      <c r="L5" s="316"/>
      <c r="M5" s="316"/>
      <c r="N5" s="317"/>
    </row>
    <row r="6" spans="1:14" s="6" customFormat="1" ht="30" customHeight="1" thickBot="1" x14ac:dyDescent="0.35">
      <c r="A6" s="324"/>
      <c r="B6" s="325"/>
      <c r="C6" s="314"/>
      <c r="D6" s="327"/>
      <c r="E6" s="329"/>
      <c r="F6" s="314"/>
      <c r="G6" s="318" t="s">
        <v>10</v>
      </c>
      <c r="H6" s="319"/>
      <c r="I6" s="320" t="s">
        <v>11</v>
      </c>
      <c r="J6" s="321"/>
      <c r="K6" s="7" t="s">
        <v>12</v>
      </c>
      <c r="L6" s="8"/>
      <c r="M6" s="9" t="s">
        <v>13</v>
      </c>
      <c r="N6" s="10"/>
    </row>
    <row r="7" spans="1:14" ht="15" customHeight="1" x14ac:dyDescent="0.3">
      <c r="A7" s="11" t="s">
        <v>14</v>
      </c>
      <c r="B7" s="12"/>
      <c r="C7" s="13">
        <v>75070</v>
      </c>
      <c r="D7" s="14" t="s">
        <v>149</v>
      </c>
      <c r="E7" s="15" t="s">
        <v>149</v>
      </c>
      <c r="F7" s="16">
        <v>4.4250000000000001E-3</v>
      </c>
      <c r="G7" s="16">
        <f>F7*$C$19/453.592*3600</f>
        <v>7.0239334027055164E-2</v>
      </c>
      <c r="H7" s="17" t="str">
        <f>$A$18</f>
        <v>(a)</v>
      </c>
      <c r="I7" s="18">
        <f>F7/453.592*3600</f>
        <v>3.5119667013527582E-2</v>
      </c>
      <c r="J7" s="19" t="str">
        <f>$A$20</f>
        <v>(b)</v>
      </c>
      <c r="K7" s="20">
        <f>G7*24</f>
        <v>1.6857440166493238</v>
      </c>
      <c r="L7" s="21" t="str">
        <f>$A$21</f>
        <v>(c)</v>
      </c>
      <c r="M7" s="22">
        <f>$I7*8760</f>
        <v>307.64828303850163</v>
      </c>
      <c r="N7" s="23" t="str">
        <f>$A$22</f>
        <v>(d)</v>
      </c>
    </row>
    <row r="8" spans="1:14" ht="15" customHeight="1" x14ac:dyDescent="0.3">
      <c r="A8" s="24" t="s">
        <v>15</v>
      </c>
      <c r="B8" s="25"/>
      <c r="C8" s="27">
        <v>50000</v>
      </c>
      <c r="D8" s="28" t="s">
        <v>149</v>
      </c>
      <c r="E8" s="26" t="s">
        <v>149</v>
      </c>
      <c r="F8" s="29">
        <v>2.075E-5</v>
      </c>
      <c r="G8" s="29">
        <f t="shared" ref="G8" si="0">F8*$C$19/453.592*3600</f>
        <v>3.2937088837545637E-4</v>
      </c>
      <c r="H8" s="30" t="str">
        <f>$A$18</f>
        <v>(a)</v>
      </c>
      <c r="I8" s="31">
        <f t="shared" ref="I8" si="1">F8/453.592*3600</f>
        <v>1.6468544418772818E-4</v>
      </c>
      <c r="J8" s="32" t="str">
        <f>$A$20</f>
        <v>(b)</v>
      </c>
      <c r="K8" s="33">
        <f>G8*24</f>
        <v>7.9049013210109528E-3</v>
      </c>
      <c r="L8" s="34" t="str">
        <f>$A$21</f>
        <v>(c)</v>
      </c>
      <c r="M8" s="35">
        <f t="shared" ref="M8" si="2">$I8*8760</f>
        <v>1.4426444910844989</v>
      </c>
      <c r="N8" s="36" t="str">
        <f>$A$22</f>
        <v>(d)</v>
      </c>
    </row>
    <row r="9" spans="1:14" ht="15" customHeight="1" x14ac:dyDescent="0.3">
      <c r="A9" s="24" t="s">
        <v>16</v>
      </c>
      <c r="B9" s="25"/>
      <c r="C9" s="27">
        <v>7783064</v>
      </c>
      <c r="D9" s="28" t="s">
        <v>150</v>
      </c>
      <c r="E9" s="26" t="s">
        <v>149</v>
      </c>
      <c r="F9" s="37" t="s">
        <v>17</v>
      </c>
      <c r="G9" s="37">
        <f>K9/24</f>
        <v>1.8107177974434605E-2</v>
      </c>
      <c r="H9" s="38" t="str">
        <f>$A$23</f>
        <v>(e)</v>
      </c>
      <c r="I9" s="39">
        <f>M9/8760</f>
        <v>6.6297935103244825E-3</v>
      </c>
      <c r="J9" s="40" t="str">
        <f>$A$24</f>
        <v>(f)</v>
      </c>
      <c r="K9" s="33">
        <f>$C$26*$C$27/100</f>
        <v>0.43457227138643051</v>
      </c>
      <c r="L9" s="41" t="str">
        <f>$A$25</f>
        <v>(g)</v>
      </c>
      <c r="M9" s="42">
        <f>C29*C30/100</f>
        <v>58.076991150442467</v>
      </c>
      <c r="N9" s="43" t="str">
        <f>$A$28</f>
        <v>(h)</v>
      </c>
    </row>
    <row r="10" spans="1:14" ht="15" customHeight="1" x14ac:dyDescent="0.3">
      <c r="A10" s="24" t="s">
        <v>18</v>
      </c>
      <c r="B10" s="25"/>
      <c r="C10" s="27">
        <v>67561</v>
      </c>
      <c r="D10" s="28" t="s">
        <v>149</v>
      </c>
      <c r="E10" s="26" t="s">
        <v>149</v>
      </c>
      <c r="F10" s="29">
        <v>3.9E-2</v>
      </c>
      <c r="G10" s="29">
        <f t="shared" ref="G10:G11" si="3">F10*$C$19/453.592*3600</f>
        <v>0.61905853718760473</v>
      </c>
      <c r="H10" s="30" t="str">
        <f>$A$18</f>
        <v>(a)</v>
      </c>
      <c r="I10" s="31">
        <f t="shared" ref="I10:I11" si="4">F10/453.592*3600</f>
        <v>0.30952926859380236</v>
      </c>
      <c r="J10" s="32" t="str">
        <f>$A$20</f>
        <v>(b)</v>
      </c>
      <c r="K10" s="44">
        <f t="shared" ref="K10:K11" si="5">G10*24</f>
        <v>14.857404892502514</v>
      </c>
      <c r="L10" s="34" t="str">
        <f>$A$21</f>
        <v>(c)</v>
      </c>
      <c r="M10" s="35">
        <f t="shared" ref="M10:M11" si="6">$I10*8760</f>
        <v>2711.4763928817088</v>
      </c>
      <c r="N10" s="36" t="str">
        <f>$A$22</f>
        <v>(d)</v>
      </c>
    </row>
    <row r="11" spans="1:14" ht="15" customHeight="1" x14ac:dyDescent="0.3">
      <c r="A11" s="24" t="s">
        <v>19</v>
      </c>
      <c r="B11" s="25"/>
      <c r="C11" s="45">
        <v>78933</v>
      </c>
      <c r="D11" s="28" t="s">
        <v>150</v>
      </c>
      <c r="E11" s="26" t="s">
        <v>149</v>
      </c>
      <c r="F11" s="29">
        <v>3.4749999999999998E-3</v>
      </c>
      <c r="G11" s="46">
        <f t="shared" si="3"/>
        <v>5.5159702992998105E-2</v>
      </c>
      <c r="H11" s="47" t="str">
        <f>$A$18</f>
        <v>(a)</v>
      </c>
      <c r="I11" s="48">
        <f t="shared" si="4"/>
        <v>2.7579851496499053E-2</v>
      </c>
      <c r="J11" s="49" t="str">
        <f>$A$20</f>
        <v>(b)</v>
      </c>
      <c r="K11" s="50">
        <f t="shared" si="5"/>
        <v>1.3238328718319545</v>
      </c>
      <c r="L11" s="51" t="str">
        <f>$A$21</f>
        <v>(c)</v>
      </c>
      <c r="M11" s="52">
        <f t="shared" si="6"/>
        <v>241.5994991093317</v>
      </c>
      <c r="N11" s="53" t="str">
        <f>$A$22</f>
        <v>(d)</v>
      </c>
    </row>
    <row r="12" spans="1:14" s="3" customFormat="1" ht="15" customHeight="1" x14ac:dyDescent="0.3">
      <c r="A12" s="54" t="s">
        <v>20</v>
      </c>
      <c r="B12" s="55"/>
      <c r="C12" s="55"/>
      <c r="D12" s="55"/>
      <c r="E12" s="56"/>
      <c r="F12" s="57"/>
      <c r="G12" s="57"/>
      <c r="H12" s="57"/>
      <c r="I12" s="57"/>
      <c r="J12" s="57"/>
      <c r="K12" s="57">
        <f>SUM(K$7:K$11)</f>
        <v>18.309458953691234</v>
      </c>
      <c r="L12" s="58"/>
      <c r="M12" s="59">
        <f>SUM(M$7:M$11)</f>
        <v>3320.2438106710692</v>
      </c>
      <c r="N12" s="60"/>
    </row>
    <row r="13" spans="1:14" s="3" customFormat="1" ht="15" customHeight="1" thickBot="1" x14ac:dyDescent="0.35">
      <c r="A13" s="62" t="s">
        <v>21</v>
      </c>
      <c r="B13" s="63"/>
      <c r="C13" s="63"/>
      <c r="D13" s="63"/>
      <c r="E13" s="64"/>
      <c r="F13" s="65"/>
      <c r="G13" s="65"/>
      <c r="H13" s="65"/>
      <c r="I13" s="65"/>
      <c r="J13" s="65"/>
      <c r="K13" s="65">
        <f>SUMIF($E$7:$E$11,"Yes",K$7:K$11)</f>
        <v>18.309458953691234</v>
      </c>
      <c r="L13" s="66"/>
      <c r="M13" s="67">
        <f>SUMIF($E$7:$E$11,"Yes",M$7:M$11)</f>
        <v>3320.2438106710692</v>
      </c>
      <c r="N13" s="68"/>
    </row>
    <row r="14" spans="1:14" ht="15" customHeight="1" x14ac:dyDescent="0.3">
      <c r="A14" s="69" t="s">
        <v>22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  <c r="L14" s="71"/>
      <c r="M14" s="61"/>
      <c r="N14" s="61"/>
    </row>
    <row r="15" spans="1:14" ht="15" customHeight="1" x14ac:dyDescent="0.3">
      <c r="A15" s="72" t="s">
        <v>23</v>
      </c>
      <c r="B15" s="70"/>
      <c r="C15" s="70"/>
      <c r="D15" s="70"/>
      <c r="E15" s="70"/>
      <c r="F15" s="70"/>
      <c r="G15" s="70"/>
      <c r="H15" s="70"/>
      <c r="I15" s="73"/>
      <c r="J15" s="74"/>
      <c r="K15" s="71"/>
      <c r="L15" s="71"/>
      <c r="M15" s="61"/>
      <c r="N15" s="61"/>
    </row>
    <row r="16" spans="1:14" ht="15" customHeight="1" x14ac:dyDescent="0.3">
      <c r="A16" s="72" t="s">
        <v>24</v>
      </c>
      <c r="B16" s="70"/>
      <c r="C16" s="70"/>
      <c r="D16" s="70"/>
      <c r="E16" s="70"/>
      <c r="F16" s="70"/>
      <c r="G16" s="70"/>
      <c r="H16" s="70"/>
      <c r="I16" s="73"/>
      <c r="J16" s="70"/>
      <c r="K16" s="71"/>
      <c r="L16" s="71"/>
      <c r="M16" s="61"/>
      <c r="N16" s="61"/>
    </row>
    <row r="17" spans="1:14" ht="15" customHeight="1" x14ac:dyDescent="0.3">
      <c r="A17" s="72" t="s">
        <v>25</v>
      </c>
      <c r="B17" s="70"/>
      <c r="C17" s="70"/>
      <c r="D17" s="70"/>
      <c r="E17" s="70"/>
      <c r="F17" s="70"/>
      <c r="G17" s="70"/>
      <c r="H17" s="70"/>
      <c r="I17" s="73"/>
      <c r="J17" s="70"/>
      <c r="K17" s="71"/>
      <c r="L17" s="71"/>
      <c r="M17" s="61"/>
      <c r="N17" s="61"/>
    </row>
    <row r="18" spans="1:14" ht="15" customHeight="1" x14ac:dyDescent="0.3">
      <c r="A18" s="71" t="s">
        <v>137</v>
      </c>
      <c r="B18" s="75" t="s">
        <v>26</v>
      </c>
      <c r="C18" s="70"/>
      <c r="D18" s="70"/>
      <c r="E18" s="70"/>
      <c r="F18" s="70"/>
      <c r="G18" s="70"/>
      <c r="H18" s="70"/>
      <c r="I18" s="70"/>
      <c r="J18" s="70"/>
      <c r="K18" s="71"/>
      <c r="L18" s="71"/>
      <c r="M18" s="61"/>
      <c r="N18" s="61"/>
    </row>
    <row r="19" spans="1:14" ht="15" customHeight="1" x14ac:dyDescent="0.3">
      <c r="A19" s="71"/>
      <c r="B19" s="74" t="s">
        <v>27</v>
      </c>
      <c r="C19" s="76">
        <v>2</v>
      </c>
      <c r="D19" s="75" t="str">
        <f>$A$34</f>
        <v>(2)</v>
      </c>
      <c r="E19" s="70"/>
      <c r="F19" s="70"/>
      <c r="G19" s="70"/>
      <c r="H19" s="70"/>
      <c r="I19" s="70"/>
      <c r="J19" s="70"/>
      <c r="K19" s="71"/>
      <c r="L19" s="71"/>
      <c r="M19" s="77"/>
      <c r="N19" s="61"/>
    </row>
    <row r="20" spans="1:14" ht="15" customHeight="1" x14ac:dyDescent="0.3">
      <c r="A20" s="71" t="s">
        <v>138</v>
      </c>
      <c r="B20" s="75" t="s">
        <v>28</v>
      </c>
      <c r="C20" s="76"/>
      <c r="D20" s="75"/>
      <c r="E20" s="70"/>
      <c r="F20" s="70"/>
      <c r="G20" s="70"/>
      <c r="H20" s="70"/>
      <c r="I20" s="70"/>
      <c r="J20" s="70"/>
      <c r="K20" s="71"/>
      <c r="L20" s="71"/>
      <c r="M20" s="77"/>
      <c r="N20" s="61"/>
    </row>
    <row r="21" spans="1:14" ht="15" customHeight="1" x14ac:dyDescent="0.3">
      <c r="A21" s="71" t="s">
        <v>139</v>
      </c>
      <c r="B21" s="75" t="s">
        <v>29</v>
      </c>
      <c r="C21" s="70"/>
      <c r="D21" s="70"/>
      <c r="E21" s="70"/>
      <c r="F21" s="70"/>
      <c r="G21" s="70"/>
      <c r="H21" s="70"/>
      <c r="I21" s="70"/>
      <c r="J21" s="70"/>
      <c r="K21" s="71"/>
      <c r="L21" s="71"/>
      <c r="M21" s="77"/>
      <c r="N21" s="61"/>
    </row>
    <row r="22" spans="1:14" ht="15" customHeight="1" x14ac:dyDescent="0.3">
      <c r="A22" s="71" t="s">
        <v>140</v>
      </c>
      <c r="B22" s="75" t="s">
        <v>30</v>
      </c>
      <c r="C22" s="76"/>
      <c r="D22" s="75"/>
      <c r="E22" s="70"/>
      <c r="F22" s="70"/>
      <c r="G22" s="70"/>
      <c r="H22" s="70"/>
      <c r="I22" s="70"/>
      <c r="J22" s="70"/>
      <c r="K22" s="71"/>
      <c r="L22" s="71"/>
      <c r="M22" s="77"/>
      <c r="N22" s="61"/>
    </row>
    <row r="23" spans="1:14" ht="15" customHeight="1" x14ac:dyDescent="0.3">
      <c r="A23" s="71" t="s">
        <v>141</v>
      </c>
      <c r="B23" s="75" t="s">
        <v>31</v>
      </c>
      <c r="C23" s="76"/>
      <c r="D23" s="75"/>
      <c r="E23" s="70"/>
      <c r="F23" s="70"/>
      <c r="G23" s="70"/>
      <c r="H23" s="70"/>
      <c r="I23" s="70"/>
      <c r="J23" s="70"/>
      <c r="K23" s="71"/>
      <c r="L23" s="71"/>
      <c r="M23" s="77"/>
      <c r="N23" s="61"/>
    </row>
    <row r="24" spans="1:14" ht="15" customHeight="1" x14ac:dyDescent="0.3">
      <c r="A24" s="71" t="s">
        <v>142</v>
      </c>
      <c r="B24" s="75" t="s">
        <v>32</v>
      </c>
      <c r="C24" s="70"/>
      <c r="D24" s="70"/>
      <c r="E24" s="70"/>
      <c r="F24" s="70"/>
      <c r="G24" s="70"/>
      <c r="H24" s="70"/>
      <c r="I24" s="70"/>
      <c r="J24" s="70"/>
      <c r="K24" s="71"/>
      <c r="L24" s="71"/>
      <c r="M24" s="61"/>
      <c r="N24" s="61"/>
    </row>
    <row r="25" spans="1:14" ht="15" customHeight="1" x14ac:dyDescent="0.3">
      <c r="A25" s="71" t="s">
        <v>143</v>
      </c>
      <c r="B25" s="75" t="s">
        <v>33</v>
      </c>
      <c r="C25" s="70"/>
      <c r="D25" s="70"/>
      <c r="E25" s="70"/>
      <c r="F25" s="70"/>
      <c r="G25" s="70"/>
      <c r="H25" s="70"/>
      <c r="I25" s="70"/>
      <c r="J25" s="70"/>
      <c r="K25" s="71"/>
      <c r="L25" s="71"/>
      <c r="M25" s="61"/>
      <c r="N25" s="61"/>
    </row>
    <row r="26" spans="1:14" ht="15" customHeight="1" x14ac:dyDescent="0.3">
      <c r="A26" s="71"/>
      <c r="B26" s="74" t="s">
        <v>34</v>
      </c>
      <c r="C26" s="70">
        <v>25.4</v>
      </c>
      <c r="D26" s="75" t="str">
        <f>$A$35</f>
        <v>(3)</v>
      </c>
      <c r="E26" s="70"/>
      <c r="F26" s="70"/>
      <c r="G26" s="70"/>
      <c r="H26" s="70"/>
      <c r="I26" s="70"/>
      <c r="J26" s="70"/>
      <c r="K26" s="71"/>
      <c r="L26" s="71"/>
      <c r="M26" s="61"/>
      <c r="N26" s="61"/>
    </row>
    <row r="27" spans="1:14" ht="15" customHeight="1" x14ac:dyDescent="0.3">
      <c r="A27" s="71"/>
      <c r="B27" s="74" t="s">
        <v>35</v>
      </c>
      <c r="C27" s="78">
        <v>1.7109144542772854</v>
      </c>
      <c r="D27" s="75" t="str">
        <f>$A$36</f>
        <v>(4)</v>
      </c>
      <c r="E27" s="70"/>
      <c r="F27" s="70"/>
      <c r="G27" s="70"/>
      <c r="H27" s="70"/>
      <c r="I27" s="70"/>
      <c r="J27" s="70"/>
      <c r="K27" s="71"/>
      <c r="L27" s="71"/>
      <c r="M27" s="61"/>
      <c r="N27" s="61"/>
    </row>
    <row r="28" spans="1:14" ht="15" customHeight="1" x14ac:dyDescent="0.3">
      <c r="A28" s="71" t="s">
        <v>144</v>
      </c>
      <c r="B28" s="75" t="s">
        <v>36</v>
      </c>
      <c r="C28" s="70"/>
      <c r="D28" s="70"/>
      <c r="E28" s="70"/>
      <c r="F28" s="70"/>
      <c r="G28" s="70"/>
      <c r="H28" s="70"/>
      <c r="I28" s="70"/>
      <c r="J28" s="70"/>
      <c r="K28" s="71"/>
      <c r="L28" s="71"/>
      <c r="M28" s="61"/>
      <c r="N28" s="61"/>
    </row>
    <row r="29" spans="1:14" ht="15" customHeight="1" x14ac:dyDescent="0.3">
      <c r="A29" s="71"/>
      <c r="B29" s="74" t="s">
        <v>37</v>
      </c>
      <c r="C29" s="80">
        <v>3394.5000000000005</v>
      </c>
      <c r="D29" s="75" t="str">
        <f>$A$35</f>
        <v>(3)</v>
      </c>
      <c r="E29" s="70"/>
      <c r="F29" s="70"/>
      <c r="G29" s="70"/>
      <c r="H29" s="70"/>
      <c r="I29" s="70"/>
      <c r="J29" s="70"/>
      <c r="K29" s="71"/>
      <c r="L29" s="71"/>
      <c r="M29" s="61"/>
      <c r="N29" s="61"/>
    </row>
    <row r="30" spans="1:14" ht="15" customHeight="1" x14ac:dyDescent="0.3">
      <c r="A30" s="71"/>
      <c r="B30" s="74" t="s">
        <v>35</v>
      </c>
      <c r="C30" s="81">
        <v>1.7109144542772854</v>
      </c>
      <c r="D30" s="75" t="str">
        <f>$A$36</f>
        <v>(4)</v>
      </c>
      <c r="E30" s="70"/>
      <c r="F30" s="70"/>
      <c r="G30" s="70"/>
      <c r="H30" s="70"/>
      <c r="I30" s="70"/>
      <c r="J30" s="70"/>
      <c r="K30" s="71"/>
      <c r="L30" s="71"/>
      <c r="M30" s="61"/>
      <c r="N30" s="61"/>
    </row>
    <row r="31" spans="1:14" ht="15" customHeight="1" x14ac:dyDescent="0.3">
      <c r="A31" s="74"/>
      <c r="B31" s="70"/>
      <c r="C31" s="70"/>
      <c r="D31" s="70"/>
      <c r="E31" s="70"/>
      <c r="F31" s="70"/>
      <c r="G31" s="70"/>
      <c r="H31" s="70"/>
      <c r="I31" s="70"/>
      <c r="J31" s="70"/>
      <c r="K31" s="71"/>
      <c r="L31" s="71"/>
      <c r="M31" s="61"/>
      <c r="N31" s="61"/>
    </row>
    <row r="32" spans="1:14" ht="15" customHeight="1" x14ac:dyDescent="0.3">
      <c r="A32" s="8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  <c r="L32" s="71"/>
      <c r="M32" s="61"/>
      <c r="N32" s="61"/>
    </row>
    <row r="33" spans="1:14" ht="15" customHeight="1" x14ac:dyDescent="0.3">
      <c r="A33" s="83" t="s">
        <v>145</v>
      </c>
      <c r="B33" s="69" t="s">
        <v>39</v>
      </c>
      <c r="C33" s="70"/>
      <c r="D33" s="70"/>
      <c r="E33" s="70"/>
      <c r="F33" s="70"/>
      <c r="G33" s="70"/>
      <c r="H33" s="70"/>
      <c r="I33" s="70"/>
      <c r="J33" s="70"/>
      <c r="K33" s="71"/>
      <c r="L33" s="71"/>
      <c r="M33" s="61"/>
      <c r="N33" s="61"/>
    </row>
    <row r="34" spans="1:14" ht="15" customHeight="1" x14ac:dyDescent="0.3">
      <c r="A34" s="83" t="s">
        <v>146</v>
      </c>
      <c r="B34" s="75" t="s">
        <v>40</v>
      </c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61"/>
      <c r="N34" s="61"/>
    </row>
    <row r="35" spans="1:14" ht="15" customHeight="1" x14ac:dyDescent="0.3">
      <c r="A35" s="83" t="s">
        <v>147</v>
      </c>
      <c r="B35" s="69" t="s">
        <v>41</v>
      </c>
      <c r="C35" s="70"/>
      <c r="D35" s="70"/>
      <c r="E35" s="70"/>
      <c r="F35" s="70"/>
      <c r="G35" s="70"/>
      <c r="H35" s="70"/>
      <c r="I35" s="70"/>
      <c r="J35" s="70"/>
      <c r="K35" s="71"/>
      <c r="L35" s="71"/>
      <c r="M35" s="61"/>
      <c r="N35" s="61"/>
    </row>
    <row r="36" spans="1:14" ht="15" customHeight="1" x14ac:dyDescent="0.3">
      <c r="A36" s="83" t="s">
        <v>148</v>
      </c>
      <c r="B36" s="69" t="s">
        <v>42</v>
      </c>
      <c r="C36" s="70"/>
      <c r="D36" s="70"/>
      <c r="E36" s="70"/>
      <c r="F36" s="70"/>
      <c r="G36" s="70"/>
      <c r="H36" s="70"/>
      <c r="I36" s="70"/>
      <c r="J36" s="70"/>
      <c r="K36" s="71"/>
      <c r="L36" s="71"/>
      <c r="M36" s="61"/>
      <c r="N36" s="61"/>
    </row>
    <row r="37" spans="1:14" ht="15" customHeight="1" x14ac:dyDescent="0.3">
      <c r="C37" s="4"/>
      <c r="D37" s="4"/>
      <c r="E37" s="4"/>
      <c r="F37" s="4"/>
      <c r="G37" s="4"/>
      <c r="H37" s="4"/>
      <c r="I37" s="4"/>
      <c r="J37" s="4"/>
    </row>
    <row r="38" spans="1:14" ht="15" customHeight="1" x14ac:dyDescent="0.3">
      <c r="K38" s="84"/>
      <c r="L38" s="84"/>
    </row>
    <row r="39" spans="1:14" ht="15" customHeight="1" x14ac:dyDescent="0.3">
      <c r="J39" s="4"/>
    </row>
    <row r="40" spans="1:14" ht="15" customHeight="1" x14ac:dyDescent="0.3">
      <c r="J40" s="4"/>
    </row>
    <row r="41" spans="1:14" ht="15" customHeight="1" x14ac:dyDescent="0.3">
      <c r="F41" s="4"/>
      <c r="G41" s="79"/>
      <c r="H41" s="79"/>
      <c r="I41" s="79"/>
      <c r="J41" s="4"/>
    </row>
    <row r="42" spans="1:14" ht="15" customHeight="1" x14ac:dyDescent="0.3">
      <c r="F42" s="4"/>
      <c r="G42" s="79"/>
      <c r="H42" s="79"/>
      <c r="I42" s="79"/>
      <c r="J42" s="4"/>
    </row>
    <row r="43" spans="1:14" ht="15" customHeight="1" x14ac:dyDescent="0.3">
      <c r="F43" s="4"/>
      <c r="G43" s="79"/>
      <c r="H43" s="79"/>
      <c r="I43" s="79"/>
      <c r="J43" s="4"/>
    </row>
    <row r="44" spans="1:14" ht="15" customHeight="1" x14ac:dyDescent="0.3">
      <c r="F44" s="4"/>
      <c r="G44" s="79"/>
      <c r="H44" s="79"/>
      <c r="I44" s="79"/>
      <c r="J44" s="4"/>
    </row>
    <row r="45" spans="1:14" ht="15" customHeight="1" x14ac:dyDescent="0.3">
      <c r="F45" s="4"/>
      <c r="G45" s="79"/>
      <c r="H45" s="79"/>
      <c r="I45" s="79"/>
      <c r="J45" s="4"/>
    </row>
  </sheetData>
  <mergeCells count="9">
    <mergeCell ref="C5:C6"/>
    <mergeCell ref="K5:N5"/>
    <mergeCell ref="G6:H6"/>
    <mergeCell ref="I6:J6"/>
    <mergeCell ref="A5:B6"/>
    <mergeCell ref="D5:D6"/>
    <mergeCell ref="E5:E6"/>
    <mergeCell ref="F5:F6"/>
    <mergeCell ref="G5:J5"/>
  </mergeCells>
  <conditionalFormatting sqref="F7:N13">
    <cfRule type="cellIs" dxfId="95" priority="1" operator="equal">
      <formula>0</formula>
    </cfRule>
    <cfRule type="cellIs" dxfId="94" priority="2" operator="greaterThanOrEqual">
      <formula>100</formula>
    </cfRule>
    <cfRule type="cellIs" dxfId="93" priority="3" operator="between">
      <formula>10</formula>
      <formula>100</formula>
    </cfRule>
    <cfRule type="cellIs" dxfId="92" priority="4" operator="between">
      <formula>0.1</formula>
      <formula>10</formula>
    </cfRule>
    <cfRule type="cellIs" dxfId="91" priority="5" operator="between">
      <formula>0.01</formula>
      <formula>0.1</formula>
    </cfRule>
    <cfRule type="cellIs" dxfId="90" priority="6" operator="lessThan">
      <formula>0.01</formula>
    </cfRule>
  </conditionalFormatting>
  <pageMargins left="0.7" right="0.7" top="0.75" bottom="0.75" header="0.3" footer="0.3"/>
  <pageSetup scale="86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9BC8-AB8E-4A97-A4AE-7FCF6C1CD221}">
  <sheetPr>
    <pageSetUpPr fitToPage="1"/>
  </sheetPr>
  <dimension ref="A1:N38"/>
  <sheetViews>
    <sheetView zoomScale="85" zoomScaleNormal="85" workbookViewId="0">
      <selection activeCell="N26" sqref="N26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3" style="5" bestFit="1" customWidth="1"/>
    <col min="4" max="5" width="9.140625" style="5"/>
    <col min="6" max="7" width="12.85546875" style="5" customWidth="1"/>
    <col min="8" max="8" width="3.5703125" style="5" customWidth="1"/>
    <col min="9" max="9" width="12.85546875" style="5" customWidth="1"/>
    <col min="10" max="10" width="3.5703125" style="5" customWidth="1"/>
    <col min="11" max="11" width="12.85546875" style="4" customWidth="1"/>
    <col min="12" max="12" width="3.5703125" style="4" customWidth="1"/>
    <col min="13" max="13" width="12.85546875" style="4" customWidth="1"/>
    <col min="14" max="14" width="3.5703125" style="4" customWidth="1"/>
    <col min="15" max="15" width="3.7109375" style="4" customWidth="1"/>
    <col min="16" max="16384" width="9.140625" style="4"/>
  </cols>
  <sheetData>
    <row r="1" spans="1:14" s="1" customFormat="1" ht="18" customHeight="1" x14ac:dyDescent="0.3">
      <c r="A1" s="1" t="s">
        <v>43</v>
      </c>
      <c r="C1" s="2"/>
      <c r="D1" s="2"/>
      <c r="E1" s="2"/>
      <c r="F1" s="2"/>
      <c r="G1" s="2"/>
      <c r="H1" s="2"/>
      <c r="I1" s="2"/>
      <c r="J1" s="2"/>
      <c r="K1"/>
      <c r="L1"/>
      <c r="M1"/>
      <c r="N1"/>
    </row>
    <row r="2" spans="1:14" s="1" customFormat="1" ht="18" customHeight="1" x14ac:dyDescent="0.3">
      <c r="A2" s="1" t="s">
        <v>44</v>
      </c>
      <c r="C2" s="2"/>
      <c r="D2" s="2"/>
      <c r="E2" s="2"/>
      <c r="F2" s="2"/>
      <c r="G2" s="2"/>
      <c r="H2" s="2"/>
      <c r="I2" s="2"/>
      <c r="J2" s="2"/>
      <c r="K2"/>
      <c r="L2"/>
      <c r="M2"/>
      <c r="N2"/>
    </row>
    <row r="3" spans="1:14" s="1" customFormat="1" ht="18" customHeight="1" x14ac:dyDescent="0.3">
      <c r="A3" s="1" t="s">
        <v>2</v>
      </c>
      <c r="C3" s="2"/>
      <c r="D3" s="2"/>
      <c r="E3" s="2"/>
      <c r="F3" s="2"/>
      <c r="G3" s="2"/>
      <c r="H3" s="2"/>
      <c r="I3" s="2"/>
      <c r="J3" s="2"/>
    </row>
    <row r="4" spans="1:14" ht="15" customHeight="1" thickBot="1" x14ac:dyDescent="0.35"/>
    <row r="5" spans="1:14" s="6" customFormat="1" ht="30" customHeight="1" x14ac:dyDescent="0.3">
      <c r="A5" s="322" t="s">
        <v>3</v>
      </c>
      <c r="B5" s="323"/>
      <c r="C5" s="313" t="s">
        <v>4</v>
      </c>
      <c r="D5" s="326" t="s">
        <v>5</v>
      </c>
      <c r="E5" s="328" t="s">
        <v>6</v>
      </c>
      <c r="F5" s="313" t="s">
        <v>45</v>
      </c>
      <c r="G5" s="315" t="s">
        <v>8</v>
      </c>
      <c r="H5" s="316"/>
      <c r="I5" s="316"/>
      <c r="J5" s="317"/>
      <c r="K5" s="315" t="s">
        <v>9</v>
      </c>
      <c r="L5" s="316"/>
      <c r="M5" s="316"/>
      <c r="N5" s="317"/>
    </row>
    <row r="6" spans="1:14" s="6" customFormat="1" ht="30" customHeight="1" thickBot="1" x14ac:dyDescent="0.35">
      <c r="A6" s="324"/>
      <c r="B6" s="325"/>
      <c r="C6" s="314"/>
      <c r="D6" s="327"/>
      <c r="E6" s="329"/>
      <c r="F6" s="314"/>
      <c r="G6" s="318" t="s">
        <v>10</v>
      </c>
      <c r="H6" s="319"/>
      <c r="I6" s="320" t="s">
        <v>11</v>
      </c>
      <c r="J6" s="321"/>
      <c r="K6" s="7" t="s">
        <v>12</v>
      </c>
      <c r="L6" s="8"/>
      <c r="M6" s="9" t="s">
        <v>13</v>
      </c>
      <c r="N6" s="10"/>
    </row>
    <row r="7" spans="1:14" ht="15" customHeight="1" x14ac:dyDescent="0.3">
      <c r="A7" s="11" t="s">
        <v>14</v>
      </c>
      <c r="B7" s="12"/>
      <c r="C7" s="85">
        <v>75070</v>
      </c>
      <c r="D7" s="14" t="s">
        <v>149</v>
      </c>
      <c r="E7" s="15" t="s">
        <v>149</v>
      </c>
      <c r="F7" s="16">
        <v>9.4999999999999998E-3</v>
      </c>
      <c r="G7" s="16">
        <f>F7*$C$19/453.592*3600</f>
        <v>0.15079631034057039</v>
      </c>
      <c r="H7" s="17" t="str">
        <f>$A$18</f>
        <v>(a)</v>
      </c>
      <c r="I7" s="18">
        <f>F7/453.592*3600</f>
        <v>7.5398155170285197E-2</v>
      </c>
      <c r="J7" s="19" t="str">
        <f>$A$20</f>
        <v>(b)</v>
      </c>
      <c r="K7" s="20">
        <f>$G7*24</f>
        <v>3.6191114481736895</v>
      </c>
      <c r="L7" s="21" t="str">
        <f>$A$21</f>
        <v>(c)</v>
      </c>
      <c r="M7" s="22">
        <f>$I7*8760</f>
        <v>660.48783929169838</v>
      </c>
      <c r="N7" s="23" t="str">
        <f>$A$22</f>
        <v>(d)</v>
      </c>
    </row>
    <row r="8" spans="1:14" ht="15" customHeight="1" x14ac:dyDescent="0.3">
      <c r="A8" s="24" t="s">
        <v>15</v>
      </c>
      <c r="B8" s="25"/>
      <c r="C8" s="27">
        <v>50000</v>
      </c>
      <c r="D8" s="28" t="s">
        <v>149</v>
      </c>
      <c r="E8" s="26" t="s">
        <v>149</v>
      </c>
      <c r="F8" s="26">
        <v>5.075E-5</v>
      </c>
      <c r="G8" s="29">
        <f>F8*$C$19/453.592*3600</f>
        <v>8.055697631351523E-4</v>
      </c>
      <c r="H8" s="30" t="str">
        <f>$A$18</f>
        <v>(a)</v>
      </c>
      <c r="I8" s="31">
        <f>F8/453.592*3600</f>
        <v>4.0278488156757615E-4</v>
      </c>
      <c r="J8" s="32" t="str">
        <f>$A$20</f>
        <v>(b)</v>
      </c>
      <c r="K8" s="44">
        <f t="shared" ref="K8" si="0">$G8*24</f>
        <v>1.9333674315243656E-2</v>
      </c>
      <c r="L8" s="34" t="str">
        <f>$A$21</f>
        <v>(c)</v>
      </c>
      <c r="M8" s="35">
        <f t="shared" ref="M8" si="1">$I8*8760</f>
        <v>3.528395562531967</v>
      </c>
      <c r="N8" s="36" t="str">
        <f>$A$22</f>
        <v>(d)</v>
      </c>
    </row>
    <row r="9" spans="1:14" ht="15" customHeight="1" x14ac:dyDescent="0.3">
      <c r="A9" s="24" t="s">
        <v>16</v>
      </c>
      <c r="B9" s="25"/>
      <c r="C9" s="27">
        <v>7783064</v>
      </c>
      <c r="D9" s="28" t="s">
        <v>150</v>
      </c>
      <c r="E9" s="26" t="s">
        <v>149</v>
      </c>
      <c r="F9" s="37" t="s">
        <v>17</v>
      </c>
      <c r="G9" s="37">
        <f>K9/24</f>
        <v>0.68245329400196653</v>
      </c>
      <c r="H9" s="38" t="str">
        <f>$A$23</f>
        <v>(e)</v>
      </c>
      <c r="I9" s="39">
        <f>M9/8760</f>
        <v>0.24987463126843662</v>
      </c>
      <c r="J9" s="40" t="str">
        <f>$A$24</f>
        <v>(f)</v>
      </c>
      <c r="K9" s="33">
        <f>C26*C27/100</f>
        <v>16.378879056047197</v>
      </c>
      <c r="L9" s="41" t="str">
        <f>$A$25</f>
        <v>(g)</v>
      </c>
      <c r="M9" s="42">
        <f>C29*C30/100</f>
        <v>2188.9017699115047</v>
      </c>
      <c r="N9" s="43" t="str">
        <f>$A$28</f>
        <v>(h)</v>
      </c>
    </row>
    <row r="10" spans="1:14" ht="15" customHeight="1" x14ac:dyDescent="0.3">
      <c r="A10" s="24" t="s">
        <v>18</v>
      </c>
      <c r="B10" s="25"/>
      <c r="C10" s="27">
        <v>67561</v>
      </c>
      <c r="D10" s="28" t="s">
        <v>149</v>
      </c>
      <c r="E10" s="26" t="s">
        <v>149</v>
      </c>
      <c r="F10" s="26">
        <v>1.8500000000000003E-2</v>
      </c>
      <c r="G10" s="29">
        <f>F10*$C$19/453.592*3600</f>
        <v>0.29365597276847921</v>
      </c>
      <c r="H10" s="30" t="str">
        <f>$A$18</f>
        <v>(a)</v>
      </c>
      <c r="I10" s="31">
        <f>F10/453.592*3600</f>
        <v>0.14682798638423961</v>
      </c>
      <c r="J10" s="32" t="str">
        <f>$A$20</f>
        <v>(b)</v>
      </c>
      <c r="K10" s="44">
        <f t="shared" ref="K10:K11" si="2">$G10*24</f>
        <v>7.0477433464435011</v>
      </c>
      <c r="L10" s="34" t="str">
        <f>$A$21</f>
        <v>(c)</v>
      </c>
      <c r="M10" s="35">
        <f t="shared" ref="M10:M11" si="3">$I10*8760</f>
        <v>1286.2131607259389</v>
      </c>
      <c r="N10" s="36" t="str">
        <f>$A$22</f>
        <v>(d)</v>
      </c>
    </row>
    <row r="11" spans="1:14" ht="15" customHeight="1" x14ac:dyDescent="0.3">
      <c r="A11" s="86" t="s">
        <v>19</v>
      </c>
      <c r="B11" s="87"/>
      <c r="C11" s="89">
        <v>78933</v>
      </c>
      <c r="D11" s="88" t="s">
        <v>150</v>
      </c>
      <c r="E11" s="90" t="s">
        <v>149</v>
      </c>
      <c r="F11" s="90">
        <v>9.4500000000000001E-3</v>
      </c>
      <c r="G11" s="46">
        <f>F11*$C$19/453.592*3600</f>
        <v>0.15000264554930423</v>
      </c>
      <c r="H11" s="91" t="str">
        <f>$A$18</f>
        <v>(a)</v>
      </c>
      <c r="I11" s="48">
        <f>F11/453.592*3600</f>
        <v>7.5001322774652115E-2</v>
      </c>
      <c r="J11" s="92" t="str">
        <f>$A$20</f>
        <v>(b)</v>
      </c>
      <c r="K11" s="93">
        <f t="shared" si="2"/>
        <v>3.6000634931833018</v>
      </c>
      <c r="L11" s="94" t="str">
        <f>$A$21</f>
        <v>(c)</v>
      </c>
      <c r="M11" s="95">
        <f t="shared" si="3"/>
        <v>657.01158750595255</v>
      </c>
      <c r="N11" s="96" t="str">
        <f>$A$22</f>
        <v>(d)</v>
      </c>
    </row>
    <row r="12" spans="1:14" s="3" customFormat="1" ht="15" customHeight="1" x14ac:dyDescent="0.3">
      <c r="A12" s="54" t="s">
        <v>20</v>
      </c>
      <c r="B12" s="55"/>
      <c r="C12" s="55"/>
      <c r="D12" s="55"/>
      <c r="E12" s="56"/>
      <c r="F12" s="57"/>
      <c r="G12" s="57"/>
      <c r="H12" s="57"/>
      <c r="I12" s="57"/>
      <c r="J12" s="57"/>
      <c r="K12" s="57">
        <f>SUM(K$7:K$11)</f>
        <v>30.665131018162931</v>
      </c>
      <c r="L12" s="58"/>
      <c r="M12" s="56">
        <f>SUM(M$7:M$11)</f>
        <v>4796.1427529976263</v>
      </c>
      <c r="N12" s="97"/>
    </row>
    <row r="13" spans="1:14" s="3" customFormat="1" ht="15" customHeight="1" thickBot="1" x14ac:dyDescent="0.35">
      <c r="A13" s="62" t="s">
        <v>21</v>
      </c>
      <c r="B13" s="63"/>
      <c r="C13" s="63"/>
      <c r="D13" s="63"/>
      <c r="E13" s="64"/>
      <c r="F13" s="65"/>
      <c r="G13" s="65"/>
      <c r="H13" s="65"/>
      <c r="I13" s="65"/>
      <c r="J13" s="65"/>
      <c r="K13" s="65">
        <f>SUMIF($E$7:$E$11,"Yes",K$7:K$11)</f>
        <v>30.665131018162931</v>
      </c>
      <c r="L13" s="66"/>
      <c r="M13" s="64">
        <f>SUMIF($E$7:$E$11,"Yes",M$7:M$11)</f>
        <v>4796.1427529976263</v>
      </c>
      <c r="N13" s="98"/>
    </row>
    <row r="14" spans="1:14" ht="15" customHeight="1" x14ac:dyDescent="0.3">
      <c r="A14" s="69" t="s">
        <v>22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  <c r="L14" s="71"/>
      <c r="M14" s="61"/>
      <c r="N14" s="61"/>
    </row>
    <row r="15" spans="1:14" ht="15" customHeight="1" x14ac:dyDescent="0.3">
      <c r="A15" s="72" t="s">
        <v>23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  <c r="L15" s="71"/>
      <c r="M15" s="61"/>
      <c r="N15" s="61"/>
    </row>
    <row r="16" spans="1:14" ht="15" customHeight="1" x14ac:dyDescent="0.3">
      <c r="A16" s="72" t="s">
        <v>24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61"/>
      <c r="N16" s="61"/>
    </row>
    <row r="17" spans="1:14" ht="15" customHeight="1" x14ac:dyDescent="0.3">
      <c r="A17" s="72" t="s">
        <v>25</v>
      </c>
      <c r="B17" s="70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61"/>
      <c r="N17" s="61"/>
    </row>
    <row r="18" spans="1:14" ht="15" customHeight="1" x14ac:dyDescent="0.3">
      <c r="A18" s="71" t="s">
        <v>137</v>
      </c>
      <c r="B18" s="75" t="s">
        <v>26</v>
      </c>
      <c r="C18" s="70"/>
      <c r="D18" s="70"/>
      <c r="E18" s="70"/>
      <c r="F18" s="70"/>
      <c r="G18" s="70"/>
      <c r="H18" s="70"/>
      <c r="I18" s="70"/>
      <c r="J18" s="70"/>
      <c r="K18" s="71"/>
      <c r="L18" s="71"/>
      <c r="M18" s="61"/>
      <c r="N18" s="61"/>
    </row>
    <row r="19" spans="1:14" ht="15" customHeight="1" x14ac:dyDescent="0.3">
      <c r="A19" s="71"/>
      <c r="B19" s="74" t="s">
        <v>27</v>
      </c>
      <c r="C19" s="76">
        <v>2</v>
      </c>
      <c r="D19" s="75" t="str">
        <f>$A$34</f>
        <v>(2)</v>
      </c>
      <c r="E19" s="70"/>
      <c r="F19" s="70"/>
      <c r="G19" s="70"/>
      <c r="H19" s="70"/>
      <c r="I19" s="70"/>
      <c r="J19" s="70"/>
      <c r="K19" s="71"/>
      <c r="L19" s="71"/>
      <c r="M19" s="61"/>
      <c r="N19" s="61"/>
    </row>
    <row r="20" spans="1:14" ht="15" customHeight="1" x14ac:dyDescent="0.3">
      <c r="A20" s="71" t="s">
        <v>138</v>
      </c>
      <c r="B20" s="75" t="s">
        <v>28</v>
      </c>
      <c r="C20" s="70"/>
      <c r="D20" s="70"/>
      <c r="E20" s="70"/>
      <c r="F20" s="70"/>
      <c r="G20" s="70"/>
      <c r="H20" s="70"/>
      <c r="I20" s="70"/>
      <c r="J20" s="70"/>
      <c r="K20" s="71"/>
      <c r="L20" s="71"/>
      <c r="M20" s="61"/>
      <c r="N20" s="61"/>
    </row>
    <row r="21" spans="1:14" ht="15" customHeight="1" x14ac:dyDescent="0.3">
      <c r="A21" s="71" t="s">
        <v>139</v>
      </c>
      <c r="B21" s="75" t="s">
        <v>29</v>
      </c>
      <c r="C21" s="70"/>
      <c r="D21" s="70"/>
      <c r="E21" s="70"/>
      <c r="F21" s="70"/>
      <c r="G21" s="70"/>
      <c r="H21" s="70"/>
      <c r="I21" s="70"/>
      <c r="J21" s="70"/>
      <c r="K21" s="71"/>
      <c r="L21" s="71"/>
      <c r="M21" s="61"/>
      <c r="N21" s="61"/>
    </row>
    <row r="22" spans="1:14" ht="15" customHeight="1" x14ac:dyDescent="0.3">
      <c r="A22" s="71" t="s">
        <v>140</v>
      </c>
      <c r="B22" s="75" t="s">
        <v>30</v>
      </c>
      <c r="C22" s="70"/>
      <c r="D22" s="70"/>
      <c r="E22" s="70"/>
      <c r="F22" s="70"/>
      <c r="G22" s="70"/>
      <c r="H22" s="70"/>
      <c r="I22" s="70"/>
      <c r="J22" s="70"/>
      <c r="K22" s="71"/>
      <c r="L22" s="71"/>
      <c r="M22" s="61"/>
      <c r="N22" s="61"/>
    </row>
    <row r="23" spans="1:14" ht="15" customHeight="1" x14ac:dyDescent="0.3">
      <c r="A23" s="71" t="s">
        <v>141</v>
      </c>
      <c r="B23" s="75" t="s">
        <v>31</v>
      </c>
      <c r="C23" s="70"/>
      <c r="D23" s="70"/>
      <c r="E23" s="70"/>
      <c r="F23" s="70"/>
      <c r="G23" s="70"/>
      <c r="H23" s="70"/>
      <c r="I23" s="70"/>
      <c r="J23" s="70"/>
      <c r="K23" s="71"/>
      <c r="L23" s="71"/>
      <c r="M23" s="61"/>
      <c r="N23" s="61"/>
    </row>
    <row r="24" spans="1:14" ht="15" customHeight="1" x14ac:dyDescent="0.3">
      <c r="A24" s="71" t="s">
        <v>142</v>
      </c>
      <c r="B24" s="75" t="s">
        <v>32</v>
      </c>
      <c r="C24" s="70"/>
      <c r="D24" s="70"/>
      <c r="E24" s="70"/>
      <c r="F24" s="70"/>
      <c r="G24" s="70"/>
      <c r="H24" s="70"/>
      <c r="I24" s="70"/>
      <c r="J24" s="70"/>
      <c r="K24" s="71"/>
      <c r="L24" s="71"/>
      <c r="M24" s="61"/>
      <c r="N24" s="61"/>
    </row>
    <row r="25" spans="1:14" ht="15" customHeight="1" x14ac:dyDescent="0.3">
      <c r="A25" s="71" t="s">
        <v>143</v>
      </c>
      <c r="B25" s="75" t="s">
        <v>46</v>
      </c>
      <c r="C25" s="70"/>
      <c r="D25" s="70"/>
      <c r="E25" s="70"/>
      <c r="F25" s="70"/>
      <c r="G25" s="70"/>
      <c r="H25" s="70"/>
      <c r="I25" s="70"/>
      <c r="J25" s="70"/>
      <c r="K25" s="71"/>
      <c r="L25" s="71"/>
      <c r="M25" s="61"/>
      <c r="N25" s="61"/>
    </row>
    <row r="26" spans="1:14" ht="15" customHeight="1" x14ac:dyDescent="0.3">
      <c r="A26" s="71"/>
      <c r="B26" s="74" t="s">
        <v>34</v>
      </c>
      <c r="C26" s="70">
        <v>25.4</v>
      </c>
      <c r="D26" s="75" t="str">
        <f>$A$35</f>
        <v>(3)</v>
      </c>
      <c r="E26" s="70"/>
      <c r="F26" s="70"/>
      <c r="G26" s="70"/>
      <c r="H26" s="70"/>
      <c r="I26" s="70"/>
      <c r="J26" s="70"/>
      <c r="K26" s="71"/>
      <c r="L26" s="71"/>
      <c r="M26" s="61"/>
      <c r="N26" s="61"/>
    </row>
    <row r="27" spans="1:14" ht="15" customHeight="1" x14ac:dyDescent="0.3">
      <c r="A27" s="71"/>
      <c r="B27" s="74" t="s">
        <v>47</v>
      </c>
      <c r="C27" s="76">
        <v>64.483775811209441</v>
      </c>
      <c r="D27" s="75" t="str">
        <f>$A$36</f>
        <v>(4)</v>
      </c>
      <c r="E27" s="70"/>
      <c r="F27" s="70"/>
      <c r="G27" s="70"/>
      <c r="H27" s="70"/>
      <c r="I27" s="70"/>
      <c r="J27" s="70"/>
      <c r="K27" s="71"/>
      <c r="L27" s="71"/>
      <c r="M27" s="61"/>
      <c r="N27" s="61"/>
    </row>
    <row r="28" spans="1:14" ht="15" customHeight="1" x14ac:dyDescent="0.3">
      <c r="A28" s="71" t="s">
        <v>144</v>
      </c>
      <c r="B28" s="75" t="s">
        <v>48</v>
      </c>
      <c r="C28" s="70"/>
      <c r="D28" s="70"/>
      <c r="E28" s="70"/>
      <c r="F28" s="70"/>
      <c r="G28" s="70"/>
      <c r="H28" s="70"/>
      <c r="I28" s="70"/>
      <c r="J28" s="70"/>
      <c r="K28" s="71"/>
      <c r="L28" s="71"/>
      <c r="M28" s="61"/>
      <c r="N28" s="61"/>
    </row>
    <row r="29" spans="1:14" ht="15" customHeight="1" x14ac:dyDescent="0.3">
      <c r="A29" s="71"/>
      <c r="B29" s="74" t="s">
        <v>37</v>
      </c>
      <c r="C29" s="80">
        <v>3394.5000000000005</v>
      </c>
      <c r="D29" s="75" t="str">
        <f>$A$35</f>
        <v>(3)</v>
      </c>
      <c r="E29" s="70"/>
      <c r="F29" s="70"/>
      <c r="G29" s="70"/>
      <c r="H29" s="70"/>
      <c r="I29" s="70"/>
      <c r="J29" s="70"/>
      <c r="K29" s="71"/>
      <c r="L29" s="71"/>
      <c r="M29" s="61"/>
      <c r="N29" s="61"/>
    </row>
    <row r="30" spans="1:14" ht="15" customHeight="1" x14ac:dyDescent="0.3">
      <c r="A30" s="71"/>
      <c r="B30" s="74" t="s">
        <v>47</v>
      </c>
      <c r="C30" s="99">
        <v>64.483775811209441</v>
      </c>
      <c r="D30" s="75" t="str">
        <f>$A$36</f>
        <v>(4)</v>
      </c>
      <c r="E30" s="70"/>
      <c r="F30" s="70"/>
      <c r="G30" s="70"/>
      <c r="H30" s="70"/>
      <c r="I30" s="70"/>
      <c r="J30" s="70"/>
      <c r="K30" s="71"/>
      <c r="L30" s="71"/>
      <c r="M30" s="61"/>
      <c r="N30" s="61"/>
    </row>
    <row r="31" spans="1:14" ht="15" customHeight="1" x14ac:dyDescent="0.3">
      <c r="A31" s="71"/>
      <c r="B31" s="74"/>
      <c r="C31" s="100"/>
      <c r="D31" s="75"/>
      <c r="E31" s="70"/>
      <c r="F31" s="70"/>
      <c r="G31" s="70"/>
      <c r="H31" s="70"/>
      <c r="I31" s="70"/>
      <c r="J31" s="70"/>
      <c r="K31" s="71"/>
      <c r="L31" s="71"/>
      <c r="M31" s="61"/>
      <c r="N31" s="61"/>
    </row>
    <row r="32" spans="1:14" ht="15" customHeight="1" x14ac:dyDescent="0.3">
      <c r="A32" s="8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  <c r="L32" s="71"/>
      <c r="M32" s="61"/>
      <c r="N32" s="61"/>
    </row>
    <row r="33" spans="1:14" ht="15" customHeight="1" x14ac:dyDescent="0.3">
      <c r="A33" s="83" t="s">
        <v>145</v>
      </c>
      <c r="B33" s="69" t="s">
        <v>39</v>
      </c>
      <c r="C33" s="70"/>
      <c r="D33" s="70"/>
      <c r="E33" s="70"/>
      <c r="F33" s="70"/>
      <c r="G33" s="70"/>
      <c r="H33" s="70"/>
      <c r="I33" s="70"/>
      <c r="J33" s="70"/>
      <c r="K33" s="71"/>
      <c r="L33" s="71"/>
      <c r="M33" s="61"/>
      <c r="N33" s="61"/>
    </row>
    <row r="34" spans="1:14" ht="15" customHeight="1" x14ac:dyDescent="0.3">
      <c r="A34" s="83" t="s">
        <v>146</v>
      </c>
      <c r="B34" s="75" t="s">
        <v>40</v>
      </c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61"/>
      <c r="N34" s="61"/>
    </row>
    <row r="35" spans="1:14" ht="15" customHeight="1" x14ac:dyDescent="0.3">
      <c r="A35" s="83" t="s">
        <v>147</v>
      </c>
      <c r="B35" s="69" t="s">
        <v>41</v>
      </c>
      <c r="C35" s="70"/>
      <c r="D35" s="70"/>
      <c r="E35" s="70"/>
      <c r="F35" s="70"/>
      <c r="G35" s="70"/>
      <c r="H35" s="70"/>
      <c r="I35" s="70"/>
      <c r="J35" s="70"/>
      <c r="K35" s="71"/>
      <c r="L35" s="71"/>
      <c r="M35" s="61"/>
      <c r="N35" s="61"/>
    </row>
    <row r="36" spans="1:14" ht="15" customHeight="1" x14ac:dyDescent="0.3">
      <c r="A36" s="83" t="s">
        <v>148</v>
      </c>
      <c r="B36" s="69" t="s">
        <v>49</v>
      </c>
      <c r="C36" s="70"/>
      <c r="D36" s="70"/>
      <c r="E36" s="70"/>
      <c r="F36" s="70"/>
      <c r="G36" s="70"/>
      <c r="H36" s="70"/>
      <c r="I36" s="70"/>
      <c r="J36" s="70"/>
      <c r="K36" s="71"/>
      <c r="L36" s="71"/>
      <c r="M36" s="61"/>
      <c r="N36" s="61"/>
    </row>
    <row r="37" spans="1:14" ht="15" customHeight="1" x14ac:dyDescent="0.3">
      <c r="C37" s="4"/>
      <c r="D37" s="4"/>
      <c r="E37" s="4"/>
      <c r="F37" s="4"/>
      <c r="G37" s="4"/>
      <c r="H37" s="4"/>
      <c r="I37" s="4"/>
      <c r="J37" s="4"/>
      <c r="L37" s="71"/>
      <c r="M37" s="61"/>
      <c r="N37" s="61"/>
    </row>
    <row r="38" spans="1:14" ht="15" customHeight="1" x14ac:dyDescent="0.3">
      <c r="K38" s="84"/>
      <c r="L38" s="84"/>
    </row>
  </sheetData>
  <mergeCells count="9">
    <mergeCell ref="C5:C6"/>
    <mergeCell ref="K5:N5"/>
    <mergeCell ref="G6:H6"/>
    <mergeCell ref="I6:J6"/>
    <mergeCell ref="A5:B6"/>
    <mergeCell ref="D5:D6"/>
    <mergeCell ref="E5:E6"/>
    <mergeCell ref="F5:F6"/>
    <mergeCell ref="G5:J5"/>
  </mergeCells>
  <conditionalFormatting sqref="F12:N13 F7:F11 K7:N11">
    <cfRule type="cellIs" dxfId="89" priority="7" operator="equal">
      <formula>0</formula>
    </cfRule>
    <cfRule type="cellIs" dxfId="88" priority="8" operator="greaterThanOrEqual">
      <formula>100</formula>
    </cfRule>
    <cfRule type="cellIs" dxfId="87" priority="9" operator="between">
      <formula>10</formula>
      <formula>100</formula>
    </cfRule>
    <cfRule type="cellIs" dxfId="86" priority="10" operator="between">
      <formula>0.1</formula>
      <formula>10</formula>
    </cfRule>
    <cfRule type="cellIs" dxfId="85" priority="11" operator="between">
      <formula>0.01</formula>
      <formula>0.1</formula>
    </cfRule>
    <cfRule type="cellIs" dxfId="84" priority="12" operator="lessThan">
      <formula>0.01</formula>
    </cfRule>
  </conditionalFormatting>
  <conditionalFormatting sqref="G7:J11">
    <cfRule type="cellIs" dxfId="83" priority="1" operator="equal">
      <formula>0</formula>
    </cfRule>
    <cfRule type="cellIs" dxfId="82" priority="2" operator="greaterThanOrEqual">
      <formula>100</formula>
    </cfRule>
    <cfRule type="cellIs" dxfId="81" priority="3" operator="between">
      <formula>10</formula>
      <formula>100</formula>
    </cfRule>
    <cfRule type="cellIs" dxfId="80" priority="4" operator="between">
      <formula>0.1</formula>
      <formula>10</formula>
    </cfRule>
    <cfRule type="cellIs" dxfId="79" priority="5" operator="between">
      <formula>0.01</formula>
      <formula>0.1</formula>
    </cfRule>
    <cfRule type="cellIs" dxfId="78" priority="6" operator="lessThan">
      <formula>0.01</formula>
    </cfRule>
  </conditionalFormatting>
  <pageMargins left="0.7" right="0.7" top="0.75" bottom="0.75" header="0.3" footer="0.3"/>
  <pageSetup scale="86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2777-BAC5-4F29-937C-C81891C3233B}">
  <sheetPr>
    <pageSetUpPr fitToPage="1"/>
  </sheetPr>
  <dimension ref="A1:N37"/>
  <sheetViews>
    <sheetView topLeftCell="A22" zoomScale="85" zoomScaleNormal="85" workbookViewId="0">
      <selection activeCell="N26" sqref="N26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3" style="5" bestFit="1" customWidth="1"/>
    <col min="4" max="5" width="9.140625" style="5"/>
    <col min="6" max="7" width="12.85546875" style="5" customWidth="1"/>
    <col min="8" max="8" width="3.5703125" style="5" customWidth="1"/>
    <col min="9" max="9" width="12.85546875" style="5" customWidth="1"/>
    <col min="10" max="10" width="3.5703125" style="5" customWidth="1"/>
    <col min="11" max="11" width="12.85546875" style="4" customWidth="1"/>
    <col min="12" max="12" width="3.5703125" style="4" customWidth="1"/>
    <col min="13" max="13" width="12.85546875" style="4" customWidth="1"/>
    <col min="14" max="14" width="3.5703125" style="4" customWidth="1"/>
    <col min="15" max="15" width="3.7109375" style="4" customWidth="1"/>
    <col min="16" max="16384" width="9.140625" style="4"/>
  </cols>
  <sheetData>
    <row r="1" spans="1:14" s="1" customFormat="1" ht="18" customHeight="1" x14ac:dyDescent="0.3">
      <c r="A1" s="1" t="s">
        <v>50</v>
      </c>
      <c r="C1" s="2"/>
      <c r="D1" s="2"/>
      <c r="E1" s="2"/>
      <c r="F1" s="2"/>
      <c r="G1" s="2"/>
      <c r="H1" s="2"/>
      <c r="I1" s="2"/>
      <c r="J1" s="2"/>
      <c r="K1"/>
      <c r="L1"/>
      <c r="M1"/>
      <c r="N1"/>
    </row>
    <row r="2" spans="1:14" s="1" customFormat="1" ht="18" customHeight="1" x14ac:dyDescent="0.3">
      <c r="A2" s="1" t="s">
        <v>51</v>
      </c>
      <c r="C2" s="2"/>
      <c r="D2" s="2"/>
      <c r="E2" s="2"/>
      <c r="F2" s="2"/>
      <c r="G2" s="2"/>
      <c r="H2" s="2"/>
      <c r="I2" s="2"/>
      <c r="J2" s="2"/>
      <c r="K2"/>
      <c r="L2"/>
      <c r="M2"/>
      <c r="N2"/>
    </row>
    <row r="3" spans="1:14" s="1" customFormat="1" ht="18" customHeight="1" x14ac:dyDescent="0.3">
      <c r="A3" s="1" t="s">
        <v>2</v>
      </c>
      <c r="C3" s="2"/>
      <c r="D3" s="2"/>
      <c r="E3" s="2"/>
      <c r="F3" s="2"/>
      <c r="G3" s="2"/>
      <c r="H3" s="2"/>
      <c r="I3" s="2"/>
      <c r="J3" s="2"/>
    </row>
    <row r="4" spans="1:14" ht="15" customHeight="1" thickBot="1" x14ac:dyDescent="0.35"/>
    <row r="5" spans="1:14" s="6" customFormat="1" ht="30" customHeight="1" x14ac:dyDescent="0.3">
      <c r="A5" s="322" t="s">
        <v>3</v>
      </c>
      <c r="B5" s="323"/>
      <c r="C5" s="313" t="s">
        <v>4</v>
      </c>
      <c r="D5" s="326" t="s">
        <v>5</v>
      </c>
      <c r="E5" s="328" t="s">
        <v>6</v>
      </c>
      <c r="F5" s="313" t="s">
        <v>7</v>
      </c>
      <c r="G5" s="315" t="s">
        <v>8</v>
      </c>
      <c r="H5" s="316"/>
      <c r="I5" s="316"/>
      <c r="J5" s="317"/>
      <c r="K5" s="315" t="s">
        <v>9</v>
      </c>
      <c r="L5" s="316"/>
      <c r="M5" s="316"/>
      <c r="N5" s="317"/>
    </row>
    <row r="6" spans="1:14" s="6" customFormat="1" ht="30" customHeight="1" thickBot="1" x14ac:dyDescent="0.35">
      <c r="A6" s="324"/>
      <c r="B6" s="325"/>
      <c r="C6" s="314"/>
      <c r="D6" s="327"/>
      <c r="E6" s="329"/>
      <c r="F6" s="314"/>
      <c r="G6" s="318" t="s">
        <v>10</v>
      </c>
      <c r="H6" s="319"/>
      <c r="I6" s="320" t="s">
        <v>11</v>
      </c>
      <c r="J6" s="321"/>
      <c r="K6" s="7" t="s">
        <v>12</v>
      </c>
      <c r="L6" s="8"/>
      <c r="M6" s="9" t="s">
        <v>13</v>
      </c>
      <c r="N6" s="10"/>
    </row>
    <row r="7" spans="1:14" ht="15" customHeight="1" x14ac:dyDescent="0.3">
      <c r="A7" s="11" t="s">
        <v>14</v>
      </c>
      <c r="B7" s="12"/>
      <c r="C7" s="85">
        <v>75070</v>
      </c>
      <c r="D7" s="14" t="s">
        <v>149</v>
      </c>
      <c r="E7" s="15" t="s">
        <v>149</v>
      </c>
      <c r="F7" s="16">
        <v>6.625E-4</v>
      </c>
      <c r="G7" s="16">
        <f>F7*$C$19/453.592*3600</f>
        <v>1.0516058484276619E-2</v>
      </c>
      <c r="H7" s="17" t="str">
        <f>$A$18</f>
        <v>(a)</v>
      </c>
      <c r="I7" s="18">
        <f>F7/453.592*3600</f>
        <v>5.2580292421383094E-3</v>
      </c>
      <c r="J7" s="19" t="str">
        <f>$A$20</f>
        <v>(b)</v>
      </c>
      <c r="K7" s="101">
        <f>$G7*24</f>
        <v>0.25238540362263884</v>
      </c>
      <c r="L7" s="102" t="str">
        <f>$A$21</f>
        <v>(c)</v>
      </c>
      <c r="M7" s="103">
        <f>$I7*8760</f>
        <v>46.060336161131588</v>
      </c>
      <c r="N7" s="23" t="str">
        <f>$A$22</f>
        <v>(d)</v>
      </c>
    </row>
    <row r="8" spans="1:14" ht="15" customHeight="1" x14ac:dyDescent="0.3">
      <c r="A8" s="24" t="s">
        <v>15</v>
      </c>
      <c r="B8" s="25"/>
      <c r="C8" s="27">
        <v>50000</v>
      </c>
      <c r="D8" s="28" t="s">
        <v>149</v>
      </c>
      <c r="E8" s="26" t="s">
        <v>149</v>
      </c>
      <c r="F8" s="26">
        <v>5.9749999999999995E-6</v>
      </c>
      <c r="G8" s="29">
        <f>F8*$C$19/453.592*3600</f>
        <v>9.4842942556306101E-5</v>
      </c>
      <c r="H8" s="30" t="str">
        <f>$A$18</f>
        <v>(a)</v>
      </c>
      <c r="I8" s="31">
        <f>F8/453.592*3600</f>
        <v>4.742147127815305E-5</v>
      </c>
      <c r="J8" s="32" t="str">
        <f>$A$20</f>
        <v>(b)</v>
      </c>
      <c r="K8" s="44">
        <f>$G8*24</f>
        <v>2.2762306213513464E-3</v>
      </c>
      <c r="L8" s="34" t="str">
        <f>$A$21</f>
        <v>(c)</v>
      </c>
      <c r="M8" s="35">
        <f>$I8*8760</f>
        <v>0.41541208839662075</v>
      </c>
      <c r="N8" s="36" t="str">
        <f>$A$22</f>
        <v>(d)</v>
      </c>
    </row>
    <row r="9" spans="1:14" ht="15" customHeight="1" x14ac:dyDescent="0.3">
      <c r="A9" s="24" t="s">
        <v>16</v>
      </c>
      <c r="B9" s="25"/>
      <c r="C9" s="27">
        <v>7783064</v>
      </c>
      <c r="D9" s="28" t="s">
        <v>150</v>
      </c>
      <c r="E9" s="26" t="s">
        <v>149</v>
      </c>
      <c r="F9" s="37" t="s">
        <v>17</v>
      </c>
      <c r="G9" s="37">
        <f>K9/24</f>
        <v>0.15609636184857417</v>
      </c>
      <c r="H9" s="38" t="str">
        <f>$A$23</f>
        <v>(e)</v>
      </c>
      <c r="I9" s="39">
        <f>M9/8760</f>
        <v>5.7153392330383461E-2</v>
      </c>
      <c r="J9" s="40" t="str">
        <f>$A$24</f>
        <v>(f)</v>
      </c>
      <c r="K9" s="33">
        <f>$C$26*$C$27/100</f>
        <v>3.7463126843657801</v>
      </c>
      <c r="L9" s="41" t="str">
        <f>$A$25</f>
        <v>(g)</v>
      </c>
      <c r="M9" s="42">
        <f>$C$29*$C$30/100</f>
        <v>500.6637168141591</v>
      </c>
      <c r="N9" s="43" t="str">
        <f>$A$28</f>
        <v>(h)</v>
      </c>
    </row>
    <row r="10" spans="1:14" ht="15" customHeight="1" x14ac:dyDescent="0.3">
      <c r="A10" s="24" t="s">
        <v>18</v>
      </c>
      <c r="B10" s="25"/>
      <c r="C10" s="27">
        <v>67561</v>
      </c>
      <c r="D10" s="28" t="s">
        <v>149</v>
      </c>
      <c r="E10" s="26" t="s">
        <v>149</v>
      </c>
      <c r="F10" s="26">
        <v>6.7500000000000001E-5</v>
      </c>
      <c r="G10" s="29">
        <f>F10*$C$19/453.592*3600</f>
        <v>1.0714474682093158E-3</v>
      </c>
      <c r="H10" s="30" t="str">
        <f>$A$18</f>
        <v>(a)</v>
      </c>
      <c r="I10" s="31">
        <f>F10/453.592*3600</f>
        <v>5.3572373410465792E-4</v>
      </c>
      <c r="J10" s="32" t="str">
        <f>$A$20</f>
        <v>(b)</v>
      </c>
      <c r="K10" s="44">
        <f t="shared" ref="K10:K11" si="0">$G10*24</f>
        <v>2.5714739237023582E-2</v>
      </c>
      <c r="L10" s="34" t="str">
        <f>$A$21</f>
        <v>(c)</v>
      </c>
      <c r="M10" s="35">
        <f t="shared" ref="M10:M11" si="1">$I10*8760</f>
        <v>4.6929399107568033</v>
      </c>
      <c r="N10" s="36" t="str">
        <f>$A$22</f>
        <v>(d)</v>
      </c>
    </row>
    <row r="11" spans="1:14" ht="15" customHeight="1" x14ac:dyDescent="0.3">
      <c r="A11" s="24" t="s">
        <v>19</v>
      </c>
      <c r="B11" s="25"/>
      <c r="C11" s="27">
        <v>78933</v>
      </c>
      <c r="D11" s="28" t="s">
        <v>150</v>
      </c>
      <c r="E11" s="26" t="s">
        <v>149</v>
      </c>
      <c r="F11" s="26">
        <v>4.2250000000000002E-4</v>
      </c>
      <c r="G11" s="46">
        <f>F11*$C$19/453.592*3600</f>
        <v>6.7064674861990522E-3</v>
      </c>
      <c r="H11" s="91" t="str">
        <f>$A$18</f>
        <v>(a)</v>
      </c>
      <c r="I11" s="48">
        <f>F11/453.592*3600</f>
        <v>3.3532337430995261E-3</v>
      </c>
      <c r="J11" s="92" t="str">
        <f>$A$20</f>
        <v>(b)</v>
      </c>
      <c r="K11" s="44">
        <f t="shared" si="0"/>
        <v>0.16095521966877724</v>
      </c>
      <c r="L11" s="34" t="str">
        <f>$A$21</f>
        <v>(c)</v>
      </c>
      <c r="M11" s="35">
        <f t="shared" si="1"/>
        <v>29.37432758955185</v>
      </c>
      <c r="N11" s="53" t="str">
        <f>$A$22</f>
        <v>(d)</v>
      </c>
    </row>
    <row r="12" spans="1:14" s="3" customFormat="1" ht="15" customHeight="1" x14ac:dyDescent="0.3">
      <c r="A12" s="54" t="s">
        <v>20</v>
      </c>
      <c r="B12" s="55"/>
      <c r="C12" s="55"/>
      <c r="D12" s="55"/>
      <c r="E12" s="56"/>
      <c r="F12" s="57"/>
      <c r="G12" s="57"/>
      <c r="H12" s="57"/>
      <c r="I12" s="57"/>
      <c r="J12" s="57"/>
      <c r="K12" s="57">
        <f>SUM(K$7:K$11)</f>
        <v>4.1876442775155702</v>
      </c>
      <c r="L12" s="58"/>
      <c r="M12" s="56">
        <f>SUM(M$7:M$11)</f>
        <v>581.20673256399596</v>
      </c>
      <c r="N12" s="97"/>
    </row>
    <row r="13" spans="1:14" s="3" customFormat="1" ht="15" customHeight="1" thickBot="1" x14ac:dyDescent="0.35">
      <c r="A13" s="62" t="s">
        <v>21</v>
      </c>
      <c r="B13" s="63"/>
      <c r="C13" s="63"/>
      <c r="D13" s="63"/>
      <c r="E13" s="64"/>
      <c r="F13" s="65"/>
      <c r="G13" s="65"/>
      <c r="H13" s="65"/>
      <c r="I13" s="65"/>
      <c r="J13" s="65"/>
      <c r="K13" s="65">
        <f>SUMIF($E$7:$E$11,"Yes",K$7:K$11)</f>
        <v>4.1876442775155702</v>
      </c>
      <c r="L13" s="66"/>
      <c r="M13" s="64">
        <f>SUMIF($E$7:$E$11,"Yes",M$7:M$11)</f>
        <v>581.20673256399596</v>
      </c>
      <c r="N13" s="98"/>
    </row>
    <row r="14" spans="1:14" ht="15" customHeight="1" x14ac:dyDescent="0.3">
      <c r="A14" s="69" t="s">
        <v>22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  <c r="L14" s="71"/>
      <c r="M14" s="61"/>
      <c r="N14" s="61"/>
    </row>
    <row r="15" spans="1:14" ht="15" customHeight="1" x14ac:dyDescent="0.3">
      <c r="A15" s="72" t="s">
        <v>23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  <c r="L15" s="71"/>
      <c r="M15" s="61"/>
      <c r="N15" s="61"/>
    </row>
    <row r="16" spans="1:14" ht="15" customHeight="1" x14ac:dyDescent="0.3">
      <c r="A16" s="72" t="s">
        <v>24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61"/>
      <c r="N16" s="61"/>
    </row>
    <row r="17" spans="1:14" ht="15" customHeight="1" x14ac:dyDescent="0.3">
      <c r="A17" s="72" t="s">
        <v>25</v>
      </c>
      <c r="B17" s="70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61"/>
      <c r="N17" s="61"/>
    </row>
    <row r="18" spans="1:14" ht="15" customHeight="1" x14ac:dyDescent="0.3">
      <c r="A18" s="71" t="s">
        <v>137</v>
      </c>
      <c r="B18" s="75" t="s">
        <v>26</v>
      </c>
      <c r="C18" s="70"/>
      <c r="D18" s="70"/>
      <c r="E18" s="70"/>
      <c r="F18" s="70"/>
      <c r="G18" s="70"/>
      <c r="H18" s="70"/>
      <c r="I18" s="70"/>
      <c r="J18" s="70"/>
      <c r="K18" s="71"/>
      <c r="L18" s="71"/>
      <c r="M18" s="61"/>
      <c r="N18" s="61"/>
    </row>
    <row r="19" spans="1:14" ht="15" customHeight="1" x14ac:dyDescent="0.3">
      <c r="A19" s="71"/>
      <c r="B19" s="74" t="s">
        <v>27</v>
      </c>
      <c r="C19" s="76">
        <v>2</v>
      </c>
      <c r="D19" s="75" t="str">
        <f>$A$34</f>
        <v>(2)</v>
      </c>
      <c r="E19" s="75"/>
      <c r="F19" s="70"/>
      <c r="G19" s="70"/>
      <c r="H19" s="70"/>
      <c r="I19" s="70"/>
      <c r="J19" s="70"/>
      <c r="K19" s="71"/>
      <c r="L19" s="71"/>
      <c r="M19" s="61"/>
      <c r="N19" s="61"/>
    </row>
    <row r="20" spans="1:14" ht="15" customHeight="1" x14ac:dyDescent="0.3">
      <c r="A20" s="71" t="s">
        <v>138</v>
      </c>
      <c r="B20" s="75" t="s">
        <v>28</v>
      </c>
      <c r="C20" s="70"/>
      <c r="D20" s="70"/>
      <c r="E20" s="70"/>
      <c r="F20" s="70"/>
      <c r="G20" s="70"/>
      <c r="H20" s="70"/>
      <c r="I20" s="70"/>
      <c r="J20" s="70"/>
      <c r="K20" s="71"/>
      <c r="L20" s="71"/>
      <c r="M20" s="61"/>
      <c r="N20" s="61"/>
    </row>
    <row r="21" spans="1:14" ht="15" customHeight="1" x14ac:dyDescent="0.3">
      <c r="A21" s="71" t="s">
        <v>139</v>
      </c>
      <c r="B21" s="75" t="s">
        <v>29</v>
      </c>
      <c r="C21" s="70"/>
      <c r="D21" s="70"/>
      <c r="E21" s="70"/>
      <c r="F21" s="70"/>
      <c r="G21" s="70"/>
      <c r="H21" s="70"/>
      <c r="I21" s="70"/>
      <c r="J21" s="70"/>
      <c r="K21" s="71"/>
      <c r="L21" s="71"/>
      <c r="M21" s="61"/>
      <c r="N21" s="61"/>
    </row>
    <row r="22" spans="1:14" ht="15" customHeight="1" x14ac:dyDescent="0.3">
      <c r="A22" s="71" t="s">
        <v>140</v>
      </c>
      <c r="B22" s="75" t="s">
        <v>30</v>
      </c>
      <c r="C22" s="70"/>
      <c r="D22" s="70"/>
      <c r="E22" s="70"/>
      <c r="F22" s="70"/>
      <c r="G22" s="70"/>
      <c r="H22" s="70"/>
      <c r="I22" s="70"/>
      <c r="J22" s="70"/>
      <c r="K22" s="71"/>
      <c r="L22" s="71"/>
      <c r="M22" s="61"/>
      <c r="N22" s="61"/>
    </row>
    <row r="23" spans="1:14" ht="15" customHeight="1" x14ac:dyDescent="0.3">
      <c r="A23" s="71" t="s">
        <v>141</v>
      </c>
      <c r="B23" s="75" t="s">
        <v>31</v>
      </c>
      <c r="C23" s="70"/>
      <c r="D23" s="70"/>
      <c r="E23" s="70"/>
      <c r="F23" s="70"/>
      <c r="G23" s="70"/>
      <c r="H23" s="70"/>
      <c r="I23" s="70"/>
      <c r="J23" s="70"/>
      <c r="K23" s="71"/>
      <c r="L23" s="71"/>
      <c r="M23" s="61"/>
      <c r="N23" s="61"/>
    </row>
    <row r="24" spans="1:14" ht="15" customHeight="1" x14ac:dyDescent="0.3">
      <c r="A24" s="71" t="s">
        <v>142</v>
      </c>
      <c r="B24" s="75" t="s">
        <v>32</v>
      </c>
      <c r="C24" s="70"/>
      <c r="D24" s="70"/>
      <c r="E24" s="70"/>
      <c r="F24" s="70"/>
      <c r="G24" s="70"/>
      <c r="H24" s="70"/>
      <c r="I24" s="70"/>
      <c r="J24" s="70"/>
      <c r="K24" s="71"/>
      <c r="L24" s="71"/>
      <c r="M24" s="61"/>
      <c r="N24" s="61"/>
    </row>
    <row r="25" spans="1:14" ht="15" customHeight="1" x14ac:dyDescent="0.3">
      <c r="A25" s="71" t="s">
        <v>143</v>
      </c>
      <c r="B25" s="75" t="s">
        <v>52</v>
      </c>
      <c r="C25" s="70"/>
      <c r="D25" s="70"/>
      <c r="E25" s="70"/>
      <c r="F25" s="70"/>
      <c r="G25" s="70"/>
      <c r="H25" s="70"/>
      <c r="I25" s="70"/>
      <c r="J25" s="70"/>
      <c r="K25" s="71"/>
      <c r="L25" s="71"/>
      <c r="M25" s="61"/>
      <c r="N25" s="61"/>
    </row>
    <row r="26" spans="1:14" ht="15" customHeight="1" x14ac:dyDescent="0.3">
      <c r="A26" s="71"/>
      <c r="B26" s="74" t="s">
        <v>34</v>
      </c>
      <c r="C26" s="70">
        <v>25.4</v>
      </c>
      <c r="D26" s="75" t="str">
        <f>$A$35</f>
        <v>(3)</v>
      </c>
      <c r="E26" s="70"/>
      <c r="F26" s="70"/>
      <c r="G26" s="70"/>
      <c r="H26" s="70"/>
      <c r="I26" s="70"/>
      <c r="J26" s="70"/>
      <c r="K26" s="71"/>
      <c r="L26" s="71"/>
      <c r="M26" s="61"/>
      <c r="N26" s="61"/>
    </row>
    <row r="27" spans="1:14" ht="15" customHeight="1" x14ac:dyDescent="0.3">
      <c r="A27" s="71"/>
      <c r="B27" s="74" t="s">
        <v>53</v>
      </c>
      <c r="C27" s="76">
        <v>14.74926253687315</v>
      </c>
      <c r="D27" s="75" t="str">
        <f>$A$36</f>
        <v>(4)</v>
      </c>
      <c r="E27" s="70"/>
      <c r="F27" s="70"/>
      <c r="G27" s="70"/>
      <c r="H27" s="70"/>
      <c r="I27" s="70"/>
      <c r="J27" s="70"/>
      <c r="K27" s="71"/>
      <c r="L27" s="71"/>
      <c r="M27" s="61"/>
      <c r="N27" s="61"/>
    </row>
    <row r="28" spans="1:14" ht="15" customHeight="1" x14ac:dyDescent="0.3">
      <c r="A28" s="71" t="s">
        <v>144</v>
      </c>
      <c r="B28" s="75" t="s">
        <v>54</v>
      </c>
      <c r="C28" s="70"/>
      <c r="D28" s="70"/>
      <c r="E28" s="70"/>
      <c r="F28" s="70"/>
      <c r="G28" s="70"/>
      <c r="H28" s="70"/>
      <c r="I28" s="70"/>
      <c r="J28" s="70"/>
      <c r="K28" s="71"/>
      <c r="L28" s="71"/>
      <c r="M28" s="61"/>
      <c r="N28" s="61"/>
    </row>
    <row r="29" spans="1:14" ht="15" customHeight="1" x14ac:dyDescent="0.3">
      <c r="A29" s="71"/>
      <c r="B29" s="74" t="s">
        <v>37</v>
      </c>
      <c r="C29" s="80">
        <v>3394.5000000000005</v>
      </c>
      <c r="D29" s="75" t="str">
        <f>$A$35</f>
        <v>(3)</v>
      </c>
      <c r="E29" s="70"/>
      <c r="F29" s="70"/>
      <c r="G29" s="70"/>
      <c r="H29" s="70"/>
      <c r="I29" s="70"/>
      <c r="J29" s="70"/>
      <c r="K29" s="71"/>
      <c r="L29" s="71"/>
      <c r="M29" s="61"/>
      <c r="N29" s="61"/>
    </row>
    <row r="30" spans="1:14" ht="15" customHeight="1" x14ac:dyDescent="0.3">
      <c r="A30" s="71"/>
      <c r="B30" s="74" t="s">
        <v>53</v>
      </c>
      <c r="C30" s="99">
        <v>14.74926253687315</v>
      </c>
      <c r="D30" s="75" t="str">
        <f>$A$36</f>
        <v>(4)</v>
      </c>
      <c r="E30" s="70"/>
      <c r="F30" s="70"/>
      <c r="G30" s="70"/>
      <c r="H30" s="70"/>
      <c r="I30" s="70"/>
      <c r="J30" s="70"/>
      <c r="K30" s="71"/>
      <c r="L30" s="71"/>
      <c r="M30" s="61"/>
      <c r="N30" s="61"/>
    </row>
    <row r="31" spans="1:14" ht="15" customHeight="1" x14ac:dyDescent="0.3">
      <c r="A31" s="74"/>
      <c r="B31" s="70"/>
      <c r="C31" s="70"/>
      <c r="D31" s="70"/>
      <c r="E31" s="70"/>
      <c r="F31" s="70"/>
      <c r="G31" s="70"/>
      <c r="H31" s="70"/>
      <c r="I31" s="70"/>
      <c r="J31" s="70"/>
      <c r="K31" s="71"/>
      <c r="L31" s="71"/>
      <c r="M31" s="61"/>
      <c r="N31" s="61"/>
    </row>
    <row r="32" spans="1:14" ht="15" customHeight="1" x14ac:dyDescent="0.3">
      <c r="A32" s="8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  <c r="L32" s="71"/>
      <c r="M32" s="61"/>
      <c r="N32" s="61"/>
    </row>
    <row r="33" spans="1:14" ht="15" customHeight="1" x14ac:dyDescent="0.3">
      <c r="A33" s="83" t="s">
        <v>145</v>
      </c>
      <c r="B33" s="69" t="s">
        <v>39</v>
      </c>
      <c r="C33" s="70"/>
      <c r="D33" s="70"/>
      <c r="E33" s="70"/>
      <c r="F33" s="70"/>
      <c r="G33" s="70"/>
      <c r="H33" s="70"/>
      <c r="I33" s="70"/>
      <c r="J33" s="70"/>
      <c r="K33" s="71"/>
      <c r="L33" s="71"/>
      <c r="M33" s="61"/>
      <c r="N33" s="61"/>
    </row>
    <row r="34" spans="1:14" ht="15" customHeight="1" x14ac:dyDescent="0.3">
      <c r="A34" s="83" t="s">
        <v>146</v>
      </c>
      <c r="B34" s="75" t="s">
        <v>40</v>
      </c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61"/>
      <c r="N34" s="61"/>
    </row>
    <row r="35" spans="1:14" ht="15" customHeight="1" x14ac:dyDescent="0.3">
      <c r="A35" s="83" t="s">
        <v>147</v>
      </c>
      <c r="B35" s="69" t="s">
        <v>41</v>
      </c>
      <c r="C35" s="70"/>
      <c r="D35" s="70"/>
      <c r="E35" s="70"/>
      <c r="F35" s="70"/>
      <c r="G35" s="70"/>
      <c r="H35" s="70"/>
      <c r="I35" s="70"/>
      <c r="J35" s="70"/>
      <c r="K35" s="71"/>
      <c r="L35" s="71"/>
      <c r="M35" s="61"/>
      <c r="N35" s="61"/>
    </row>
    <row r="36" spans="1:14" ht="15" customHeight="1" x14ac:dyDescent="0.3">
      <c r="A36" s="83" t="s">
        <v>148</v>
      </c>
      <c r="B36" s="69" t="s">
        <v>55</v>
      </c>
      <c r="C36" s="70"/>
      <c r="D36" s="70"/>
      <c r="E36" s="70"/>
      <c r="F36" s="70"/>
      <c r="G36" s="70"/>
      <c r="H36" s="70"/>
      <c r="I36" s="70"/>
      <c r="J36" s="70"/>
      <c r="K36" s="71"/>
      <c r="L36" s="71"/>
      <c r="M36" s="61"/>
      <c r="N36" s="61"/>
    </row>
    <row r="37" spans="1:14" ht="15" customHeight="1" x14ac:dyDescent="0.3">
      <c r="K37" s="84"/>
      <c r="L37" s="84"/>
    </row>
  </sheetData>
  <mergeCells count="9">
    <mergeCell ref="C5:C6"/>
    <mergeCell ref="K5:N5"/>
    <mergeCell ref="G6:H6"/>
    <mergeCell ref="I6:J6"/>
    <mergeCell ref="A5:B6"/>
    <mergeCell ref="D5:D6"/>
    <mergeCell ref="E5:E6"/>
    <mergeCell ref="F5:F6"/>
    <mergeCell ref="G5:J5"/>
  </mergeCells>
  <conditionalFormatting sqref="F12:N13 F7:F11 K7:N11">
    <cfRule type="cellIs" dxfId="77" priority="7" operator="equal">
      <formula>0</formula>
    </cfRule>
    <cfRule type="cellIs" dxfId="76" priority="8" operator="greaterThanOrEqual">
      <formula>100</formula>
    </cfRule>
    <cfRule type="cellIs" dxfId="75" priority="9" operator="between">
      <formula>10</formula>
      <formula>100</formula>
    </cfRule>
    <cfRule type="cellIs" dxfId="74" priority="10" operator="between">
      <formula>0.1</formula>
      <formula>10</formula>
    </cfRule>
    <cfRule type="cellIs" dxfId="73" priority="11" operator="between">
      <formula>0.01</formula>
      <formula>0.1</formula>
    </cfRule>
    <cfRule type="cellIs" dxfId="72" priority="12" operator="lessThan">
      <formula>0.01</formula>
    </cfRule>
  </conditionalFormatting>
  <conditionalFormatting sqref="G7:J11">
    <cfRule type="cellIs" dxfId="71" priority="1" operator="equal">
      <formula>0</formula>
    </cfRule>
    <cfRule type="cellIs" dxfId="70" priority="2" operator="greaterThanOrEqual">
      <formula>100</formula>
    </cfRule>
    <cfRule type="cellIs" dxfId="69" priority="3" operator="between">
      <formula>10</formula>
      <formula>100</formula>
    </cfRule>
    <cfRule type="cellIs" dxfId="68" priority="4" operator="between">
      <formula>0.1</formula>
      <formula>10</formula>
    </cfRule>
    <cfRule type="cellIs" dxfId="67" priority="5" operator="between">
      <formula>0.01</formula>
      <formula>0.1</formula>
    </cfRule>
    <cfRule type="cellIs" dxfId="66" priority="6" operator="lessThan">
      <formula>0.01</formula>
    </cfRule>
  </conditionalFormatting>
  <pageMargins left="0.7" right="0.7" top="0.75" bottom="0.75" header="0.3" footer="0.3"/>
  <pageSetup scale="86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07FD-A8E5-4E2E-955F-10632AA67A1D}">
  <sheetPr>
    <pageSetUpPr fitToPage="1"/>
  </sheetPr>
  <dimension ref="A1:Q37"/>
  <sheetViews>
    <sheetView zoomScale="85" zoomScaleNormal="85" workbookViewId="0">
      <selection activeCell="N26" sqref="N26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3" style="5" bestFit="1" customWidth="1"/>
    <col min="4" max="5" width="9.140625" style="5"/>
    <col min="6" max="7" width="12.85546875" style="5" customWidth="1"/>
    <col min="8" max="8" width="3.5703125" style="5" customWidth="1"/>
    <col min="9" max="9" width="12.85546875" style="5" customWidth="1"/>
    <col min="10" max="10" width="3.5703125" style="5" customWidth="1"/>
    <col min="11" max="11" width="12.85546875" style="4" customWidth="1"/>
    <col min="12" max="12" width="3.5703125" style="4" customWidth="1"/>
    <col min="13" max="13" width="12.85546875" style="4" customWidth="1"/>
    <col min="14" max="14" width="3.5703125" style="4" customWidth="1"/>
    <col min="15" max="15" width="3.7109375" style="4" customWidth="1"/>
    <col min="16" max="16384" width="9.140625" style="4"/>
  </cols>
  <sheetData>
    <row r="1" spans="1:17" s="1" customFormat="1" ht="18" customHeight="1" x14ac:dyDescent="0.3">
      <c r="A1" s="1" t="s">
        <v>56</v>
      </c>
      <c r="C1" s="2"/>
      <c r="D1" s="2"/>
      <c r="E1" s="2"/>
      <c r="F1" s="2"/>
      <c r="G1" s="2"/>
      <c r="H1" s="2"/>
      <c r="I1" s="2"/>
      <c r="J1" s="2"/>
      <c r="K1"/>
      <c r="L1"/>
      <c r="M1"/>
      <c r="N1"/>
    </row>
    <row r="2" spans="1:17" s="1" customFormat="1" ht="18" customHeight="1" x14ac:dyDescent="0.3">
      <c r="A2" s="1" t="s">
        <v>57</v>
      </c>
      <c r="C2" s="2"/>
      <c r="D2" s="2"/>
      <c r="E2" s="2"/>
      <c r="F2" s="2"/>
      <c r="G2" s="2"/>
      <c r="H2" s="2"/>
      <c r="I2" s="2"/>
      <c r="J2" s="2"/>
      <c r="K2"/>
      <c r="L2"/>
      <c r="M2"/>
      <c r="N2"/>
    </row>
    <row r="3" spans="1:17" s="1" customFormat="1" ht="18" customHeight="1" x14ac:dyDescent="0.3">
      <c r="A3" s="1" t="s">
        <v>2</v>
      </c>
      <c r="C3" s="2"/>
      <c r="D3" s="2"/>
      <c r="E3" s="2"/>
      <c r="F3" s="2"/>
      <c r="G3" s="2"/>
      <c r="H3" s="2"/>
      <c r="I3" s="2"/>
      <c r="J3" s="2"/>
    </row>
    <row r="4" spans="1:17" ht="15" customHeight="1" thickBot="1" x14ac:dyDescent="0.35"/>
    <row r="5" spans="1:17" s="6" customFormat="1" ht="30" customHeight="1" x14ac:dyDescent="0.3">
      <c r="A5" s="322" t="s">
        <v>3</v>
      </c>
      <c r="B5" s="323"/>
      <c r="C5" s="313" t="s">
        <v>4</v>
      </c>
      <c r="D5" s="326" t="s">
        <v>5</v>
      </c>
      <c r="E5" s="328" t="s">
        <v>6</v>
      </c>
      <c r="F5" s="313" t="s">
        <v>7</v>
      </c>
      <c r="G5" s="315" t="s">
        <v>8</v>
      </c>
      <c r="H5" s="316"/>
      <c r="I5" s="316"/>
      <c r="J5" s="317"/>
      <c r="K5" s="315" t="s">
        <v>9</v>
      </c>
      <c r="L5" s="316"/>
      <c r="M5" s="316"/>
      <c r="N5" s="317"/>
      <c r="P5"/>
      <c r="Q5"/>
    </row>
    <row r="6" spans="1:17" s="6" customFormat="1" ht="30" customHeight="1" thickBot="1" x14ac:dyDescent="0.35">
      <c r="A6" s="324"/>
      <c r="B6" s="325"/>
      <c r="C6" s="314"/>
      <c r="D6" s="327"/>
      <c r="E6" s="329"/>
      <c r="F6" s="314"/>
      <c r="G6" s="318" t="s">
        <v>10</v>
      </c>
      <c r="H6" s="319"/>
      <c r="I6" s="320" t="s">
        <v>11</v>
      </c>
      <c r="J6" s="321"/>
      <c r="K6" s="7" t="s">
        <v>12</v>
      </c>
      <c r="L6" s="8"/>
      <c r="M6" s="9" t="s">
        <v>13</v>
      </c>
      <c r="N6" s="10"/>
      <c r="P6"/>
      <c r="Q6"/>
    </row>
    <row r="7" spans="1:17" ht="15" customHeight="1" x14ac:dyDescent="0.3">
      <c r="A7" s="11" t="s">
        <v>14</v>
      </c>
      <c r="B7" s="12"/>
      <c r="C7" s="85">
        <v>75070</v>
      </c>
      <c r="D7" s="14" t="s">
        <v>149</v>
      </c>
      <c r="E7" s="15" t="s">
        <v>149</v>
      </c>
      <c r="F7" s="16">
        <v>1.025E-4</v>
      </c>
      <c r="G7" s="16">
        <f>F7*$C$19/453.592*3600</f>
        <v>1.6270128220956278E-3</v>
      </c>
      <c r="H7" s="17" t="str">
        <f>$A$18</f>
        <v>(a)</v>
      </c>
      <c r="I7" s="18">
        <f>F7/453.592*3600</f>
        <v>8.1350641104781392E-4</v>
      </c>
      <c r="J7" s="19" t="str">
        <f>$A$20</f>
        <v>(b)</v>
      </c>
      <c r="K7" s="101">
        <f>$G7*24</f>
        <v>3.9048307730295065E-2</v>
      </c>
      <c r="L7" s="102" t="str">
        <f>$A$21</f>
        <v>(c)</v>
      </c>
      <c r="M7" s="103">
        <f>$I7*8760</f>
        <v>7.1263161607788499</v>
      </c>
      <c r="N7" s="23" t="str">
        <f>$A$22</f>
        <v>(d)</v>
      </c>
      <c r="P7"/>
      <c r="Q7"/>
    </row>
    <row r="8" spans="1:17" ht="15" customHeight="1" x14ac:dyDescent="0.3">
      <c r="A8" s="24" t="s">
        <v>15</v>
      </c>
      <c r="B8" s="25"/>
      <c r="C8" s="27">
        <v>50000</v>
      </c>
      <c r="D8" s="28" t="s">
        <v>149</v>
      </c>
      <c r="E8" s="26" t="s">
        <v>149</v>
      </c>
      <c r="F8" s="26">
        <v>6.75E-7</v>
      </c>
      <c r="G8" s="29">
        <f>F8*$C$19/453.592*3600</f>
        <v>1.071447468209316E-5</v>
      </c>
      <c r="H8" s="30" t="str">
        <f>$A$18</f>
        <v>(a)</v>
      </c>
      <c r="I8" s="31">
        <f>F8/453.592*3600</f>
        <v>5.35723734104658E-6</v>
      </c>
      <c r="J8" s="32" t="str">
        <f>$A$20</f>
        <v>(b)</v>
      </c>
      <c r="K8" s="44">
        <f t="shared" ref="K8" si="0">$G8*24</f>
        <v>2.5714739237023585E-4</v>
      </c>
      <c r="L8" s="102" t="str">
        <f>$A$21</f>
        <v>(c)</v>
      </c>
      <c r="M8" s="35">
        <f t="shared" ref="M8" si="1">$I8*8760</f>
        <v>4.6929399107568041E-2</v>
      </c>
      <c r="N8" s="36" t="str">
        <f>$A$22</f>
        <v>(d)</v>
      </c>
      <c r="P8"/>
      <c r="Q8"/>
    </row>
    <row r="9" spans="1:17" ht="15" customHeight="1" x14ac:dyDescent="0.3">
      <c r="A9" s="24" t="s">
        <v>16</v>
      </c>
      <c r="B9" s="25"/>
      <c r="C9" s="27">
        <v>7783064</v>
      </c>
      <c r="D9" s="28" t="s">
        <v>150</v>
      </c>
      <c r="E9" s="26" t="s">
        <v>149</v>
      </c>
      <c r="F9" s="37" t="s">
        <v>17</v>
      </c>
      <c r="G9" s="37">
        <f>K9/24</f>
        <v>0.19980334316617496</v>
      </c>
      <c r="H9" s="38" t="str">
        <f>$A$23</f>
        <v>(e)</v>
      </c>
      <c r="I9" s="39">
        <f>M9/8760</f>
        <v>7.3156342182890841E-2</v>
      </c>
      <c r="J9" s="40" t="str">
        <f>$A$24</f>
        <v>(f)</v>
      </c>
      <c r="K9" s="33">
        <f>C26*C27/100</f>
        <v>4.7952802359881987</v>
      </c>
      <c r="L9" s="102" t="str">
        <f>$A$25</f>
        <v>(g)</v>
      </c>
      <c r="M9" s="42">
        <f>C29*C30/100</f>
        <v>640.84955752212375</v>
      </c>
      <c r="N9" s="43" t="str">
        <f>$A$28</f>
        <v>(h)</v>
      </c>
      <c r="P9"/>
      <c r="Q9"/>
    </row>
    <row r="10" spans="1:17" ht="15" customHeight="1" x14ac:dyDescent="0.3">
      <c r="A10" s="24" t="s">
        <v>18</v>
      </c>
      <c r="B10" s="25"/>
      <c r="C10" s="27">
        <v>67561</v>
      </c>
      <c r="D10" s="28" t="s">
        <v>149</v>
      </c>
      <c r="E10" s="26" t="s">
        <v>149</v>
      </c>
      <c r="F10" s="26">
        <v>5.0000000000000001E-3</v>
      </c>
      <c r="G10" s="29">
        <f>F10*$C$19/453.592*3600</f>
        <v>7.9366479126615999E-2</v>
      </c>
      <c r="H10" s="30" t="str">
        <f>$A$18</f>
        <v>(a)</v>
      </c>
      <c r="I10" s="31">
        <f>F10/453.592*3600</f>
        <v>3.9683239563308E-2</v>
      </c>
      <c r="J10" s="32" t="str">
        <f>$A$20</f>
        <v>(b)</v>
      </c>
      <c r="K10" s="44">
        <f t="shared" ref="K10:K11" si="2">$G10*24</f>
        <v>1.9047954990387841</v>
      </c>
      <c r="L10" s="102" t="str">
        <f>$A$21</f>
        <v>(c)</v>
      </c>
      <c r="M10" s="35">
        <f t="shared" ref="M10:M11" si="3">$I10*8760</f>
        <v>347.62517857457806</v>
      </c>
      <c r="N10" s="36" t="str">
        <f>$A$22</f>
        <v>(d)</v>
      </c>
      <c r="P10"/>
      <c r="Q10"/>
    </row>
    <row r="11" spans="1:17" ht="15" customHeight="1" x14ac:dyDescent="0.3">
      <c r="A11" s="24" t="s">
        <v>19</v>
      </c>
      <c r="B11" s="25"/>
      <c r="C11" s="27">
        <v>78933</v>
      </c>
      <c r="D11" s="28" t="s">
        <v>150</v>
      </c>
      <c r="E11" s="26" t="s">
        <v>149</v>
      </c>
      <c r="F11" s="26">
        <v>6.7500000000000001E-5</v>
      </c>
      <c r="G11" s="46">
        <f>F11*$C$19/453.592*3600</f>
        <v>1.0714474682093158E-3</v>
      </c>
      <c r="H11" s="91" t="str">
        <f>$A$18</f>
        <v>(a)</v>
      </c>
      <c r="I11" s="48">
        <f>F11/453.592*3600</f>
        <v>5.3572373410465792E-4</v>
      </c>
      <c r="J11" s="92" t="str">
        <f>$A$20</f>
        <v>(b)</v>
      </c>
      <c r="K11" s="44">
        <f t="shared" si="2"/>
        <v>2.5714739237023582E-2</v>
      </c>
      <c r="L11" s="102" t="str">
        <f>$A$21</f>
        <v>(c)</v>
      </c>
      <c r="M11" s="35">
        <f t="shared" si="3"/>
        <v>4.6929399107568033</v>
      </c>
      <c r="N11" s="53" t="str">
        <f>$A$22</f>
        <v>(d)</v>
      </c>
      <c r="P11"/>
      <c r="Q11"/>
    </row>
    <row r="12" spans="1:17" s="3" customFormat="1" ht="15" customHeight="1" x14ac:dyDescent="0.3">
      <c r="A12" s="54" t="s">
        <v>20</v>
      </c>
      <c r="B12" s="55"/>
      <c r="C12" s="55"/>
      <c r="D12" s="55"/>
      <c r="E12" s="56"/>
      <c r="F12" s="57"/>
      <c r="G12" s="57"/>
      <c r="H12" s="57"/>
      <c r="I12" s="57"/>
      <c r="J12" s="57"/>
      <c r="K12" s="57">
        <f>SUM(K$7:K$11)</f>
        <v>6.7650959293866721</v>
      </c>
      <c r="L12" s="58"/>
      <c r="M12" s="56">
        <f>SUM(M$7:M$11)</f>
        <v>1000.3409215673449</v>
      </c>
      <c r="N12" s="97"/>
      <c r="P12"/>
      <c r="Q12"/>
    </row>
    <row r="13" spans="1:17" s="3" customFormat="1" ht="15" customHeight="1" thickBot="1" x14ac:dyDescent="0.35">
      <c r="A13" s="62" t="s">
        <v>21</v>
      </c>
      <c r="B13" s="63"/>
      <c r="C13" s="63"/>
      <c r="D13" s="63"/>
      <c r="E13" s="64"/>
      <c r="F13" s="65"/>
      <c r="G13" s="65"/>
      <c r="H13" s="65"/>
      <c r="I13" s="65"/>
      <c r="J13" s="65"/>
      <c r="K13" s="65">
        <f>SUMIF($E$7:$E$11,"Yes",K$7:K$11)</f>
        <v>6.7650959293866721</v>
      </c>
      <c r="L13" s="66"/>
      <c r="M13" s="64">
        <f>SUMIF($E$7:$E$11,"Yes",M$7:M$11)</f>
        <v>1000.3409215673449</v>
      </c>
      <c r="N13" s="98"/>
      <c r="P13"/>
      <c r="Q13"/>
    </row>
    <row r="14" spans="1:17" ht="15" customHeight="1" x14ac:dyDescent="0.3">
      <c r="A14" s="69" t="s">
        <v>22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  <c r="L14" s="71"/>
      <c r="M14" s="61"/>
      <c r="N14" s="61"/>
      <c r="P14"/>
      <c r="Q14"/>
    </row>
    <row r="15" spans="1:17" ht="15" customHeight="1" x14ac:dyDescent="0.3">
      <c r="A15" s="72" t="s">
        <v>23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  <c r="L15" s="71"/>
      <c r="M15" s="61"/>
      <c r="N15" s="61"/>
      <c r="P15"/>
      <c r="Q15"/>
    </row>
    <row r="16" spans="1:17" ht="15" customHeight="1" x14ac:dyDescent="0.3">
      <c r="A16" s="72" t="s">
        <v>24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61"/>
      <c r="N16" s="61"/>
      <c r="P16"/>
      <c r="Q16"/>
    </row>
    <row r="17" spans="1:14" ht="15" customHeight="1" x14ac:dyDescent="0.3">
      <c r="A17" s="72" t="s">
        <v>25</v>
      </c>
      <c r="B17" s="70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61"/>
      <c r="N17" s="61"/>
    </row>
    <row r="18" spans="1:14" ht="15" customHeight="1" x14ac:dyDescent="0.3">
      <c r="A18" s="71" t="s">
        <v>137</v>
      </c>
      <c r="B18" s="75" t="s">
        <v>26</v>
      </c>
      <c r="C18" s="70"/>
      <c r="D18" s="70"/>
      <c r="E18" s="70"/>
      <c r="F18" s="70"/>
      <c r="G18" s="70"/>
      <c r="H18" s="70"/>
      <c r="I18" s="70"/>
      <c r="J18" s="70"/>
      <c r="K18" s="71"/>
      <c r="L18" s="71"/>
      <c r="M18" s="61"/>
      <c r="N18" s="61"/>
    </row>
    <row r="19" spans="1:14" ht="15" customHeight="1" x14ac:dyDescent="0.3">
      <c r="A19" s="71"/>
      <c r="B19" s="74" t="s">
        <v>27</v>
      </c>
      <c r="C19" s="76">
        <v>2</v>
      </c>
      <c r="D19" s="75" t="str">
        <f>$A$34</f>
        <v>(2)</v>
      </c>
      <c r="E19" s="70"/>
      <c r="F19" s="70"/>
      <c r="G19" s="70"/>
      <c r="H19" s="70"/>
      <c r="I19" s="70"/>
      <c r="J19" s="70"/>
      <c r="K19" s="71"/>
      <c r="L19" s="71"/>
      <c r="M19" s="61"/>
      <c r="N19" s="61"/>
    </row>
    <row r="20" spans="1:14" ht="15" customHeight="1" x14ac:dyDescent="0.3">
      <c r="A20" s="71" t="s">
        <v>138</v>
      </c>
      <c r="B20" s="75" t="s">
        <v>28</v>
      </c>
      <c r="C20" s="70"/>
      <c r="D20" s="70"/>
      <c r="E20" s="70"/>
      <c r="F20" s="70"/>
      <c r="G20" s="70"/>
      <c r="H20" s="70"/>
      <c r="I20" s="70"/>
      <c r="J20" s="70"/>
      <c r="K20" s="71"/>
      <c r="L20" s="71"/>
      <c r="M20" s="61"/>
      <c r="N20" s="61"/>
    </row>
    <row r="21" spans="1:14" ht="15" customHeight="1" x14ac:dyDescent="0.3">
      <c r="A21" s="71" t="s">
        <v>139</v>
      </c>
      <c r="B21" s="75" t="s">
        <v>29</v>
      </c>
      <c r="C21" s="70"/>
      <c r="D21" s="70"/>
      <c r="E21" s="70"/>
      <c r="F21" s="70"/>
      <c r="G21" s="70"/>
      <c r="H21" s="70"/>
      <c r="I21" s="70"/>
      <c r="J21" s="70"/>
      <c r="K21" s="71"/>
      <c r="L21" s="71"/>
      <c r="M21" s="61"/>
      <c r="N21" s="61"/>
    </row>
    <row r="22" spans="1:14" ht="15" customHeight="1" x14ac:dyDescent="0.3">
      <c r="A22" s="71" t="s">
        <v>140</v>
      </c>
      <c r="B22" s="75" t="s">
        <v>30</v>
      </c>
      <c r="C22" s="70"/>
      <c r="D22" s="70"/>
      <c r="E22" s="70"/>
      <c r="F22" s="70"/>
      <c r="G22" s="70"/>
      <c r="H22" s="70"/>
      <c r="I22" s="70"/>
      <c r="J22" s="70"/>
      <c r="K22" s="71"/>
      <c r="L22" s="71"/>
      <c r="M22" s="61"/>
      <c r="N22" s="61"/>
    </row>
    <row r="23" spans="1:14" ht="15" customHeight="1" x14ac:dyDescent="0.3">
      <c r="A23" s="71" t="s">
        <v>141</v>
      </c>
      <c r="B23" s="75" t="s">
        <v>31</v>
      </c>
      <c r="C23" s="70"/>
      <c r="D23" s="70"/>
      <c r="E23" s="70"/>
      <c r="F23" s="70"/>
      <c r="G23" s="70"/>
      <c r="H23" s="70"/>
      <c r="I23" s="70"/>
      <c r="J23" s="70"/>
      <c r="K23" s="71"/>
      <c r="L23" s="71"/>
      <c r="M23" s="61"/>
      <c r="N23" s="61"/>
    </row>
    <row r="24" spans="1:14" ht="15" customHeight="1" x14ac:dyDescent="0.3">
      <c r="A24" s="71" t="s">
        <v>142</v>
      </c>
      <c r="B24" s="75" t="s">
        <v>32</v>
      </c>
      <c r="C24" s="70"/>
      <c r="D24" s="70"/>
      <c r="E24" s="70"/>
      <c r="F24" s="70"/>
      <c r="G24" s="70"/>
      <c r="H24" s="70"/>
      <c r="I24" s="70"/>
      <c r="J24" s="70"/>
      <c r="K24" s="71"/>
      <c r="L24" s="71"/>
      <c r="M24" s="61"/>
      <c r="N24" s="61"/>
    </row>
    <row r="25" spans="1:14" ht="15" customHeight="1" x14ac:dyDescent="0.3">
      <c r="A25" s="71" t="s">
        <v>143</v>
      </c>
      <c r="B25" s="75" t="s">
        <v>58</v>
      </c>
      <c r="C25" s="104"/>
      <c r="D25" s="104"/>
      <c r="E25" s="70"/>
      <c r="F25" s="70"/>
      <c r="G25" s="70"/>
      <c r="H25" s="70"/>
      <c r="I25" s="70"/>
      <c r="J25" s="70"/>
      <c r="K25" s="71"/>
      <c r="L25" s="71"/>
      <c r="M25" s="61"/>
      <c r="N25" s="61"/>
    </row>
    <row r="26" spans="1:14" ht="15" customHeight="1" x14ac:dyDescent="0.3">
      <c r="A26" s="71"/>
      <c r="B26" s="74" t="s">
        <v>34</v>
      </c>
      <c r="C26" s="70">
        <v>25.4</v>
      </c>
      <c r="D26" s="69" t="str">
        <f>$A$35</f>
        <v>(3)</v>
      </c>
      <c r="E26" s="70"/>
      <c r="F26" s="70"/>
      <c r="G26" s="70"/>
      <c r="H26" s="70"/>
      <c r="I26" s="70"/>
      <c r="J26" s="70"/>
      <c r="K26" s="71"/>
      <c r="L26" s="71"/>
      <c r="M26" s="61"/>
      <c r="N26" s="61"/>
    </row>
    <row r="27" spans="1:14" ht="15" customHeight="1" x14ac:dyDescent="0.3">
      <c r="A27" s="71"/>
      <c r="B27" s="74" t="s">
        <v>59</v>
      </c>
      <c r="C27" s="105">
        <v>18.879056047197633</v>
      </c>
      <c r="D27" s="69" t="str">
        <f>$A$36</f>
        <v>(4)</v>
      </c>
      <c r="E27" s="70"/>
      <c r="F27" s="70"/>
      <c r="G27" s="70"/>
      <c r="H27" s="70"/>
      <c r="I27" s="70"/>
      <c r="J27" s="70"/>
      <c r="K27" s="71"/>
      <c r="L27" s="71"/>
      <c r="M27" s="61"/>
      <c r="N27" s="61"/>
    </row>
    <row r="28" spans="1:14" ht="15" customHeight="1" x14ac:dyDescent="0.3">
      <c r="A28" s="71" t="s">
        <v>144</v>
      </c>
      <c r="B28" s="75" t="s">
        <v>60</v>
      </c>
      <c r="C28" s="104"/>
      <c r="D28" s="104"/>
      <c r="E28" s="70"/>
      <c r="F28" s="70"/>
      <c r="G28" s="70"/>
      <c r="H28" s="70"/>
      <c r="I28" s="70"/>
      <c r="J28" s="70"/>
      <c r="K28" s="71"/>
      <c r="L28" s="71"/>
      <c r="M28" s="61"/>
      <c r="N28" s="61"/>
    </row>
    <row r="29" spans="1:14" ht="15" customHeight="1" x14ac:dyDescent="0.3">
      <c r="A29" s="71"/>
      <c r="B29" s="74" t="s">
        <v>37</v>
      </c>
      <c r="C29" s="80">
        <v>3394.5000000000005</v>
      </c>
      <c r="D29" s="69" t="str">
        <f>$A$35</f>
        <v>(3)</v>
      </c>
      <c r="E29" s="70"/>
      <c r="F29" s="70"/>
      <c r="G29" s="70"/>
      <c r="H29" s="70"/>
      <c r="I29" s="70"/>
      <c r="J29" s="70"/>
      <c r="K29" s="71"/>
      <c r="L29" s="71"/>
      <c r="M29" s="61"/>
      <c r="N29" s="61"/>
    </row>
    <row r="30" spans="1:14" ht="15" customHeight="1" x14ac:dyDescent="0.3">
      <c r="A30" s="71"/>
      <c r="B30" s="74" t="s">
        <v>59</v>
      </c>
      <c r="C30" s="106">
        <v>18.879056047197633</v>
      </c>
      <c r="D30" s="69" t="str">
        <f>$A$36</f>
        <v>(4)</v>
      </c>
      <c r="E30" s="70"/>
      <c r="F30" s="70"/>
      <c r="G30" s="70"/>
      <c r="H30" s="70"/>
      <c r="I30" s="70"/>
      <c r="J30" s="70"/>
      <c r="K30" s="71"/>
      <c r="L30" s="71"/>
      <c r="M30" s="61"/>
      <c r="N30" s="61"/>
    </row>
    <row r="31" spans="1:14" ht="15" customHeight="1" x14ac:dyDescent="0.3">
      <c r="A31" s="74"/>
      <c r="B31" s="70"/>
      <c r="C31" s="70"/>
      <c r="D31" s="70"/>
      <c r="E31" s="70"/>
      <c r="F31" s="70"/>
      <c r="G31" s="70"/>
      <c r="H31" s="70"/>
      <c r="I31" s="70"/>
      <c r="J31" s="70"/>
      <c r="K31" s="71"/>
      <c r="L31" s="71"/>
      <c r="M31" s="61"/>
      <c r="N31" s="61"/>
    </row>
    <row r="32" spans="1:14" ht="15" customHeight="1" x14ac:dyDescent="0.3">
      <c r="A32" s="8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  <c r="L32" s="71"/>
      <c r="M32" s="61"/>
      <c r="N32" s="61"/>
    </row>
    <row r="33" spans="1:14" ht="15" customHeight="1" x14ac:dyDescent="0.3">
      <c r="A33" s="83" t="s">
        <v>145</v>
      </c>
      <c r="B33" s="69" t="s">
        <v>39</v>
      </c>
      <c r="C33" s="70"/>
      <c r="D33" s="70"/>
      <c r="E33" s="70"/>
      <c r="F33" s="70"/>
      <c r="G33" s="70"/>
      <c r="H33" s="70"/>
      <c r="I33" s="70"/>
      <c r="J33" s="70"/>
      <c r="K33" s="71"/>
      <c r="L33" s="71"/>
      <c r="M33" s="61"/>
      <c r="N33" s="61"/>
    </row>
    <row r="34" spans="1:14" ht="15" customHeight="1" x14ac:dyDescent="0.3">
      <c r="A34" s="83" t="s">
        <v>146</v>
      </c>
      <c r="B34" s="75" t="s">
        <v>40</v>
      </c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61"/>
      <c r="N34" s="61"/>
    </row>
    <row r="35" spans="1:14" ht="15" customHeight="1" x14ac:dyDescent="0.3">
      <c r="A35" s="83" t="s">
        <v>147</v>
      </c>
      <c r="B35" s="69" t="s">
        <v>41</v>
      </c>
      <c r="C35" s="70"/>
      <c r="D35" s="70"/>
      <c r="E35" s="70"/>
      <c r="F35" s="70"/>
      <c r="G35" s="70"/>
      <c r="H35" s="70"/>
      <c r="I35" s="70"/>
      <c r="J35" s="70"/>
      <c r="K35" s="71"/>
      <c r="L35" s="71"/>
      <c r="M35" s="61"/>
      <c r="N35" s="61"/>
    </row>
    <row r="36" spans="1:14" ht="15" customHeight="1" x14ac:dyDescent="0.3">
      <c r="A36" s="83" t="s">
        <v>148</v>
      </c>
      <c r="B36" s="69" t="s">
        <v>61</v>
      </c>
      <c r="C36" s="70"/>
      <c r="D36" s="70"/>
      <c r="E36" s="70"/>
      <c r="F36" s="70"/>
      <c r="G36" s="70"/>
      <c r="H36" s="70"/>
      <c r="I36" s="70"/>
      <c r="J36" s="70"/>
      <c r="K36" s="71"/>
      <c r="L36" s="71"/>
      <c r="M36" s="61"/>
      <c r="N36" s="61"/>
    </row>
    <row r="37" spans="1:14" ht="15" customHeight="1" x14ac:dyDescent="0.3">
      <c r="K37" s="84"/>
      <c r="L37" s="84"/>
    </row>
  </sheetData>
  <mergeCells count="9">
    <mergeCell ref="C5:C6"/>
    <mergeCell ref="K5:N5"/>
    <mergeCell ref="G6:H6"/>
    <mergeCell ref="I6:J6"/>
    <mergeCell ref="A5:B6"/>
    <mergeCell ref="D5:D6"/>
    <mergeCell ref="E5:E6"/>
    <mergeCell ref="F5:F6"/>
    <mergeCell ref="G5:J5"/>
  </mergeCells>
  <conditionalFormatting sqref="F12:N13 F7:F11 K7:N11">
    <cfRule type="cellIs" dxfId="65" priority="7" operator="equal">
      <formula>0</formula>
    </cfRule>
    <cfRule type="cellIs" dxfId="64" priority="8" operator="greaterThanOrEqual">
      <formula>100</formula>
    </cfRule>
    <cfRule type="cellIs" dxfId="63" priority="9" operator="between">
      <formula>10</formula>
      <formula>100</formula>
    </cfRule>
    <cfRule type="cellIs" dxfId="62" priority="10" operator="between">
      <formula>0.1</formula>
      <formula>10</formula>
    </cfRule>
    <cfRule type="cellIs" dxfId="61" priority="11" operator="between">
      <formula>0.01</formula>
      <formula>0.1</formula>
    </cfRule>
    <cfRule type="cellIs" dxfId="60" priority="12" operator="lessThan">
      <formula>0.01</formula>
    </cfRule>
  </conditionalFormatting>
  <conditionalFormatting sqref="G7:J11">
    <cfRule type="cellIs" dxfId="59" priority="1" operator="equal">
      <formula>0</formula>
    </cfRule>
    <cfRule type="cellIs" dxfId="58" priority="2" operator="greaterThanOrEqual">
      <formula>100</formula>
    </cfRule>
    <cfRule type="cellIs" dxfId="57" priority="3" operator="between">
      <formula>10</formula>
      <formula>100</formula>
    </cfRule>
    <cfRule type="cellIs" dxfId="56" priority="4" operator="between">
      <formula>0.1</formula>
      <formula>10</formula>
    </cfRule>
    <cfRule type="cellIs" dxfId="55" priority="5" operator="between">
      <formula>0.01</formula>
      <formula>0.1</formula>
    </cfRule>
    <cfRule type="cellIs" dxfId="54" priority="6" operator="lessThan">
      <formula>0.01</formula>
    </cfRule>
  </conditionalFormatting>
  <pageMargins left="0.7" right="0.7" top="0.75" bottom="0.75" header="0.3" footer="0.3"/>
  <pageSetup scale="86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4FDB-ECF0-471A-A4E0-420760C7ABB9}">
  <sheetPr>
    <pageSetUpPr fitToPage="1"/>
  </sheetPr>
  <dimension ref="A1:N37"/>
  <sheetViews>
    <sheetView zoomScaleNormal="100" workbookViewId="0">
      <selection activeCell="N26" sqref="N26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3" style="5" bestFit="1" customWidth="1"/>
    <col min="4" max="5" width="9.140625" style="5"/>
    <col min="6" max="7" width="12.85546875" style="5" customWidth="1"/>
    <col min="8" max="8" width="3.5703125" style="5" customWidth="1"/>
    <col min="9" max="9" width="12.85546875" style="5" customWidth="1"/>
    <col min="10" max="10" width="3.5703125" style="5" customWidth="1"/>
    <col min="11" max="11" width="12.85546875" style="4" customWidth="1"/>
    <col min="12" max="12" width="3.5703125" style="4" customWidth="1"/>
    <col min="13" max="13" width="12.85546875" style="4" customWidth="1"/>
    <col min="14" max="14" width="3.5703125" style="4" customWidth="1"/>
    <col min="15" max="15" width="3.7109375" style="4" customWidth="1"/>
    <col min="16" max="16384" width="9.140625" style="4"/>
  </cols>
  <sheetData>
    <row r="1" spans="1:14" s="1" customFormat="1" ht="18" customHeight="1" x14ac:dyDescent="0.3">
      <c r="A1" s="1" t="s">
        <v>62</v>
      </c>
      <c r="C1" s="2"/>
      <c r="D1" s="2"/>
      <c r="E1" s="2"/>
      <c r="F1" s="2"/>
      <c r="G1" s="2"/>
      <c r="H1" s="2"/>
      <c r="I1" s="2"/>
      <c r="J1" s="2"/>
      <c r="K1"/>
      <c r="L1"/>
      <c r="M1"/>
      <c r="N1"/>
    </row>
    <row r="2" spans="1:14" s="1" customFormat="1" ht="18" customHeight="1" x14ac:dyDescent="0.3">
      <c r="A2" s="1" t="s">
        <v>63</v>
      </c>
      <c r="C2" s="2"/>
      <c r="D2" s="2"/>
      <c r="E2" s="2"/>
      <c r="F2" s="2"/>
      <c r="G2" s="2"/>
      <c r="H2" s="2"/>
      <c r="I2" s="2"/>
      <c r="J2" s="2"/>
      <c r="K2"/>
      <c r="L2"/>
      <c r="M2"/>
      <c r="N2"/>
    </row>
    <row r="3" spans="1:14" s="1" customFormat="1" ht="18" customHeight="1" x14ac:dyDescent="0.3">
      <c r="A3" s="1" t="s">
        <v>2</v>
      </c>
      <c r="C3" s="2"/>
      <c r="D3" s="2"/>
      <c r="E3" s="2"/>
      <c r="F3" s="2"/>
      <c r="G3" s="2"/>
      <c r="H3" s="2"/>
      <c r="I3" s="2"/>
      <c r="J3" s="2"/>
    </row>
    <row r="4" spans="1:14" ht="15" customHeight="1" thickBot="1" x14ac:dyDescent="0.35"/>
    <row r="5" spans="1:14" s="6" customFormat="1" ht="30" customHeight="1" x14ac:dyDescent="0.3">
      <c r="A5" s="322" t="s">
        <v>3</v>
      </c>
      <c r="B5" s="323"/>
      <c r="C5" s="313" t="s">
        <v>4</v>
      </c>
      <c r="D5" s="326" t="s">
        <v>5</v>
      </c>
      <c r="E5" s="328" t="s">
        <v>6</v>
      </c>
      <c r="F5" s="313" t="s">
        <v>7</v>
      </c>
      <c r="G5" s="315" t="s">
        <v>8</v>
      </c>
      <c r="H5" s="316"/>
      <c r="I5" s="316"/>
      <c r="J5" s="317"/>
      <c r="K5" s="315" t="s">
        <v>9</v>
      </c>
      <c r="L5" s="316"/>
      <c r="M5" s="316"/>
      <c r="N5" s="317"/>
    </row>
    <row r="6" spans="1:14" s="6" customFormat="1" ht="30" customHeight="1" thickBot="1" x14ac:dyDescent="0.35">
      <c r="A6" s="324"/>
      <c r="B6" s="325"/>
      <c r="C6" s="314"/>
      <c r="D6" s="327"/>
      <c r="E6" s="329"/>
      <c r="F6" s="314"/>
      <c r="G6" s="318" t="s">
        <v>10</v>
      </c>
      <c r="H6" s="319"/>
      <c r="I6" s="320" t="s">
        <v>11</v>
      </c>
      <c r="J6" s="321"/>
      <c r="K6" s="7" t="s">
        <v>12</v>
      </c>
      <c r="L6" s="8"/>
      <c r="M6" s="9" t="s">
        <v>13</v>
      </c>
      <c r="N6" s="10"/>
    </row>
    <row r="7" spans="1:14" ht="15" customHeight="1" x14ac:dyDescent="0.3">
      <c r="A7" s="11" t="s">
        <v>14</v>
      </c>
      <c r="B7" s="12"/>
      <c r="C7" s="85">
        <v>75070</v>
      </c>
      <c r="D7" s="14" t="s">
        <v>149</v>
      </c>
      <c r="E7" s="15" t="s">
        <v>149</v>
      </c>
      <c r="F7" s="16">
        <v>0</v>
      </c>
      <c r="G7" s="16">
        <f>F7*$C$19/453.592*3600</f>
        <v>0</v>
      </c>
      <c r="H7" s="17" t="str">
        <f>$A$18</f>
        <v>(a)</v>
      </c>
      <c r="I7" s="18">
        <f>F7/453.592*3600</f>
        <v>0</v>
      </c>
      <c r="J7" s="19" t="str">
        <f>$A$20</f>
        <v>(b)</v>
      </c>
      <c r="K7" s="101">
        <f>$G7*24</f>
        <v>0</v>
      </c>
      <c r="L7" s="102" t="str">
        <f>$A$21</f>
        <v>(c)</v>
      </c>
      <c r="M7" s="103">
        <f>$I7*8760</f>
        <v>0</v>
      </c>
      <c r="N7" s="23" t="str">
        <f>$A$22</f>
        <v>(d)</v>
      </c>
    </row>
    <row r="8" spans="1:14" ht="15" customHeight="1" x14ac:dyDescent="0.3">
      <c r="A8" s="24" t="s">
        <v>15</v>
      </c>
      <c r="B8" s="25"/>
      <c r="C8" s="27">
        <v>50000</v>
      </c>
      <c r="D8" s="28" t="s">
        <v>149</v>
      </c>
      <c r="E8" s="26" t="s">
        <v>149</v>
      </c>
      <c r="F8" s="26">
        <v>0</v>
      </c>
      <c r="G8" s="29">
        <f>F8*$C$19/453.592*3600</f>
        <v>0</v>
      </c>
      <c r="H8" s="30" t="str">
        <f>$A$18</f>
        <v>(a)</v>
      </c>
      <c r="I8" s="31">
        <f>F8/453.592*3600</f>
        <v>0</v>
      </c>
      <c r="J8" s="32" t="str">
        <f>$A$20</f>
        <v>(b)</v>
      </c>
      <c r="K8" s="33">
        <f>$G8*24</f>
        <v>0</v>
      </c>
      <c r="L8" s="34" t="str">
        <f>$A$21</f>
        <v>(c)</v>
      </c>
      <c r="M8" s="35">
        <f>$I8*8760</f>
        <v>0</v>
      </c>
      <c r="N8" s="36" t="str">
        <f>$A$22</f>
        <v>(d)</v>
      </c>
    </row>
    <row r="9" spans="1:14" ht="15" customHeight="1" x14ac:dyDescent="0.3">
      <c r="A9" s="24" t="s">
        <v>16</v>
      </c>
      <c r="B9" s="25"/>
      <c r="C9" s="27">
        <v>7783064</v>
      </c>
      <c r="D9" s="28" t="s">
        <v>150</v>
      </c>
      <c r="E9" s="26" t="s">
        <v>149</v>
      </c>
      <c r="F9" s="37" t="s">
        <v>17</v>
      </c>
      <c r="G9" s="37">
        <f>K9/24</f>
        <v>1.8731563421828903E-3</v>
      </c>
      <c r="H9" s="38" t="str">
        <f>$A$23</f>
        <v>(e)</v>
      </c>
      <c r="I9" s="39">
        <f>M9/8760</f>
        <v>6.8584070796460161E-4</v>
      </c>
      <c r="J9" s="40" t="str">
        <f>$A$24</f>
        <v>(f)</v>
      </c>
      <c r="K9" s="33">
        <f>$C$26*$C$27/100</f>
        <v>4.4955752212389365E-2</v>
      </c>
      <c r="L9" s="41" t="str">
        <f>$A$25</f>
        <v>(g)</v>
      </c>
      <c r="M9" s="42">
        <f>$C$29*$C$30/100</f>
        <v>6.0079646017699098</v>
      </c>
      <c r="N9" s="43" t="str">
        <f>$A$28</f>
        <v>(h)</v>
      </c>
    </row>
    <row r="10" spans="1:14" ht="15" customHeight="1" x14ac:dyDescent="0.3">
      <c r="A10" s="24" t="s">
        <v>18</v>
      </c>
      <c r="B10" s="25"/>
      <c r="C10" s="27">
        <v>67561</v>
      </c>
      <c r="D10" s="28" t="s">
        <v>149</v>
      </c>
      <c r="E10" s="26" t="s">
        <v>149</v>
      </c>
      <c r="F10" s="26">
        <v>0</v>
      </c>
      <c r="G10" s="29">
        <f>F10*$C$19/453.592*3600</f>
        <v>0</v>
      </c>
      <c r="H10" s="30" t="str">
        <f>$A$18</f>
        <v>(a)</v>
      </c>
      <c r="I10" s="31">
        <f>F10/453.592*3600</f>
        <v>0</v>
      </c>
      <c r="J10" s="32" t="str">
        <f>$A$20</f>
        <v>(b)</v>
      </c>
      <c r="K10" s="33">
        <f>$G10*24</f>
        <v>0</v>
      </c>
      <c r="L10" s="34" t="str">
        <f>$A$21</f>
        <v>(c)</v>
      </c>
      <c r="M10" s="35">
        <f t="shared" ref="M10:M11" si="0">$I10*8760</f>
        <v>0</v>
      </c>
      <c r="N10" s="36" t="str">
        <f>$A$22</f>
        <v>(d)</v>
      </c>
    </row>
    <row r="11" spans="1:14" ht="15" customHeight="1" x14ac:dyDescent="0.3">
      <c r="A11" s="24" t="s">
        <v>19</v>
      </c>
      <c r="B11" s="25"/>
      <c r="C11" s="27">
        <v>78933</v>
      </c>
      <c r="D11" s="28" t="s">
        <v>150</v>
      </c>
      <c r="E11" s="26" t="s">
        <v>149</v>
      </c>
      <c r="F11" s="26">
        <v>0</v>
      </c>
      <c r="G11" s="46">
        <f>F11*$C$19/453.592*3600</f>
        <v>0</v>
      </c>
      <c r="H11" s="91" t="str">
        <f>$A$18</f>
        <v>(a)</v>
      </c>
      <c r="I11" s="48">
        <f>F11/453.592*3600</f>
        <v>0</v>
      </c>
      <c r="J11" s="92" t="str">
        <f>$A$20</f>
        <v>(b)</v>
      </c>
      <c r="K11" s="33">
        <f>$G11*24</f>
        <v>0</v>
      </c>
      <c r="L11" s="34" t="str">
        <f>$A$21</f>
        <v>(c)</v>
      </c>
      <c r="M11" s="35">
        <f t="shared" si="0"/>
        <v>0</v>
      </c>
      <c r="N11" s="53" t="str">
        <f>$A$22</f>
        <v>(d)</v>
      </c>
    </row>
    <row r="12" spans="1:14" s="3" customFormat="1" ht="15" customHeight="1" x14ac:dyDescent="0.3">
      <c r="A12" s="54" t="s">
        <v>20</v>
      </c>
      <c r="B12" s="55"/>
      <c r="C12" s="55"/>
      <c r="D12" s="55"/>
      <c r="E12" s="56"/>
      <c r="F12" s="57"/>
      <c r="G12" s="57"/>
      <c r="H12" s="57"/>
      <c r="I12" s="57"/>
      <c r="J12" s="57"/>
      <c r="K12" s="57">
        <f>SUM(K$7:K$11)</f>
        <v>4.4955752212389365E-2</v>
      </c>
      <c r="L12" s="58"/>
      <c r="M12" s="56">
        <f>SUM(M$7:M$11)</f>
        <v>6.0079646017699098</v>
      </c>
      <c r="N12" s="97"/>
    </row>
    <row r="13" spans="1:14" s="3" customFormat="1" ht="15" customHeight="1" thickBot="1" x14ac:dyDescent="0.35">
      <c r="A13" s="62" t="s">
        <v>21</v>
      </c>
      <c r="B13" s="63"/>
      <c r="C13" s="63"/>
      <c r="D13" s="63"/>
      <c r="E13" s="64"/>
      <c r="F13" s="65"/>
      <c r="G13" s="65"/>
      <c r="H13" s="65"/>
      <c r="I13" s="65"/>
      <c r="J13" s="65"/>
      <c r="K13" s="65">
        <f>SUMIF($E$7:$E$11,"Yes",K$7:K$11)</f>
        <v>4.4955752212389365E-2</v>
      </c>
      <c r="L13" s="66"/>
      <c r="M13" s="64">
        <f>SUMIF($E$7:$E$11,"Yes",M$7:M$11)</f>
        <v>6.0079646017699098</v>
      </c>
      <c r="N13" s="98"/>
    </row>
    <row r="14" spans="1:14" ht="15" customHeight="1" x14ac:dyDescent="0.3">
      <c r="A14" s="69" t="s">
        <v>22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  <c r="L14" s="71"/>
      <c r="M14" s="61"/>
      <c r="N14" s="61"/>
    </row>
    <row r="15" spans="1:14" ht="15" customHeight="1" x14ac:dyDescent="0.3">
      <c r="A15" s="72" t="s">
        <v>23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  <c r="L15" s="71"/>
      <c r="M15" s="61"/>
      <c r="N15" s="61"/>
    </row>
    <row r="16" spans="1:14" ht="15" customHeight="1" x14ac:dyDescent="0.3">
      <c r="A16" s="72" t="s">
        <v>24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61"/>
      <c r="N16" s="61"/>
    </row>
    <row r="17" spans="1:14" ht="15" customHeight="1" x14ac:dyDescent="0.3">
      <c r="A17" s="72" t="s">
        <v>25</v>
      </c>
      <c r="B17" s="70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61"/>
      <c r="N17" s="61"/>
    </row>
    <row r="18" spans="1:14" ht="15" customHeight="1" x14ac:dyDescent="0.3">
      <c r="A18" s="71" t="s">
        <v>137</v>
      </c>
      <c r="B18" s="75" t="s">
        <v>26</v>
      </c>
      <c r="C18" s="70"/>
      <c r="D18" s="70"/>
      <c r="E18" s="70"/>
      <c r="F18" s="70"/>
      <c r="G18" s="70"/>
      <c r="H18" s="70"/>
      <c r="I18" s="70"/>
      <c r="J18" s="70"/>
      <c r="K18" s="71"/>
      <c r="L18" s="71"/>
      <c r="M18" s="61"/>
      <c r="N18" s="61"/>
    </row>
    <row r="19" spans="1:14" ht="15" customHeight="1" x14ac:dyDescent="0.3">
      <c r="A19" s="71"/>
      <c r="B19" s="74" t="s">
        <v>27</v>
      </c>
      <c r="C19" s="76">
        <v>2</v>
      </c>
      <c r="D19" s="75" t="str">
        <f>$A$34</f>
        <v>(2)</v>
      </c>
      <c r="E19" s="70"/>
      <c r="F19" s="70"/>
      <c r="G19" s="70"/>
      <c r="H19" s="70"/>
      <c r="I19" s="70"/>
      <c r="J19" s="70"/>
      <c r="K19" s="71"/>
      <c r="L19" s="71"/>
      <c r="M19" s="61"/>
      <c r="N19" s="61"/>
    </row>
    <row r="20" spans="1:14" ht="15" customHeight="1" x14ac:dyDescent="0.3">
      <c r="A20" s="71" t="s">
        <v>138</v>
      </c>
      <c r="B20" s="75" t="s">
        <v>28</v>
      </c>
      <c r="C20" s="70"/>
      <c r="D20" s="70"/>
      <c r="E20" s="70"/>
      <c r="F20" s="70"/>
      <c r="G20" s="70"/>
      <c r="H20" s="70"/>
      <c r="I20" s="70"/>
      <c r="J20" s="70"/>
      <c r="K20" s="71"/>
      <c r="L20" s="71"/>
      <c r="M20" s="61"/>
      <c r="N20" s="61"/>
    </row>
    <row r="21" spans="1:14" ht="15" customHeight="1" x14ac:dyDescent="0.3">
      <c r="A21" s="71" t="s">
        <v>139</v>
      </c>
      <c r="B21" s="75" t="s">
        <v>29</v>
      </c>
      <c r="C21" s="70"/>
      <c r="D21" s="70"/>
      <c r="E21" s="70"/>
      <c r="F21" s="70"/>
      <c r="G21" s="70"/>
      <c r="H21" s="70"/>
      <c r="I21" s="70"/>
      <c r="J21" s="70"/>
      <c r="K21" s="71"/>
      <c r="L21" s="71"/>
      <c r="M21" s="61"/>
      <c r="N21" s="61"/>
    </row>
    <row r="22" spans="1:14" ht="15" customHeight="1" x14ac:dyDescent="0.3">
      <c r="A22" s="71" t="s">
        <v>140</v>
      </c>
      <c r="B22" s="75" t="s">
        <v>30</v>
      </c>
      <c r="C22" s="70"/>
      <c r="D22" s="70"/>
      <c r="E22" s="70"/>
      <c r="F22" s="70"/>
      <c r="G22" s="70"/>
      <c r="H22" s="70"/>
      <c r="I22" s="70"/>
      <c r="J22" s="70"/>
      <c r="K22" s="71"/>
      <c r="L22" s="71"/>
      <c r="M22" s="61"/>
      <c r="N22" s="61"/>
    </row>
    <row r="23" spans="1:14" ht="15" customHeight="1" x14ac:dyDescent="0.3">
      <c r="A23" s="71" t="s">
        <v>141</v>
      </c>
      <c r="B23" s="75" t="s">
        <v>31</v>
      </c>
      <c r="C23" s="70"/>
      <c r="D23" s="70"/>
      <c r="E23" s="70"/>
      <c r="F23" s="70"/>
      <c r="G23" s="70"/>
      <c r="H23" s="70"/>
      <c r="I23" s="70"/>
      <c r="J23" s="70"/>
      <c r="K23" s="71"/>
      <c r="L23" s="71"/>
      <c r="M23" s="61"/>
      <c r="N23" s="61"/>
    </row>
    <row r="24" spans="1:14" ht="15" customHeight="1" x14ac:dyDescent="0.3">
      <c r="A24" s="71" t="s">
        <v>142</v>
      </c>
      <c r="B24" s="75" t="s">
        <v>32</v>
      </c>
      <c r="C24" s="70"/>
      <c r="D24" s="70"/>
      <c r="E24" s="70"/>
      <c r="F24" s="70"/>
      <c r="G24" s="70"/>
      <c r="H24" s="70"/>
      <c r="I24" s="70"/>
      <c r="J24" s="70"/>
      <c r="K24" s="71"/>
      <c r="L24" s="71"/>
      <c r="M24" s="61"/>
      <c r="N24" s="61"/>
    </row>
    <row r="25" spans="1:14" ht="15" customHeight="1" x14ac:dyDescent="0.3">
      <c r="A25" s="107" t="s">
        <v>143</v>
      </c>
      <c r="B25" s="69" t="s">
        <v>64</v>
      </c>
      <c r="C25" s="104"/>
      <c r="D25" s="104"/>
      <c r="E25" s="70"/>
      <c r="F25" s="70"/>
      <c r="G25" s="70"/>
      <c r="H25" s="70"/>
      <c r="I25" s="70"/>
      <c r="J25" s="70"/>
      <c r="K25" s="71"/>
      <c r="L25" s="71"/>
      <c r="M25" s="61"/>
      <c r="N25" s="61"/>
    </row>
    <row r="26" spans="1:14" ht="15" customHeight="1" x14ac:dyDescent="0.3">
      <c r="A26" s="107"/>
      <c r="B26" s="108" t="s">
        <v>34</v>
      </c>
      <c r="C26" s="70">
        <v>25.4</v>
      </c>
      <c r="D26" s="69" t="str">
        <f>$A$35</f>
        <v>(3)</v>
      </c>
      <c r="E26" s="70"/>
      <c r="F26" s="70"/>
      <c r="G26" s="70"/>
      <c r="H26" s="70"/>
      <c r="I26" s="70"/>
      <c r="J26" s="70"/>
      <c r="K26" s="71"/>
      <c r="L26" s="71"/>
      <c r="M26" s="61"/>
      <c r="N26" s="61"/>
    </row>
    <row r="27" spans="1:14" ht="15" customHeight="1" x14ac:dyDescent="0.3">
      <c r="A27" s="107"/>
      <c r="B27" s="108" t="s">
        <v>65</v>
      </c>
      <c r="C27" s="109">
        <v>0.17699115044247782</v>
      </c>
      <c r="D27" s="69" t="str">
        <f>$A$36</f>
        <v>(4)</v>
      </c>
      <c r="E27" s="70"/>
      <c r="F27" s="70"/>
      <c r="G27" s="70"/>
      <c r="H27" s="70"/>
      <c r="I27" s="70"/>
      <c r="J27" s="70"/>
      <c r="K27" s="71"/>
      <c r="L27" s="71"/>
      <c r="M27" s="61"/>
      <c r="N27" s="61"/>
    </row>
    <row r="28" spans="1:14" ht="15" customHeight="1" x14ac:dyDescent="0.3">
      <c r="A28" s="107" t="s">
        <v>144</v>
      </c>
      <c r="B28" s="69" t="s">
        <v>66</v>
      </c>
      <c r="C28" s="104"/>
      <c r="D28" s="104"/>
      <c r="E28" s="70"/>
      <c r="F28" s="70"/>
      <c r="G28" s="70"/>
      <c r="H28" s="70"/>
      <c r="I28" s="70"/>
      <c r="J28" s="70"/>
      <c r="K28" s="71"/>
      <c r="L28" s="71"/>
      <c r="M28" s="61"/>
      <c r="N28" s="61"/>
    </row>
    <row r="29" spans="1:14" ht="15" customHeight="1" x14ac:dyDescent="0.3">
      <c r="A29" s="107"/>
      <c r="B29" s="108" t="s">
        <v>37</v>
      </c>
      <c r="C29" s="80">
        <v>3394.5000000000005</v>
      </c>
      <c r="D29" s="69" t="str">
        <f>$A$35</f>
        <v>(3)</v>
      </c>
      <c r="E29" s="70"/>
      <c r="F29" s="70"/>
      <c r="G29" s="70"/>
      <c r="H29" s="70"/>
      <c r="I29" s="70"/>
      <c r="J29" s="70"/>
      <c r="K29" s="71"/>
      <c r="L29" s="71"/>
      <c r="M29" s="61"/>
      <c r="N29" s="61"/>
    </row>
    <row r="30" spans="1:14" ht="15" customHeight="1" x14ac:dyDescent="0.3">
      <c r="A30" s="107"/>
      <c r="B30" s="108" t="s">
        <v>65</v>
      </c>
      <c r="C30" s="110">
        <v>0.17699115044247782</v>
      </c>
      <c r="D30" s="69" t="str">
        <f>$A$36</f>
        <v>(4)</v>
      </c>
      <c r="E30" s="70"/>
      <c r="F30" s="70"/>
      <c r="G30" s="70"/>
      <c r="H30" s="70"/>
      <c r="I30" s="70"/>
      <c r="J30" s="70"/>
      <c r="K30" s="71"/>
      <c r="L30" s="71"/>
      <c r="M30" s="61"/>
      <c r="N30" s="61"/>
    </row>
    <row r="31" spans="1:14" ht="15" customHeight="1" x14ac:dyDescent="0.3">
      <c r="A31" s="74"/>
      <c r="B31" s="70"/>
      <c r="C31" s="70"/>
      <c r="D31" s="70"/>
      <c r="E31" s="70"/>
      <c r="F31" s="70"/>
      <c r="G31" s="70"/>
      <c r="H31" s="70"/>
      <c r="I31" s="70"/>
      <c r="J31" s="70"/>
      <c r="K31" s="71"/>
      <c r="L31" s="71"/>
      <c r="M31" s="61"/>
      <c r="N31" s="61"/>
    </row>
    <row r="32" spans="1:14" ht="15" customHeight="1" x14ac:dyDescent="0.3">
      <c r="A32" s="82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  <c r="L32" s="71"/>
      <c r="M32" s="61"/>
      <c r="N32" s="61"/>
    </row>
    <row r="33" spans="1:14" ht="15" customHeight="1" x14ac:dyDescent="0.3">
      <c r="A33" s="83" t="s">
        <v>145</v>
      </c>
      <c r="B33" s="69" t="s">
        <v>39</v>
      </c>
      <c r="C33" s="70"/>
      <c r="D33" s="70"/>
      <c r="E33" s="70"/>
      <c r="F33" s="70"/>
      <c r="G33" s="70"/>
      <c r="H33" s="70"/>
      <c r="I33" s="70"/>
      <c r="J33" s="70"/>
      <c r="K33" s="71"/>
      <c r="L33" s="71"/>
      <c r="M33" s="61"/>
      <c r="N33" s="61"/>
    </row>
    <row r="34" spans="1:14" ht="15" customHeight="1" x14ac:dyDescent="0.3">
      <c r="A34" s="83" t="s">
        <v>146</v>
      </c>
      <c r="B34" s="75" t="s">
        <v>40</v>
      </c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61"/>
      <c r="N34" s="61"/>
    </row>
    <row r="35" spans="1:14" ht="15" customHeight="1" x14ac:dyDescent="0.3">
      <c r="A35" s="83" t="s">
        <v>147</v>
      </c>
      <c r="B35" s="69" t="s">
        <v>41</v>
      </c>
      <c r="C35" s="70"/>
      <c r="D35" s="70"/>
      <c r="E35" s="70"/>
      <c r="F35" s="70"/>
      <c r="G35" s="70"/>
      <c r="H35" s="70"/>
      <c r="I35" s="70"/>
      <c r="J35" s="70"/>
      <c r="K35" s="71"/>
      <c r="L35" s="71"/>
      <c r="M35" s="61"/>
      <c r="N35" s="61"/>
    </row>
    <row r="36" spans="1:14" ht="15" customHeight="1" x14ac:dyDescent="0.3">
      <c r="A36" s="83" t="s">
        <v>148</v>
      </c>
      <c r="B36" s="69" t="s">
        <v>67</v>
      </c>
      <c r="C36" s="70"/>
      <c r="D36" s="70"/>
      <c r="E36" s="70"/>
      <c r="F36" s="70"/>
      <c r="G36" s="70"/>
      <c r="H36" s="70"/>
      <c r="I36" s="70"/>
      <c r="J36" s="70"/>
      <c r="K36" s="71"/>
      <c r="L36" s="71"/>
      <c r="M36" s="61"/>
      <c r="N36" s="61"/>
    </row>
    <row r="37" spans="1:14" ht="15" customHeight="1" x14ac:dyDescent="0.3">
      <c r="K37" s="84"/>
      <c r="L37" s="84"/>
    </row>
  </sheetData>
  <mergeCells count="9">
    <mergeCell ref="C5:C6"/>
    <mergeCell ref="K5:N5"/>
    <mergeCell ref="G6:H6"/>
    <mergeCell ref="I6:J6"/>
    <mergeCell ref="A5:B6"/>
    <mergeCell ref="D5:D6"/>
    <mergeCell ref="E5:E6"/>
    <mergeCell ref="F5:F6"/>
    <mergeCell ref="G5:J5"/>
  </mergeCells>
  <conditionalFormatting sqref="F12:N13 F7:F11 K7:N11">
    <cfRule type="cellIs" dxfId="53" priority="7" operator="equal">
      <formula>0</formula>
    </cfRule>
    <cfRule type="cellIs" dxfId="52" priority="8" operator="greaterThanOrEqual">
      <formula>100</formula>
    </cfRule>
    <cfRule type="cellIs" dxfId="51" priority="9" operator="between">
      <formula>10</formula>
      <formula>100</formula>
    </cfRule>
    <cfRule type="cellIs" dxfId="50" priority="10" operator="between">
      <formula>0.1</formula>
      <formula>10</formula>
    </cfRule>
    <cfRule type="cellIs" dxfId="49" priority="11" operator="between">
      <formula>0.01</formula>
      <formula>0.1</formula>
    </cfRule>
    <cfRule type="cellIs" dxfId="48" priority="12" operator="lessThan">
      <formula>0.01</formula>
    </cfRule>
  </conditionalFormatting>
  <conditionalFormatting sqref="G7:J11">
    <cfRule type="cellIs" dxfId="47" priority="1" operator="equal">
      <formula>0</formula>
    </cfRule>
    <cfRule type="cellIs" dxfId="46" priority="2" operator="greaterThanOrEqual">
      <formula>100</formula>
    </cfRule>
    <cfRule type="cellIs" dxfId="45" priority="3" operator="between">
      <formula>10</formula>
      <formula>100</formula>
    </cfRule>
    <cfRule type="cellIs" dxfId="44" priority="4" operator="between">
      <formula>0.1</formula>
      <formula>10</formula>
    </cfRule>
    <cfRule type="cellIs" dxfId="43" priority="5" operator="between">
      <formula>0.01</formula>
      <formula>0.1</formula>
    </cfRule>
    <cfRule type="cellIs" dxfId="42" priority="6" operator="lessThan">
      <formula>0.01</formula>
    </cfRule>
  </conditionalFormatting>
  <pageMargins left="0.7" right="0.7" top="0.75" bottom="0.75" header="0.3" footer="0.3"/>
  <pageSetup scale="86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4EE0-6C0A-42EF-836B-5FF3FD1F3B33}">
  <sheetPr>
    <pageSetUpPr fitToPage="1"/>
  </sheetPr>
  <dimension ref="A1:Y60"/>
  <sheetViews>
    <sheetView zoomScale="90" zoomScaleNormal="90" zoomScalePageLayoutView="85" workbookViewId="0">
      <selection activeCell="N26" sqref="N26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0.7109375" style="5" customWidth="1"/>
    <col min="4" max="5" width="9.140625" style="5"/>
    <col min="6" max="7" width="10.7109375" style="5" customWidth="1"/>
    <col min="8" max="8" width="3.42578125" style="5" customWidth="1"/>
    <col min="9" max="9" width="10.7109375" style="5" customWidth="1"/>
    <col min="10" max="10" width="3.42578125" style="5" customWidth="1"/>
    <col min="11" max="19" width="10.7109375" style="5" customWidth="1"/>
    <col min="20" max="20" width="3.42578125" style="5" customWidth="1"/>
    <col min="21" max="21" width="10.7109375" style="5" customWidth="1"/>
    <col min="22" max="22" width="3.42578125" style="5" customWidth="1"/>
    <col min="23" max="24" width="10.28515625" style="4" customWidth="1"/>
    <col min="25" max="25" width="3.7109375" style="4" customWidth="1"/>
    <col min="26" max="16384" width="9.140625" style="4"/>
  </cols>
  <sheetData>
    <row r="1" spans="1:25" s="1" customFormat="1" ht="18" customHeight="1" x14ac:dyDescent="0.3">
      <c r="A1" s="111" t="s">
        <v>68</v>
      </c>
      <c r="B1" s="11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/>
      <c r="U1"/>
      <c r="V1"/>
    </row>
    <row r="2" spans="1:25" s="1" customFormat="1" ht="18" customHeight="1" x14ac:dyDescent="0.3">
      <c r="A2" s="111" t="s">
        <v>69</v>
      </c>
      <c r="B2" s="11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</row>
    <row r="3" spans="1:25" s="1" customFormat="1" ht="18" customHeight="1" x14ac:dyDescent="0.3">
      <c r="A3" s="111" t="s">
        <v>2</v>
      </c>
      <c r="B3" s="11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" ht="15" customHeight="1" thickBot="1" x14ac:dyDescent="0.35"/>
    <row r="5" spans="1:25" ht="15" customHeight="1" thickBot="1" x14ac:dyDescent="0.35">
      <c r="A5" s="112" t="s">
        <v>70</v>
      </c>
      <c r="B5" s="113"/>
      <c r="C5" s="113"/>
      <c r="D5" s="113"/>
      <c r="E5" s="113"/>
      <c r="F5" s="113"/>
      <c r="G5" s="113"/>
      <c r="H5" s="113"/>
      <c r="I5" s="113"/>
      <c r="J5" s="113"/>
      <c r="K5" s="114" t="s">
        <v>71</v>
      </c>
      <c r="L5" s="115"/>
      <c r="M5" s="114" t="s">
        <v>72</v>
      </c>
      <c r="N5" s="115"/>
      <c r="O5" s="114" t="s">
        <v>73</v>
      </c>
      <c r="P5" s="115"/>
      <c r="Q5" s="116" t="s">
        <v>74</v>
      </c>
      <c r="R5" s="116"/>
      <c r="S5" s="114" t="s">
        <v>75</v>
      </c>
      <c r="T5" s="116"/>
      <c r="U5" s="115"/>
      <c r="V5" s="115"/>
    </row>
    <row r="6" spans="1:25" ht="28.5" x14ac:dyDescent="0.3">
      <c r="A6" s="117" t="s">
        <v>76</v>
      </c>
      <c r="B6" s="118"/>
      <c r="C6" s="118"/>
      <c r="D6" s="118"/>
      <c r="E6" s="118"/>
      <c r="F6" s="118"/>
      <c r="G6" s="118"/>
      <c r="H6" s="118"/>
      <c r="I6" s="118"/>
      <c r="J6" s="118"/>
      <c r="K6" s="119" t="s">
        <v>77</v>
      </c>
      <c r="L6" s="120"/>
      <c r="M6" s="119" t="s">
        <v>78</v>
      </c>
      <c r="N6" s="120"/>
      <c r="O6" s="119" t="s">
        <v>79</v>
      </c>
      <c r="P6" s="120"/>
      <c r="Q6" s="121" t="s">
        <v>80</v>
      </c>
      <c r="R6" s="121"/>
      <c r="S6" s="122" t="s">
        <v>81</v>
      </c>
      <c r="T6" s="123"/>
      <c r="U6" s="124"/>
      <c r="V6" s="124"/>
    </row>
    <row r="7" spans="1:25" ht="15" customHeight="1" x14ac:dyDescent="0.3">
      <c r="A7" s="117" t="s">
        <v>82</v>
      </c>
      <c r="B7" s="118"/>
      <c r="C7" s="118"/>
      <c r="D7" s="118"/>
      <c r="E7" s="118"/>
      <c r="F7" s="118"/>
      <c r="G7" s="118"/>
      <c r="H7" s="118"/>
      <c r="I7" s="118"/>
      <c r="J7" s="125" t="str">
        <f>$A$54</f>
        <v>(1)</v>
      </c>
      <c r="K7" s="117">
        <v>196</v>
      </c>
      <c r="L7" s="126"/>
      <c r="M7" s="117">
        <v>196</v>
      </c>
      <c r="N7" s="126"/>
      <c r="O7" s="117">
        <v>125</v>
      </c>
      <c r="P7" s="126"/>
      <c r="Q7" s="118">
        <v>104</v>
      </c>
      <c r="R7" s="118"/>
      <c r="S7" s="44">
        <v>170</v>
      </c>
      <c r="T7" s="127"/>
      <c r="U7" s="128"/>
      <c r="V7" s="128"/>
    </row>
    <row r="8" spans="1:25" ht="15" customHeight="1" x14ac:dyDescent="0.3">
      <c r="A8" s="129" t="s">
        <v>83</v>
      </c>
      <c r="B8" s="130"/>
      <c r="C8" s="130"/>
      <c r="D8" s="130"/>
      <c r="E8" s="130"/>
      <c r="F8" s="130"/>
      <c r="G8" s="130"/>
      <c r="H8" s="130"/>
      <c r="I8" s="130"/>
      <c r="J8" s="131" t="str">
        <f>$A$54</f>
        <v>(1)</v>
      </c>
      <c r="K8" s="117">
        <v>24</v>
      </c>
      <c r="L8" s="126"/>
      <c r="M8" s="117">
        <v>24</v>
      </c>
      <c r="N8" s="126"/>
      <c r="O8" s="117">
        <v>24</v>
      </c>
      <c r="P8" s="126"/>
      <c r="Q8" s="118">
        <v>24</v>
      </c>
      <c r="R8" s="118"/>
      <c r="S8" s="44">
        <v>24</v>
      </c>
      <c r="T8" s="127"/>
      <c r="U8" s="128"/>
      <c r="V8" s="128"/>
    </row>
    <row r="9" spans="1:25" ht="15" customHeight="1" thickBot="1" x14ac:dyDescent="0.35">
      <c r="A9" s="132" t="s">
        <v>84</v>
      </c>
      <c r="B9" s="133"/>
      <c r="C9" s="133"/>
      <c r="D9" s="133"/>
      <c r="E9" s="133"/>
      <c r="F9" s="133"/>
      <c r="G9" s="133"/>
      <c r="H9" s="133"/>
      <c r="I9" s="133"/>
      <c r="J9" s="134" t="str">
        <f>$A$54</f>
        <v>(1)</v>
      </c>
      <c r="K9" s="132">
        <v>500</v>
      </c>
      <c r="L9" s="135"/>
      <c r="M9" s="132">
        <v>500</v>
      </c>
      <c r="N9" s="135"/>
      <c r="O9" s="132">
        <v>500</v>
      </c>
      <c r="P9" s="135"/>
      <c r="Q9" s="133">
        <v>500</v>
      </c>
      <c r="R9" s="133"/>
      <c r="S9" s="132">
        <v>500</v>
      </c>
      <c r="T9" s="133"/>
      <c r="U9" s="135"/>
      <c r="V9" s="135"/>
    </row>
    <row r="10" spans="1:25" ht="15" customHeight="1" thickBot="1" x14ac:dyDescent="0.35"/>
    <row r="11" spans="1:25" s="6" customFormat="1" ht="13.5" x14ac:dyDescent="0.3">
      <c r="A11" s="322" t="s">
        <v>3</v>
      </c>
      <c r="B11" s="323"/>
      <c r="C11" s="313" t="s">
        <v>4</v>
      </c>
      <c r="D11" s="326" t="s">
        <v>5</v>
      </c>
      <c r="E11" s="328" t="s">
        <v>6</v>
      </c>
      <c r="F11" s="336" t="s">
        <v>85</v>
      </c>
      <c r="G11" s="337"/>
      <c r="H11" s="337"/>
      <c r="I11" s="337"/>
      <c r="J11" s="338"/>
      <c r="K11" s="136" t="s">
        <v>86</v>
      </c>
      <c r="L11" s="137"/>
      <c r="M11" s="138"/>
      <c r="N11" s="137"/>
      <c r="O11" s="138"/>
      <c r="P11" s="137"/>
      <c r="Q11" s="138"/>
      <c r="R11" s="137"/>
      <c r="S11" s="139"/>
      <c r="T11" s="140"/>
      <c r="U11" s="141"/>
      <c r="V11" s="142"/>
      <c r="W11" s="330"/>
      <c r="X11" s="331"/>
    </row>
    <row r="12" spans="1:25" s="6" customFormat="1" ht="14.25" customHeight="1" x14ac:dyDescent="0.3">
      <c r="A12" s="333"/>
      <c r="B12" s="334"/>
      <c r="C12" s="332"/>
      <c r="D12" s="332"/>
      <c r="E12" s="335"/>
      <c r="F12" s="339"/>
      <c r="G12" s="340"/>
      <c r="H12" s="340"/>
      <c r="I12" s="340"/>
      <c r="J12" s="341"/>
      <c r="K12" s="143" t="str">
        <f>K5</f>
        <v>EU134</v>
      </c>
      <c r="L12" s="144"/>
      <c r="M12" s="143" t="str">
        <f>M5</f>
        <v>EU135</v>
      </c>
      <c r="N12" s="144"/>
      <c r="O12" s="143" t="str">
        <f>O5</f>
        <v>EU136</v>
      </c>
      <c r="P12" s="144"/>
      <c r="Q12" s="143" t="str">
        <f>Q5</f>
        <v>EU137</v>
      </c>
      <c r="R12" s="145"/>
      <c r="S12" s="143" t="str">
        <f>S5</f>
        <v>EU145</v>
      </c>
      <c r="T12" s="145"/>
      <c r="U12" s="144"/>
      <c r="V12" s="144"/>
      <c r="W12" s="146" t="s">
        <v>87</v>
      </c>
      <c r="X12" s="147"/>
    </row>
    <row r="13" spans="1:25" s="6" customFormat="1" ht="30" customHeight="1" thickBot="1" x14ac:dyDescent="0.35">
      <c r="A13" s="324"/>
      <c r="B13" s="325"/>
      <c r="C13" s="314"/>
      <c r="D13" s="327"/>
      <c r="E13" s="329"/>
      <c r="F13" s="148" t="s">
        <v>88</v>
      </c>
      <c r="G13" s="149"/>
      <c r="H13" s="149"/>
      <c r="I13" s="150" t="s">
        <v>89</v>
      </c>
      <c r="J13" s="10"/>
      <c r="K13" s="151" t="s">
        <v>90</v>
      </c>
      <c r="L13" s="152" t="s">
        <v>91</v>
      </c>
      <c r="M13" s="151" t="s">
        <v>90</v>
      </c>
      <c r="N13" s="152" t="s">
        <v>91</v>
      </c>
      <c r="O13" s="151" t="s">
        <v>90</v>
      </c>
      <c r="P13" s="152" t="s">
        <v>91</v>
      </c>
      <c r="Q13" s="151" t="s">
        <v>90</v>
      </c>
      <c r="R13" s="153" t="s">
        <v>91</v>
      </c>
      <c r="S13" s="154" t="s">
        <v>90</v>
      </c>
      <c r="T13" s="155"/>
      <c r="U13" s="156" t="s">
        <v>91</v>
      </c>
      <c r="V13" s="157"/>
      <c r="W13" s="158" t="s">
        <v>12</v>
      </c>
      <c r="X13" s="159" t="s">
        <v>13</v>
      </c>
      <c r="Y13" s="160"/>
    </row>
    <row r="14" spans="1:25" ht="15" customHeight="1" x14ac:dyDescent="0.3">
      <c r="A14" s="11" t="s">
        <v>14</v>
      </c>
      <c r="B14" s="161"/>
      <c r="C14" s="85">
        <v>75070</v>
      </c>
      <c r="D14" s="14" t="s">
        <v>149</v>
      </c>
      <c r="E14" s="15" t="s">
        <v>149</v>
      </c>
      <c r="F14" s="101">
        <v>7.67E-4</v>
      </c>
      <c r="G14" s="162" t="s">
        <v>92</v>
      </c>
      <c r="H14" s="102" t="str">
        <f>$A$55</f>
        <v>(2)</v>
      </c>
      <c r="I14" s="163">
        <f t="shared" ref="I14:I22" si="0">F14*$D$40/10^6</f>
        <v>5.3689999999999998E-6</v>
      </c>
      <c r="J14" s="164" t="str">
        <f t="shared" ref="J14:J22" si="1">$A$39</f>
        <v>(c)</v>
      </c>
      <c r="K14" s="165">
        <f>$I14*K$7*K$8</f>
        <v>2.5255775999999997E-2</v>
      </c>
      <c r="L14" s="166">
        <f>$I14*K$7*K$9</f>
        <v>0.52616199999999991</v>
      </c>
      <c r="M14" s="165">
        <f>$I14*M$7*M$8</f>
        <v>2.5255775999999997E-2</v>
      </c>
      <c r="N14" s="166">
        <f>$I14*M$7*M$9</f>
        <v>0.52616199999999991</v>
      </c>
      <c r="O14" s="165">
        <f>$I14*O$7*O$8</f>
        <v>1.6107E-2</v>
      </c>
      <c r="P14" s="166">
        <f>$I14*O$7*O$9</f>
        <v>0.33556249999999999</v>
      </c>
      <c r="Q14" s="165">
        <f>$I14*Q$7*Q$8</f>
        <v>1.3401023999999999E-2</v>
      </c>
      <c r="R14" s="163">
        <f>$I14*Q$7*Q$9</f>
        <v>0.27918799999999999</v>
      </c>
      <c r="S14" s="101">
        <f>$I14*S$7*S$8</f>
        <v>2.1905519999999998E-2</v>
      </c>
      <c r="T14" s="102" t="str">
        <f t="shared" ref="T14:T22" si="2">$A$37</f>
        <v>(a)</v>
      </c>
      <c r="U14" s="103">
        <f>$I14*S$7*S$9</f>
        <v>0.45636499999999997</v>
      </c>
      <c r="V14" s="167" t="str">
        <f t="shared" ref="V14:V22" si="3">$A$38</f>
        <v>(b)</v>
      </c>
      <c r="W14" s="168">
        <f t="shared" ref="W14:W22" si="4">SUM($K14,$M14,$O14,$Q14,$S14)</f>
        <v>0.10192509599999999</v>
      </c>
      <c r="X14" s="166">
        <f t="shared" ref="X14:X22" si="5">SUM($L14,$N14,$P14,$R14,$U14)</f>
        <v>2.1234394999999999</v>
      </c>
    </row>
    <row r="15" spans="1:25" ht="15" customHeight="1" x14ac:dyDescent="0.3">
      <c r="A15" s="24" t="s">
        <v>93</v>
      </c>
      <c r="B15" s="169"/>
      <c r="C15" s="27">
        <v>71432</v>
      </c>
      <c r="D15" s="28" t="s">
        <v>149</v>
      </c>
      <c r="E15" s="26" t="s">
        <v>149</v>
      </c>
      <c r="F15" s="44">
        <v>9.3300000000000002E-4</v>
      </c>
      <c r="G15" s="127" t="s">
        <v>92</v>
      </c>
      <c r="H15" s="34" t="str">
        <f>$A$55</f>
        <v>(2)</v>
      </c>
      <c r="I15" s="170">
        <f t="shared" si="0"/>
        <v>6.5309999999999998E-6</v>
      </c>
      <c r="J15" s="171" t="str">
        <f t="shared" si="1"/>
        <v>(c)</v>
      </c>
      <c r="K15" s="172">
        <f t="shared" ref="K15:K18" si="6">$I15*K$7*K$8</f>
        <v>3.0721824000000002E-2</v>
      </c>
      <c r="L15" s="173">
        <f t="shared" ref="L15:L20" si="7">$I15*K$7*K$9</f>
        <v>0.640038</v>
      </c>
      <c r="M15" s="172">
        <f t="shared" ref="M15:S21" si="8">$I15*M$7*M$8</f>
        <v>3.0721824000000002E-2</v>
      </c>
      <c r="N15" s="173">
        <f t="shared" ref="N15:N20" si="9">$I15*M$7*M$9</f>
        <v>0.640038</v>
      </c>
      <c r="O15" s="172">
        <f t="shared" ref="O15:O20" si="10">$I15*O$7*O$8</f>
        <v>1.9592999999999999E-2</v>
      </c>
      <c r="P15" s="173">
        <f t="shared" ref="P15:P20" si="11">$I15*O$7*O$9</f>
        <v>0.40818749999999998</v>
      </c>
      <c r="Q15" s="172">
        <f t="shared" ref="Q15:Q20" si="12">$I15*Q$7*Q$8</f>
        <v>1.6301375999999999E-2</v>
      </c>
      <c r="R15" s="31">
        <f t="shared" ref="R15:R20" si="13">$I15*Q$7*Q$9</f>
        <v>0.33961199999999997</v>
      </c>
      <c r="S15" s="33">
        <f t="shared" ref="S15:S20" si="14">$I15*S$7*S$8</f>
        <v>2.664648E-2</v>
      </c>
      <c r="T15" s="41" t="str">
        <f t="shared" si="2"/>
        <v>(a)</v>
      </c>
      <c r="U15" s="42">
        <f t="shared" ref="U15:U20" si="15">$I15*S$7*S$9</f>
        <v>0.55513500000000005</v>
      </c>
      <c r="V15" s="43" t="str">
        <f t="shared" si="3"/>
        <v>(b)</v>
      </c>
      <c r="W15" s="174">
        <f t="shared" si="4"/>
        <v>0.123984504</v>
      </c>
      <c r="X15" s="173">
        <f t="shared" si="5"/>
        <v>2.5830104999999999</v>
      </c>
    </row>
    <row r="16" spans="1:25" ht="15" customHeight="1" x14ac:dyDescent="0.3">
      <c r="A16" s="24" t="s">
        <v>94</v>
      </c>
      <c r="B16" s="169"/>
      <c r="C16" s="27">
        <v>50328</v>
      </c>
      <c r="D16" s="28" t="s">
        <v>149</v>
      </c>
      <c r="E16" s="26" t="s">
        <v>149</v>
      </c>
      <c r="F16" s="175">
        <v>1.8799999999999999E-7</v>
      </c>
      <c r="G16" s="127" t="s">
        <v>92</v>
      </c>
      <c r="H16" s="34" t="str">
        <f>$A$55</f>
        <v>(2)</v>
      </c>
      <c r="I16" s="170">
        <f t="shared" si="0"/>
        <v>1.3159999999999998E-9</v>
      </c>
      <c r="J16" s="171" t="str">
        <f t="shared" si="1"/>
        <v>(c)</v>
      </c>
      <c r="K16" s="172">
        <f t="shared" si="6"/>
        <v>6.1904639999999984E-6</v>
      </c>
      <c r="L16" s="173">
        <f t="shared" si="7"/>
        <v>1.2896799999999998E-4</v>
      </c>
      <c r="M16" s="172">
        <f t="shared" si="8"/>
        <v>6.1904639999999984E-6</v>
      </c>
      <c r="N16" s="173">
        <f t="shared" si="9"/>
        <v>1.2896799999999998E-4</v>
      </c>
      <c r="O16" s="172">
        <f t="shared" si="10"/>
        <v>3.9479999999999993E-6</v>
      </c>
      <c r="P16" s="173">
        <f t="shared" si="11"/>
        <v>8.224999999999998E-5</v>
      </c>
      <c r="Q16" s="172">
        <f t="shared" si="12"/>
        <v>3.2847359999999994E-6</v>
      </c>
      <c r="R16" s="31">
        <f t="shared" si="13"/>
        <v>6.8431999999999984E-5</v>
      </c>
      <c r="S16" s="33">
        <f t="shared" si="14"/>
        <v>5.369279999999999E-6</v>
      </c>
      <c r="T16" s="41" t="str">
        <f t="shared" si="2"/>
        <v>(a)</v>
      </c>
      <c r="U16" s="42">
        <f t="shared" si="15"/>
        <v>1.1185999999999999E-4</v>
      </c>
      <c r="V16" s="43" t="str">
        <f t="shared" si="3"/>
        <v>(b)</v>
      </c>
      <c r="W16" s="174">
        <f t="shared" si="4"/>
        <v>2.4982943999999991E-5</v>
      </c>
      <c r="X16" s="173">
        <f t="shared" si="5"/>
        <v>5.2047799999999989E-4</v>
      </c>
    </row>
    <row r="17" spans="1:24" ht="15" customHeight="1" x14ac:dyDescent="0.3">
      <c r="A17" s="24" t="s">
        <v>15</v>
      </c>
      <c r="B17" s="169"/>
      <c r="C17" s="27">
        <v>50000</v>
      </c>
      <c r="D17" s="28" t="s">
        <v>149</v>
      </c>
      <c r="E17" s="26" t="s">
        <v>149</v>
      </c>
      <c r="F17" s="33">
        <v>1.1800000000000001E-3</v>
      </c>
      <c r="G17" s="176" t="s">
        <v>92</v>
      </c>
      <c r="H17" s="41" t="str">
        <f>$A$55</f>
        <v>(2)</v>
      </c>
      <c r="I17" s="31">
        <f t="shared" si="0"/>
        <v>8.2600000000000005E-6</v>
      </c>
      <c r="J17" s="171" t="str">
        <f t="shared" si="1"/>
        <v>(c)</v>
      </c>
      <c r="K17" s="172">
        <f t="shared" si="6"/>
        <v>3.885504E-2</v>
      </c>
      <c r="L17" s="173">
        <f t="shared" si="7"/>
        <v>0.80947999999999998</v>
      </c>
      <c r="M17" s="172">
        <f t="shared" si="8"/>
        <v>3.885504E-2</v>
      </c>
      <c r="N17" s="173">
        <f t="shared" si="9"/>
        <v>0.80947999999999998</v>
      </c>
      <c r="O17" s="172">
        <f t="shared" si="10"/>
        <v>2.478E-2</v>
      </c>
      <c r="P17" s="173">
        <f t="shared" si="11"/>
        <v>0.51624999999999999</v>
      </c>
      <c r="Q17" s="172">
        <f t="shared" si="12"/>
        <v>2.061696E-2</v>
      </c>
      <c r="R17" s="31">
        <f t="shared" si="13"/>
        <v>0.42952000000000001</v>
      </c>
      <c r="S17" s="33">
        <f t="shared" si="14"/>
        <v>3.3700800000000003E-2</v>
      </c>
      <c r="T17" s="41" t="str">
        <f t="shared" si="2"/>
        <v>(a)</v>
      </c>
      <c r="U17" s="42">
        <f t="shared" si="15"/>
        <v>0.70210000000000006</v>
      </c>
      <c r="V17" s="43" t="str">
        <f t="shared" si="3"/>
        <v>(b)</v>
      </c>
      <c r="W17" s="174">
        <f t="shared" si="4"/>
        <v>0.15680784</v>
      </c>
      <c r="X17" s="173">
        <f t="shared" si="5"/>
        <v>3.2668300000000001</v>
      </c>
    </row>
    <row r="18" spans="1:24" ht="15" customHeight="1" x14ac:dyDescent="0.3">
      <c r="A18" s="24" t="s">
        <v>95</v>
      </c>
      <c r="B18" s="169"/>
      <c r="C18" s="27">
        <v>91203</v>
      </c>
      <c r="D18" s="28" t="s">
        <v>149</v>
      </c>
      <c r="E18" s="26" t="s">
        <v>149</v>
      </c>
      <c r="F18" s="177">
        <v>8.4800000000000001E-5</v>
      </c>
      <c r="G18" s="178" t="s">
        <v>92</v>
      </c>
      <c r="H18" s="179" t="str">
        <f>$A$55</f>
        <v>(2)</v>
      </c>
      <c r="I18" s="31">
        <f t="shared" si="0"/>
        <v>5.9360000000000002E-7</v>
      </c>
      <c r="J18" s="171" t="str">
        <f t="shared" si="1"/>
        <v>(c)</v>
      </c>
      <c r="K18" s="172">
        <f t="shared" si="6"/>
        <v>2.7922944E-3</v>
      </c>
      <c r="L18" s="173">
        <f t="shared" si="7"/>
        <v>5.8172799999999997E-2</v>
      </c>
      <c r="M18" s="172">
        <f t="shared" si="8"/>
        <v>2.7922944E-3</v>
      </c>
      <c r="N18" s="173">
        <f t="shared" si="9"/>
        <v>5.8172799999999997E-2</v>
      </c>
      <c r="O18" s="172">
        <f t="shared" si="10"/>
        <v>1.7807999999999999E-3</v>
      </c>
      <c r="P18" s="173">
        <f t="shared" si="11"/>
        <v>3.7100000000000001E-2</v>
      </c>
      <c r="Q18" s="172">
        <f t="shared" si="12"/>
        <v>1.4816256000000001E-3</v>
      </c>
      <c r="R18" s="31">
        <f t="shared" si="13"/>
        <v>3.0867200000000001E-2</v>
      </c>
      <c r="S18" s="33">
        <f t="shared" si="14"/>
        <v>2.4218880000000001E-3</v>
      </c>
      <c r="T18" s="41" t="str">
        <f t="shared" si="2"/>
        <v>(a)</v>
      </c>
      <c r="U18" s="42">
        <f t="shared" si="15"/>
        <v>5.0456000000000001E-2</v>
      </c>
      <c r="V18" s="43" t="str">
        <f t="shared" si="3"/>
        <v>(b)</v>
      </c>
      <c r="W18" s="174">
        <f t="shared" si="4"/>
        <v>1.1268902400000001E-2</v>
      </c>
      <c r="X18" s="173">
        <f t="shared" si="5"/>
        <v>0.2347688</v>
      </c>
    </row>
    <row r="19" spans="1:24" ht="15" customHeight="1" x14ac:dyDescent="0.3">
      <c r="A19" s="24" t="s">
        <v>96</v>
      </c>
      <c r="B19" s="169"/>
      <c r="C19" s="270">
        <v>401</v>
      </c>
      <c r="D19" s="28" t="s">
        <v>149</v>
      </c>
      <c r="E19" s="26" t="s">
        <v>150</v>
      </c>
      <c r="F19" s="177">
        <f>0.000168-F18</f>
        <v>8.3199999999999989E-5</v>
      </c>
      <c r="G19" s="178" t="s">
        <v>92</v>
      </c>
      <c r="H19" s="179" t="str">
        <f>$A$57</f>
        <v>(4)</v>
      </c>
      <c r="I19" s="31">
        <f t="shared" si="0"/>
        <v>5.8239999999999992E-7</v>
      </c>
      <c r="J19" s="171" t="str">
        <f t="shared" si="1"/>
        <v>(c)</v>
      </c>
      <c r="K19" s="172">
        <f>$I19*K$7*K$8</f>
        <v>2.7396095999999998E-3</v>
      </c>
      <c r="L19" s="173">
        <f t="shared" si="7"/>
        <v>5.7075199999999993E-2</v>
      </c>
      <c r="M19" s="172">
        <f t="shared" si="8"/>
        <v>2.7396095999999998E-3</v>
      </c>
      <c r="N19" s="173">
        <f t="shared" si="9"/>
        <v>5.7075199999999993E-2</v>
      </c>
      <c r="O19" s="172">
        <f t="shared" si="10"/>
        <v>1.7472E-3</v>
      </c>
      <c r="P19" s="173">
        <f t="shared" si="11"/>
        <v>3.6399999999999995E-2</v>
      </c>
      <c r="Q19" s="172">
        <f t="shared" si="12"/>
        <v>1.4536703999999997E-3</v>
      </c>
      <c r="R19" s="31">
        <f t="shared" si="13"/>
        <v>3.0284799999999994E-2</v>
      </c>
      <c r="S19" s="33">
        <f t="shared" si="14"/>
        <v>2.3761919999999996E-3</v>
      </c>
      <c r="T19" s="41" t="str">
        <f t="shared" si="2"/>
        <v>(a)</v>
      </c>
      <c r="U19" s="42">
        <f t="shared" si="15"/>
        <v>4.9503999999999992E-2</v>
      </c>
      <c r="V19" s="43" t="str">
        <f t="shared" si="3"/>
        <v>(b)</v>
      </c>
      <c r="W19" s="174">
        <f t="shared" si="4"/>
        <v>1.1056281599999999E-2</v>
      </c>
      <c r="X19" s="173">
        <f t="shared" si="5"/>
        <v>0.23033919999999997</v>
      </c>
    </row>
    <row r="20" spans="1:24" ht="15" customHeight="1" x14ac:dyDescent="0.3">
      <c r="A20" s="24" t="s">
        <v>97</v>
      </c>
      <c r="B20" s="169"/>
      <c r="C20" s="27">
        <v>115071</v>
      </c>
      <c r="D20" s="28" t="s">
        <v>150</v>
      </c>
      <c r="E20" s="26" t="s">
        <v>149</v>
      </c>
      <c r="F20" s="177">
        <v>2.5799999999999998E-3</v>
      </c>
      <c r="G20" s="178" t="s">
        <v>92</v>
      </c>
      <c r="H20" s="179" t="str">
        <f>$A$55</f>
        <v>(2)</v>
      </c>
      <c r="I20" s="31">
        <f t="shared" si="0"/>
        <v>1.806E-5</v>
      </c>
      <c r="J20" s="171" t="str">
        <f t="shared" si="1"/>
        <v>(c)</v>
      </c>
      <c r="K20" s="172">
        <f>$I20*K$7*K$8</f>
        <v>8.495424E-2</v>
      </c>
      <c r="L20" s="173">
        <f t="shared" si="7"/>
        <v>1.7698799999999999</v>
      </c>
      <c r="M20" s="172">
        <f t="shared" si="8"/>
        <v>8.495424E-2</v>
      </c>
      <c r="N20" s="173">
        <f t="shared" si="9"/>
        <v>1.7698799999999999</v>
      </c>
      <c r="O20" s="172">
        <f t="shared" si="10"/>
        <v>5.4179999999999999E-2</v>
      </c>
      <c r="P20" s="173">
        <f t="shared" si="11"/>
        <v>1.1287499999999999</v>
      </c>
      <c r="Q20" s="172">
        <f t="shared" si="12"/>
        <v>4.5077760000000001E-2</v>
      </c>
      <c r="R20" s="31">
        <f t="shared" si="13"/>
        <v>0.93911999999999995</v>
      </c>
      <c r="S20" s="33">
        <f t="shared" si="14"/>
        <v>7.3684799999999995E-2</v>
      </c>
      <c r="T20" s="41" t="str">
        <f t="shared" si="2"/>
        <v>(a)</v>
      </c>
      <c r="U20" s="42">
        <f t="shared" si="15"/>
        <v>1.5350999999999999</v>
      </c>
      <c r="V20" s="43" t="str">
        <f t="shared" si="3"/>
        <v>(b)</v>
      </c>
      <c r="W20" s="174">
        <f t="shared" si="4"/>
        <v>0.34285104</v>
      </c>
      <c r="X20" s="173">
        <f t="shared" si="5"/>
        <v>7.1427299999999994</v>
      </c>
    </row>
    <row r="21" spans="1:24" ht="15" customHeight="1" x14ac:dyDescent="0.3">
      <c r="A21" s="24" t="s">
        <v>98</v>
      </c>
      <c r="B21" s="169"/>
      <c r="C21" s="27">
        <v>108883</v>
      </c>
      <c r="D21" s="28" t="s">
        <v>149</v>
      </c>
      <c r="E21" s="26" t="s">
        <v>149</v>
      </c>
      <c r="F21" s="33">
        <v>4.0900000000000002E-4</v>
      </c>
      <c r="G21" s="176" t="s">
        <v>92</v>
      </c>
      <c r="H21" s="41" t="str">
        <f>$A$55</f>
        <v>(2)</v>
      </c>
      <c r="I21" s="31">
        <f t="shared" si="0"/>
        <v>2.8629999999999999E-6</v>
      </c>
      <c r="J21" s="171" t="str">
        <f t="shared" si="1"/>
        <v>(c)</v>
      </c>
      <c r="K21" s="172">
        <f>$I21*K$7*K$8</f>
        <v>1.3467552000000001E-2</v>
      </c>
      <c r="L21" s="173">
        <f>$I21*K$7*K$9</f>
        <v>0.28057399999999999</v>
      </c>
      <c r="M21" s="172">
        <f t="shared" si="8"/>
        <v>1.3467552000000001E-2</v>
      </c>
      <c r="N21" s="173">
        <f>$I21*M$7*M$9</f>
        <v>0.28057399999999999</v>
      </c>
      <c r="O21" s="172">
        <f t="shared" si="8"/>
        <v>8.5889999999999994E-3</v>
      </c>
      <c r="P21" s="173">
        <f>$I21*O$7*O$9</f>
        <v>0.1789375</v>
      </c>
      <c r="Q21" s="172">
        <f t="shared" si="8"/>
        <v>7.1460479999999995E-3</v>
      </c>
      <c r="R21" s="31">
        <f>$I21*Q$7*Q$9</f>
        <v>0.14887599999999998</v>
      </c>
      <c r="S21" s="33">
        <f t="shared" si="8"/>
        <v>1.168104E-2</v>
      </c>
      <c r="T21" s="41" t="str">
        <f t="shared" si="2"/>
        <v>(a)</v>
      </c>
      <c r="U21" s="42">
        <f>$I21*S$7*S$9</f>
        <v>0.24335500000000002</v>
      </c>
      <c r="V21" s="43" t="str">
        <f t="shared" si="3"/>
        <v>(b)</v>
      </c>
      <c r="W21" s="174">
        <f t="shared" si="4"/>
        <v>5.4351192000000006E-2</v>
      </c>
      <c r="X21" s="173">
        <f t="shared" si="5"/>
        <v>1.1323164999999999</v>
      </c>
    </row>
    <row r="22" spans="1:24" ht="15" customHeight="1" x14ac:dyDescent="0.3">
      <c r="A22" s="86" t="s">
        <v>99</v>
      </c>
      <c r="B22" s="87"/>
      <c r="C22" s="89">
        <v>1330207</v>
      </c>
      <c r="D22" s="88" t="s">
        <v>149</v>
      </c>
      <c r="E22" s="90" t="s">
        <v>149</v>
      </c>
      <c r="F22" s="93">
        <v>2.8499999999999999E-4</v>
      </c>
      <c r="G22" s="180" t="s">
        <v>92</v>
      </c>
      <c r="H22" s="51" t="str">
        <f>$A$55</f>
        <v>(2)</v>
      </c>
      <c r="I22" s="181">
        <f t="shared" si="0"/>
        <v>1.995E-6</v>
      </c>
      <c r="J22" s="182" t="str">
        <f t="shared" si="1"/>
        <v>(c)</v>
      </c>
      <c r="K22" s="183">
        <f t="shared" ref="K22:S22" si="16">$I22*K$7*K$8</f>
        <v>9.3844800000000006E-3</v>
      </c>
      <c r="L22" s="184">
        <f>$I22*K$7*K$9</f>
        <v>0.19551000000000002</v>
      </c>
      <c r="M22" s="183">
        <f t="shared" si="16"/>
        <v>9.3844800000000006E-3</v>
      </c>
      <c r="N22" s="184">
        <f>$I22*M$7*M$9</f>
        <v>0.19551000000000002</v>
      </c>
      <c r="O22" s="183">
        <f t="shared" si="16"/>
        <v>5.984999999999999E-3</v>
      </c>
      <c r="P22" s="184">
        <f>$I22*O$7*O$9</f>
        <v>0.12468749999999999</v>
      </c>
      <c r="Q22" s="183">
        <f t="shared" si="16"/>
        <v>4.9795199999999994E-3</v>
      </c>
      <c r="R22" s="185">
        <f>$I22*Q$7*Q$9</f>
        <v>0.10374</v>
      </c>
      <c r="S22" s="50">
        <f t="shared" si="16"/>
        <v>8.1396000000000003E-3</v>
      </c>
      <c r="T22" s="51" t="str">
        <f t="shared" si="2"/>
        <v>(a)</v>
      </c>
      <c r="U22" s="52">
        <f>$I22*S$7*S$9</f>
        <v>0.16957499999999998</v>
      </c>
      <c r="V22" s="53" t="str">
        <f t="shared" si="3"/>
        <v>(b)</v>
      </c>
      <c r="W22" s="186">
        <f t="shared" si="4"/>
        <v>3.7873080000000003E-2</v>
      </c>
      <c r="X22" s="184">
        <f t="shared" si="5"/>
        <v>0.78902249999999996</v>
      </c>
    </row>
    <row r="23" spans="1:24" ht="15" customHeight="1" x14ac:dyDescent="0.3">
      <c r="A23" s="187" t="s">
        <v>100</v>
      </c>
      <c r="B23" s="188"/>
      <c r="C23" s="190"/>
      <c r="D23" s="189"/>
      <c r="E23" s="189"/>
      <c r="F23" s="191"/>
      <c r="G23" s="192"/>
      <c r="H23" s="193"/>
      <c r="I23" s="194"/>
      <c r="J23" s="195"/>
      <c r="K23" s="194"/>
      <c r="L23" s="189"/>
      <c r="M23" s="194"/>
      <c r="N23" s="189"/>
      <c r="O23" s="194"/>
      <c r="P23" s="189"/>
      <c r="Q23" s="194"/>
      <c r="R23" s="189"/>
      <c r="S23" s="196"/>
      <c r="T23" s="192"/>
      <c r="U23" s="192"/>
      <c r="V23" s="197"/>
      <c r="W23" s="189"/>
      <c r="X23" s="198"/>
    </row>
    <row r="24" spans="1:24" ht="15" customHeight="1" x14ac:dyDescent="0.3">
      <c r="A24" s="199"/>
      <c r="B24" s="4" t="s">
        <v>101</v>
      </c>
      <c r="C24" s="269">
        <v>200</v>
      </c>
      <c r="D24" s="200" t="s">
        <v>150</v>
      </c>
      <c r="E24" s="5" t="s">
        <v>150</v>
      </c>
      <c r="F24" s="201" t="s">
        <v>17</v>
      </c>
      <c r="G24" s="202"/>
      <c r="H24" s="203"/>
      <c r="I24" s="204" t="s">
        <v>17</v>
      </c>
      <c r="J24" s="205"/>
      <c r="K24" s="206">
        <f>SUM(K25:K26)</f>
        <v>10.471107227527904</v>
      </c>
      <c r="L24" s="207">
        <f>SUM(L25:L26)</f>
        <v>218.13983255055808</v>
      </c>
      <c r="M24" s="206">
        <f>SUM(M25:M26)</f>
        <v>10.471107227527904</v>
      </c>
      <c r="N24" s="207">
        <f t="shared" ref="N24:U24" si="17">SUM(N25:N26)</f>
        <v>218.13983255055808</v>
      </c>
      <c r="O24" s="206">
        <f>SUM(O25:O26)</f>
        <v>6.6780020583723863</v>
      </c>
      <c r="P24" s="207">
        <f t="shared" si="17"/>
        <v>139.11979116744774</v>
      </c>
      <c r="Q24" s="206">
        <f>SUM(Q25:Q26)</f>
        <v>5.5560977125658262</v>
      </c>
      <c r="R24" s="208">
        <f t="shared" si="17"/>
        <v>115.74766625131653</v>
      </c>
      <c r="S24" s="129">
        <f>SUM(S25:S26)</f>
        <v>1.397794968698616</v>
      </c>
      <c r="T24" s="130"/>
      <c r="U24" s="209">
        <f t="shared" si="17"/>
        <v>29.113586181732458</v>
      </c>
      <c r="V24" s="210"/>
      <c r="W24" s="5">
        <f t="shared" ref="W24" si="18">SUM($K24,$M24,$O24,$Q24,$S24)</f>
        <v>34.574109194692639</v>
      </c>
      <c r="X24" s="207">
        <f>SUM($L24,$N24,$P24,$R24,$U24)</f>
        <v>720.26070870161288</v>
      </c>
    </row>
    <row r="25" spans="1:24" ht="15" customHeight="1" x14ac:dyDescent="0.3">
      <c r="A25" s="211"/>
      <c r="B25" s="212" t="s">
        <v>102</v>
      </c>
      <c r="C25" s="213" t="s">
        <v>17</v>
      </c>
      <c r="D25" s="214" t="s">
        <v>17</v>
      </c>
      <c r="E25" s="215" t="s">
        <v>17</v>
      </c>
      <c r="F25" s="216">
        <f>0.31+0.0077</f>
        <v>0.31769999999999998</v>
      </c>
      <c r="G25" s="217" t="s">
        <v>92</v>
      </c>
      <c r="H25" s="218" t="str">
        <f>$A$58</f>
        <v>(5)</v>
      </c>
      <c r="I25" s="219">
        <f>F25*$D$40/10^6</f>
        <v>2.2239E-3</v>
      </c>
      <c r="J25" s="220" t="str">
        <f>$A$39</f>
        <v>(c)</v>
      </c>
      <c r="K25" s="215">
        <f t="shared" ref="K25:O25" si="19">$I25*K$7*K$8</f>
        <v>10.461225600000001</v>
      </c>
      <c r="L25" s="221">
        <f>$I25*K$7*K$9</f>
        <v>217.94220000000001</v>
      </c>
      <c r="M25" s="215">
        <f t="shared" si="19"/>
        <v>10.461225600000001</v>
      </c>
      <c r="N25" s="221">
        <f>$I25*M$7*M$9</f>
        <v>217.94220000000001</v>
      </c>
      <c r="O25" s="215">
        <f t="shared" si="19"/>
        <v>6.6716999999999995</v>
      </c>
      <c r="P25" s="221">
        <f>$I25*O$7*O$9</f>
        <v>138.99375000000001</v>
      </c>
      <c r="Q25" s="215">
        <f>$I25*Q$7*Q$8</f>
        <v>5.5508544000000004</v>
      </c>
      <c r="R25" s="219">
        <f>$I25*Q$7*Q$9</f>
        <v>115.64280000000001</v>
      </c>
      <c r="S25" s="20">
        <f>SUM($D$43:$D$44)*S$7*S$8</f>
        <v>1.3892241693121694</v>
      </c>
      <c r="T25" s="218" t="str">
        <f>$A$42</f>
        <v>(e)</v>
      </c>
      <c r="U25" s="22">
        <f>SUM($D$43:$D$44)*S$7*S$9</f>
        <v>28.942170194003527</v>
      </c>
      <c r="V25" s="222" t="str">
        <f>$A$45</f>
        <v>(f)</v>
      </c>
      <c r="W25" s="223">
        <f>SUM($K25,$M25,$O25,$Q25,$S25)</f>
        <v>34.534229769312169</v>
      </c>
      <c r="X25" s="221">
        <f t="shared" ref="X25:X26" si="20">SUM($L25,$N25,$P25,$R25,$U25)</f>
        <v>719.46312019400352</v>
      </c>
    </row>
    <row r="26" spans="1:24" ht="15" customHeight="1" x14ac:dyDescent="0.3">
      <c r="A26" s="224"/>
      <c r="B26" s="225" t="s">
        <v>103</v>
      </c>
      <c r="C26" s="226" t="s">
        <v>17</v>
      </c>
      <c r="D26" s="88" t="s">
        <v>17</v>
      </c>
      <c r="E26" s="90" t="s">
        <v>17</v>
      </c>
      <c r="F26" s="44">
        <f>1.3+0.54</f>
        <v>1.84</v>
      </c>
      <c r="G26" s="227" t="s">
        <v>104</v>
      </c>
      <c r="H26" s="94" t="str">
        <f>$A$60</f>
        <v>(7)</v>
      </c>
      <c r="I26" s="181">
        <f>F26/453.592/1.341</f>
        <v>3.0249880187458249E-3</v>
      </c>
      <c r="J26" s="228" t="str">
        <f>$A$41</f>
        <v>(d)</v>
      </c>
      <c r="K26" s="26">
        <f>$I26*K$7*$D$47/60*$D$48</f>
        <v>9.881627527903029E-3</v>
      </c>
      <c r="L26" s="229">
        <f>$I26*K$7*$D$50/60*$D$51</f>
        <v>0.19763255055806059</v>
      </c>
      <c r="M26" s="26">
        <f>$I26*M$7*$D$47/60*$D$48</f>
        <v>9.881627527903029E-3</v>
      </c>
      <c r="N26" s="229">
        <f>$I26*M$7*$D$50/60*$D$51</f>
        <v>0.19763255055806059</v>
      </c>
      <c r="O26" s="26">
        <f>$I26*O$7*$D$47/60*$D$48</f>
        <v>6.3020583723871352E-3</v>
      </c>
      <c r="P26" s="229">
        <f>$I26*O$7*$D$50/60*$D$51</f>
        <v>0.12604116744774271</v>
      </c>
      <c r="Q26" s="26">
        <f>$I26*Q$7*$D$47/60*$D$48</f>
        <v>5.243312565826096E-3</v>
      </c>
      <c r="R26" s="170">
        <f>$I26*Q$7*$D$50/60*$D$51</f>
        <v>0.10486625131652191</v>
      </c>
      <c r="S26" s="44">
        <f>$I26*S$7*$D$47/60*$D$48</f>
        <v>8.5707993864465037E-3</v>
      </c>
      <c r="T26" s="51" t="str">
        <f>$A$46</f>
        <v>(g)</v>
      </c>
      <c r="U26" s="35">
        <f>$I26*S$7*$D$50/60*$D$51</f>
        <v>0.17141598772893007</v>
      </c>
      <c r="V26" s="53" t="str">
        <f>$A$49</f>
        <v>(h)</v>
      </c>
      <c r="W26" s="230">
        <f>SUM($K26,$M26,$O26,$Q26,$S26)</f>
        <v>3.9879425380465794E-2</v>
      </c>
      <c r="X26" s="229">
        <f t="shared" si="20"/>
        <v>0.79758850760931588</v>
      </c>
    </row>
    <row r="27" spans="1:24" s="3" customFormat="1" ht="15" customHeight="1" x14ac:dyDescent="0.3">
      <c r="A27" s="54" t="s">
        <v>20</v>
      </c>
      <c r="B27" s="55"/>
      <c r="C27" s="55"/>
      <c r="D27" s="55"/>
      <c r="E27" s="56"/>
      <c r="F27" s="57"/>
      <c r="G27" s="57"/>
      <c r="H27" s="57"/>
      <c r="I27" s="57"/>
      <c r="J27" s="57"/>
      <c r="K27" s="231">
        <f t="shared" ref="K27:S27" si="21">SUM(K$14:K$24)</f>
        <v>10.679284233991904</v>
      </c>
      <c r="L27" s="232">
        <f t="shared" si="21"/>
        <v>222.47685351855807</v>
      </c>
      <c r="M27" s="231">
        <f t="shared" si="21"/>
        <v>10.679284233991904</v>
      </c>
      <c r="N27" s="232">
        <f t="shared" si="21"/>
        <v>222.47685351855807</v>
      </c>
      <c r="O27" s="231">
        <f t="shared" si="21"/>
        <v>6.8107680063723866</v>
      </c>
      <c r="P27" s="232">
        <f t="shared" si="21"/>
        <v>141.88574841744776</v>
      </c>
      <c r="Q27" s="231">
        <f t="shared" si="21"/>
        <v>5.6665589813018258</v>
      </c>
      <c r="R27" s="233">
        <f t="shared" si="21"/>
        <v>118.04894268331653</v>
      </c>
      <c r="S27" s="231">
        <f t="shared" si="21"/>
        <v>1.5783566579786159</v>
      </c>
      <c r="T27" s="234"/>
      <c r="U27" s="232">
        <f>SUM(U$14:U$24)</f>
        <v>32.87528804173246</v>
      </c>
      <c r="V27" s="235"/>
      <c r="W27" s="234">
        <f>SUM(W$14:W$24)</f>
        <v>35.414252113636635</v>
      </c>
      <c r="X27" s="236">
        <f>SUM(X$14:X$24)</f>
        <v>737.76368617961293</v>
      </c>
    </row>
    <row r="28" spans="1:24" s="3" customFormat="1" ht="15" customHeight="1" thickBot="1" x14ac:dyDescent="0.35">
      <c r="A28" s="62" t="s">
        <v>21</v>
      </c>
      <c r="B28" s="63"/>
      <c r="C28" s="63"/>
      <c r="D28" s="63"/>
      <c r="E28" s="64"/>
      <c r="F28" s="65"/>
      <c r="G28" s="65"/>
      <c r="H28" s="65"/>
      <c r="I28" s="65"/>
      <c r="J28" s="65"/>
      <c r="K28" s="237">
        <f t="shared" ref="K28:S28" si="22">SUMIF($E$14:$E$24,"Yes",K$14:K$24)</f>
        <v>0.205437396864</v>
      </c>
      <c r="L28" s="238">
        <f t="shared" si="22"/>
        <v>4.2799457679999993</v>
      </c>
      <c r="M28" s="237">
        <f t="shared" si="22"/>
        <v>0.205437396864</v>
      </c>
      <c r="N28" s="238">
        <f t="shared" si="22"/>
        <v>4.2799457679999993</v>
      </c>
      <c r="O28" s="237">
        <f t="shared" si="22"/>
        <v>0.13101874799999999</v>
      </c>
      <c r="P28" s="238">
        <f t="shared" si="22"/>
        <v>2.7295572499999996</v>
      </c>
      <c r="Q28" s="237">
        <f t="shared" si="22"/>
        <v>0.109007598336</v>
      </c>
      <c r="R28" s="239">
        <f t="shared" si="22"/>
        <v>2.2709916319999999</v>
      </c>
      <c r="S28" s="237">
        <f t="shared" si="22"/>
        <v>0.17818549727999999</v>
      </c>
      <c r="T28" s="240"/>
      <c r="U28" s="238">
        <f>SUMIF($E$14:$E$24,"Yes",U$14:U$24)</f>
        <v>3.7121978600000003</v>
      </c>
      <c r="V28" s="241"/>
      <c r="W28" s="240">
        <f>SUMIF($E$14:$E$24,"Yes",W$14:W$24)</f>
        <v>0.82908663734400001</v>
      </c>
      <c r="X28" s="238">
        <f>SUMIF($E$14:$E$24,"Yes",X$14:X$24)</f>
        <v>17.272638278000002</v>
      </c>
    </row>
    <row r="29" spans="1:24" ht="15" customHeight="1" x14ac:dyDescent="0.3">
      <c r="A29" s="69" t="s">
        <v>22</v>
      </c>
      <c r="B29" s="70"/>
      <c r="C29" s="70"/>
      <c r="D29" s="70"/>
      <c r="E29" s="70"/>
      <c r="F29" s="70"/>
      <c r="G29" s="75"/>
      <c r="H29" s="70"/>
      <c r="I29" s="70"/>
      <c r="J29" s="70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</row>
    <row r="30" spans="1:24" ht="15" customHeight="1" x14ac:dyDescent="0.3">
      <c r="A30" s="72" t="s">
        <v>105</v>
      </c>
      <c r="B30" s="104"/>
      <c r="C30" s="70"/>
      <c r="D30" s="70"/>
      <c r="E30" s="70"/>
      <c r="F30" s="70"/>
      <c r="G30" s="75"/>
      <c r="H30" s="70"/>
      <c r="I30"/>
      <c r="J30"/>
      <c r="K30"/>
      <c r="L30"/>
      <c r="M30"/>
      <c r="N30"/>
      <c r="O30"/>
      <c r="P30"/>
      <c r="Q30"/>
      <c r="R30"/>
      <c r="S30" s="71"/>
      <c r="T30" s="71"/>
      <c r="U30" s="71"/>
      <c r="V30" s="71"/>
      <c r="W30" s="71"/>
      <c r="X30" s="71"/>
    </row>
    <row r="31" spans="1:24" ht="15" customHeight="1" x14ac:dyDescent="0.3">
      <c r="A31" s="72" t="s">
        <v>23</v>
      </c>
      <c r="B31" s="104"/>
      <c r="C31" s="70"/>
      <c r="D31" s="70"/>
      <c r="E31" s="70"/>
      <c r="F31" s="70"/>
      <c r="G31" s="75"/>
      <c r="H31" s="70"/>
      <c r="I31"/>
      <c r="J31"/>
      <c r="K31"/>
      <c r="L31"/>
      <c r="M31"/>
      <c r="N31"/>
      <c r="O31"/>
      <c r="P31"/>
      <c r="Q31"/>
      <c r="R31"/>
      <c r="S31" s="71"/>
      <c r="T31" s="71"/>
      <c r="U31" s="71"/>
      <c r="V31" s="71"/>
      <c r="W31" s="242"/>
      <c r="X31" s="243"/>
    </row>
    <row r="32" spans="1:24" ht="15" customHeight="1" x14ac:dyDescent="0.3">
      <c r="A32" s="72" t="s">
        <v>106</v>
      </c>
      <c r="B32" s="104"/>
      <c r="C32" s="70"/>
      <c r="D32" s="70"/>
      <c r="E32" s="70"/>
      <c r="F32" s="70"/>
      <c r="G32" s="75"/>
      <c r="H32" s="70"/>
      <c r="I32"/>
      <c r="J32"/>
      <c r="K32"/>
      <c r="L32"/>
      <c r="M32"/>
      <c r="N32"/>
      <c r="O32"/>
      <c r="P32"/>
      <c r="Q32"/>
      <c r="R32"/>
      <c r="S32" s="70"/>
      <c r="T32" s="70"/>
      <c r="U32" s="71"/>
      <c r="V32" s="71"/>
      <c r="W32" s="242"/>
      <c r="X32" s="243"/>
    </row>
    <row r="33" spans="1:24" ht="15" customHeight="1" x14ac:dyDescent="0.3">
      <c r="A33" s="72" t="s">
        <v>107</v>
      </c>
      <c r="B33" s="104"/>
      <c r="C33" s="70"/>
      <c r="D33" s="70"/>
      <c r="E33" s="70"/>
      <c r="F33" s="70"/>
      <c r="G33" s="75"/>
      <c r="H33" s="70"/>
      <c r="I33"/>
      <c r="J33"/>
      <c r="K33"/>
      <c r="L33"/>
      <c r="M33"/>
      <c r="N33"/>
      <c r="O33"/>
      <c r="P33"/>
      <c r="Q33"/>
      <c r="R33"/>
      <c r="S33" s="71"/>
      <c r="T33" s="70"/>
      <c r="U33" s="71"/>
      <c r="V33" s="71"/>
      <c r="W33" s="242"/>
      <c r="X33" s="243"/>
    </row>
    <row r="34" spans="1:24" ht="15" customHeight="1" x14ac:dyDescent="0.3">
      <c r="A34" s="72" t="s">
        <v>108</v>
      </c>
      <c r="B34" s="104"/>
      <c r="C34" s="70"/>
      <c r="D34" s="70"/>
      <c r="E34" s="70"/>
      <c r="F34" s="70"/>
      <c r="G34" s="75"/>
      <c r="H34" s="70"/>
      <c r="I34"/>
      <c r="J34"/>
      <c r="K34"/>
      <c r="L34"/>
      <c r="M34"/>
      <c r="N34"/>
      <c r="O34"/>
      <c r="P34"/>
      <c r="Q34"/>
      <c r="R34"/>
      <c r="S34" s="71"/>
      <c r="T34" s="70"/>
      <c r="U34" s="71"/>
      <c r="V34" s="71"/>
      <c r="W34" s="242"/>
      <c r="X34" s="243"/>
    </row>
    <row r="35" spans="1:24" ht="15" customHeight="1" x14ac:dyDescent="0.3">
      <c r="A35" s="72" t="s">
        <v>24</v>
      </c>
      <c r="B35" s="104"/>
      <c r="C35" s="70"/>
      <c r="D35" s="70"/>
      <c r="E35" s="70"/>
      <c r="F35" s="71"/>
      <c r="G35" s="71"/>
      <c r="H35" s="71"/>
      <c r="I35"/>
      <c r="J35"/>
      <c r="K35"/>
      <c r="L35"/>
      <c r="M35"/>
      <c r="N35"/>
      <c r="O35"/>
      <c r="P35"/>
      <c r="Q35"/>
      <c r="R35"/>
      <c r="S35" s="70"/>
      <c r="T35" s="70"/>
      <c r="U35" s="70"/>
      <c r="V35" s="70"/>
      <c r="W35" s="71"/>
      <c r="X35" s="61"/>
    </row>
    <row r="36" spans="1:24" ht="15" customHeight="1" x14ac:dyDescent="0.3">
      <c r="A36" s="72" t="s">
        <v>25</v>
      </c>
      <c r="B36" s="104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1"/>
      <c r="X36" s="61"/>
    </row>
    <row r="37" spans="1:24" ht="15" customHeight="1" x14ac:dyDescent="0.3">
      <c r="A37" s="71" t="s">
        <v>137</v>
      </c>
      <c r="B37" s="69" t="s">
        <v>109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1"/>
      <c r="X37" s="61"/>
    </row>
    <row r="38" spans="1:24" ht="15" customHeight="1" x14ac:dyDescent="0.3">
      <c r="A38" s="71" t="s">
        <v>138</v>
      </c>
      <c r="B38" s="75" t="s">
        <v>110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/>
      <c r="X38" s="61"/>
    </row>
    <row r="39" spans="1:24" ht="15" customHeight="1" x14ac:dyDescent="0.3">
      <c r="A39" s="71" t="s">
        <v>139</v>
      </c>
      <c r="B39" s="75" t="s">
        <v>111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1"/>
      <c r="X39" s="61"/>
    </row>
    <row r="40" spans="1:24" ht="15" customHeight="1" x14ac:dyDescent="0.3">
      <c r="A40" s="71"/>
      <c r="B40" s="75"/>
      <c r="C40" s="74" t="s">
        <v>112</v>
      </c>
      <c r="D40" s="244">
        <v>7000</v>
      </c>
      <c r="E40" s="75" t="str">
        <f>$A$56</f>
        <v>(3)</v>
      </c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1"/>
      <c r="X40" s="61"/>
    </row>
    <row r="41" spans="1:24" ht="15" customHeight="1" x14ac:dyDescent="0.3">
      <c r="A41" s="107" t="s">
        <v>140</v>
      </c>
      <c r="B41" s="69" t="s">
        <v>113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70"/>
      <c r="P41" s="70"/>
      <c r="Q41" s="70"/>
      <c r="R41" s="70"/>
      <c r="S41" s="70"/>
      <c r="T41" s="70"/>
      <c r="U41" s="70"/>
      <c r="V41" s="70"/>
      <c r="W41" s="71"/>
      <c r="X41" s="61"/>
    </row>
    <row r="42" spans="1:24" ht="15" customHeight="1" x14ac:dyDescent="0.3">
      <c r="A42" s="107" t="s">
        <v>141</v>
      </c>
      <c r="B42" s="69" t="s">
        <v>114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70"/>
      <c r="P42" s="70"/>
      <c r="Q42" s="70"/>
      <c r="R42" s="70"/>
      <c r="S42" s="70"/>
      <c r="T42" s="70"/>
      <c r="U42" s="70"/>
      <c r="V42" s="70"/>
      <c r="W42" s="71"/>
      <c r="X42" s="61"/>
    </row>
    <row r="43" spans="1:24" ht="15" customHeight="1" x14ac:dyDescent="0.3">
      <c r="A43" s="107"/>
      <c r="B43" s="69"/>
      <c r="C43" s="108" t="s">
        <v>115</v>
      </c>
      <c r="D43" s="245">
        <v>2.8659611992945327E-4</v>
      </c>
      <c r="E43" s="69" t="str">
        <f>$A$54</f>
        <v>(1)</v>
      </c>
      <c r="F43" s="104"/>
      <c r="G43" s="104"/>
      <c r="H43" s="104"/>
      <c r="I43" s="104"/>
      <c r="J43" s="104"/>
      <c r="K43" s="104"/>
      <c r="L43" s="104"/>
      <c r="M43" s="104"/>
      <c r="N43" s="104"/>
      <c r="O43"/>
      <c r="P43" s="70"/>
      <c r="Q43" s="70"/>
      <c r="R43" s="70"/>
      <c r="S43" s="70"/>
      <c r="T43" s="70"/>
      <c r="U43" s="70"/>
      <c r="V43" s="70"/>
      <c r="W43" s="71"/>
      <c r="X43" s="61"/>
    </row>
    <row r="44" spans="1:24" ht="15" customHeight="1" x14ac:dyDescent="0.3">
      <c r="A44" s="107"/>
      <c r="B44" s="69"/>
      <c r="C44" s="108" t="s">
        <v>116</v>
      </c>
      <c r="D44" s="246">
        <v>5.3899999999999996E-5</v>
      </c>
      <c r="E44" s="69" t="str">
        <f>$A$59</f>
        <v>(6)</v>
      </c>
      <c r="F44" s="104"/>
      <c r="G44" s="104"/>
      <c r="H44" s="104"/>
      <c r="I44" s="104"/>
      <c r="J44" s="104"/>
      <c r="K44" s="104"/>
      <c r="L44" s="104"/>
      <c r="M44" s="104"/>
      <c r="N44" s="104"/>
      <c r="O44" s="70"/>
      <c r="P44" s="70"/>
      <c r="Q44" s="70"/>
      <c r="R44" s="70"/>
      <c r="S44" s="70"/>
      <c r="T44" s="70"/>
      <c r="U44" s="70"/>
      <c r="V44" s="70"/>
      <c r="W44" s="71"/>
      <c r="X44" s="61"/>
    </row>
    <row r="45" spans="1:24" ht="15" customHeight="1" x14ac:dyDescent="0.3">
      <c r="A45" s="107" t="s">
        <v>142</v>
      </c>
      <c r="B45" s="69" t="s">
        <v>117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70"/>
      <c r="P45" s="70"/>
      <c r="Q45" s="70"/>
      <c r="R45" s="70"/>
      <c r="S45" s="70"/>
      <c r="T45" s="70"/>
      <c r="U45" s="70"/>
      <c r="V45" s="70"/>
      <c r="W45" s="71"/>
      <c r="X45" s="61"/>
    </row>
    <row r="46" spans="1:24" ht="15" customHeight="1" x14ac:dyDescent="0.3">
      <c r="A46" s="107" t="s">
        <v>143</v>
      </c>
      <c r="B46" s="247" t="s">
        <v>118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70"/>
      <c r="P46" s="70"/>
      <c r="Q46" s="70"/>
      <c r="R46" s="70"/>
      <c r="S46" s="70"/>
      <c r="T46" s="70"/>
      <c r="U46" s="70"/>
      <c r="V46" s="70"/>
      <c r="W46" s="71"/>
      <c r="X46" s="61"/>
    </row>
    <row r="47" spans="1:24" ht="15" customHeight="1" x14ac:dyDescent="0.3">
      <c r="A47" s="107"/>
      <c r="B47" s="247"/>
      <c r="C47" s="248" t="s">
        <v>119</v>
      </c>
      <c r="D47" s="249">
        <v>1</v>
      </c>
      <c r="E47" s="69" t="str">
        <f>$A$54</f>
        <v>(1)</v>
      </c>
      <c r="F47" s="104"/>
      <c r="G47" s="104"/>
      <c r="H47" s="104"/>
      <c r="I47" s="104"/>
      <c r="J47" s="104"/>
      <c r="K47" s="104"/>
      <c r="L47" s="104"/>
      <c r="M47" s="104"/>
      <c r="N47" s="104"/>
      <c r="O47" s="70"/>
      <c r="P47" s="70"/>
      <c r="Q47" s="70"/>
      <c r="R47" s="70"/>
      <c r="S47" s="70"/>
      <c r="T47" s="70"/>
      <c r="U47" s="70"/>
      <c r="V47" s="70"/>
      <c r="W47" s="71"/>
      <c r="X47" s="61"/>
    </row>
    <row r="48" spans="1:24" ht="15" customHeight="1" x14ac:dyDescent="0.3">
      <c r="A48" s="107"/>
      <c r="B48" s="247"/>
      <c r="C48" s="248" t="s">
        <v>120</v>
      </c>
      <c r="D48" s="249">
        <v>1</v>
      </c>
      <c r="E48" s="69" t="str">
        <f>$A$54</f>
        <v>(1)</v>
      </c>
      <c r="F48" s="104"/>
      <c r="G48" s="104"/>
      <c r="H48" s="104"/>
      <c r="I48" s="104"/>
      <c r="J48" s="104"/>
      <c r="K48" s="104"/>
      <c r="L48" s="104"/>
      <c r="M48" s="104"/>
      <c r="N48" s="104"/>
      <c r="O48" s="70"/>
      <c r="P48" s="70"/>
      <c r="Q48" s="70"/>
      <c r="R48" s="70"/>
      <c r="S48" s="70"/>
      <c r="T48" s="70"/>
      <c r="U48" s="70"/>
      <c r="V48" s="70"/>
      <c r="W48" s="71"/>
      <c r="X48" s="61"/>
    </row>
    <row r="49" spans="1:24" ht="15" customHeight="1" x14ac:dyDescent="0.3">
      <c r="A49" s="107" t="s">
        <v>144</v>
      </c>
      <c r="B49" s="247" t="s">
        <v>121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70"/>
      <c r="P49" s="70"/>
      <c r="Q49" s="70"/>
      <c r="R49" s="70"/>
      <c r="S49" s="70"/>
      <c r="T49" s="70"/>
      <c r="U49" s="70"/>
      <c r="V49" s="70"/>
      <c r="W49" s="71"/>
      <c r="X49" s="61"/>
    </row>
    <row r="50" spans="1:24" ht="15" customHeight="1" x14ac:dyDescent="0.3">
      <c r="A50" s="107"/>
      <c r="B50" s="69"/>
      <c r="C50" s="248" t="s">
        <v>119</v>
      </c>
      <c r="D50" s="249">
        <v>1</v>
      </c>
      <c r="E50" s="69" t="str">
        <f t="shared" ref="E50:E51" si="23">$A$54</f>
        <v>(1)</v>
      </c>
      <c r="F50" s="104"/>
      <c r="G50" s="104"/>
      <c r="H50" s="104"/>
      <c r="I50" s="104"/>
      <c r="J50" s="104"/>
      <c r="K50" s="104"/>
      <c r="L50" s="104"/>
      <c r="M50" s="104"/>
      <c r="N50" s="104"/>
      <c r="O50" s="70"/>
      <c r="P50" s="70"/>
      <c r="Q50" s="70"/>
      <c r="R50" s="70"/>
      <c r="S50" s="70"/>
      <c r="T50" s="70"/>
      <c r="U50" s="70"/>
      <c r="V50" s="70"/>
      <c r="W50" s="71"/>
      <c r="X50" s="61"/>
    </row>
    <row r="51" spans="1:24" ht="15" customHeight="1" x14ac:dyDescent="0.3">
      <c r="A51" s="71"/>
      <c r="B51" s="75"/>
      <c r="C51" s="83" t="s">
        <v>122</v>
      </c>
      <c r="D51" s="250">
        <v>20</v>
      </c>
      <c r="E51" s="75" t="str">
        <f t="shared" si="23"/>
        <v>(1)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1"/>
      <c r="X51" s="61"/>
    </row>
    <row r="52" spans="1:24" ht="15" customHeight="1" x14ac:dyDescent="0.3">
      <c r="A52" s="74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1"/>
      <c r="X52" s="61"/>
    </row>
    <row r="53" spans="1:24" ht="15" customHeight="1" x14ac:dyDescent="0.3">
      <c r="A53" s="82" t="s">
        <v>38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1"/>
      <c r="X53" s="61"/>
    </row>
    <row r="54" spans="1:24" ht="15" customHeight="1" x14ac:dyDescent="0.3">
      <c r="A54" s="83" t="s">
        <v>145</v>
      </c>
      <c r="B54" s="69" t="s">
        <v>123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1"/>
      <c r="X54" s="61"/>
    </row>
    <row r="55" spans="1:24" ht="15" customHeight="1" x14ac:dyDescent="0.3">
      <c r="A55" s="83" t="s">
        <v>146</v>
      </c>
      <c r="B55" s="251" t="s">
        <v>124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1"/>
      <c r="X55" s="61"/>
    </row>
    <row r="56" spans="1:24" ht="15" customHeight="1" x14ac:dyDescent="0.3">
      <c r="A56" s="83" t="s">
        <v>147</v>
      </c>
      <c r="B56" s="251" t="s">
        <v>125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1"/>
      <c r="X56" s="61"/>
    </row>
    <row r="57" spans="1:24" ht="15" customHeight="1" x14ac:dyDescent="0.3">
      <c r="A57" s="83" t="s">
        <v>148</v>
      </c>
      <c r="B57" s="251" t="s">
        <v>126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1"/>
      <c r="X57" s="61"/>
    </row>
    <row r="58" spans="1:24" ht="15" customHeight="1" x14ac:dyDescent="0.3">
      <c r="A58" s="83" t="s">
        <v>151</v>
      </c>
      <c r="B58" s="251" t="s">
        <v>127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1"/>
      <c r="X58" s="61"/>
    </row>
    <row r="59" spans="1:24" ht="15" customHeight="1" x14ac:dyDescent="0.3">
      <c r="A59" s="83" t="s">
        <v>152</v>
      </c>
      <c r="B59" s="251" t="s">
        <v>128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1"/>
      <c r="X59" s="61"/>
    </row>
    <row r="60" spans="1:24" ht="15" customHeight="1" x14ac:dyDescent="0.3">
      <c r="A60" s="83" t="s">
        <v>153</v>
      </c>
      <c r="B60" s="252" t="s">
        <v>129</v>
      </c>
    </row>
  </sheetData>
  <mergeCells count="6">
    <mergeCell ref="W11:X11"/>
    <mergeCell ref="C11:C13"/>
    <mergeCell ref="A11:B13"/>
    <mergeCell ref="D11:D13"/>
    <mergeCell ref="E11:E13"/>
    <mergeCell ref="F11:J12"/>
  </mergeCells>
  <conditionalFormatting sqref="F27:X28 F14:I26 K14:X26">
    <cfRule type="cellIs" dxfId="41" priority="1" operator="equal">
      <formula>0</formula>
    </cfRule>
    <cfRule type="cellIs" dxfId="40" priority="2" operator="greaterThanOrEqual">
      <formula>100</formula>
    </cfRule>
    <cfRule type="cellIs" dxfId="39" priority="3" operator="between">
      <formula>10</formula>
      <formula>100</formula>
    </cfRule>
    <cfRule type="cellIs" dxfId="38" priority="4" operator="between">
      <formula>0.1</formula>
      <formula>10</formula>
    </cfRule>
    <cfRule type="cellIs" dxfId="37" priority="5" operator="between">
      <formula>0.01</formula>
      <formula>0.1</formula>
    </cfRule>
    <cfRule type="cellIs" dxfId="36" priority="6" operator="lessThan">
      <formula>0.01</formula>
    </cfRule>
  </conditionalFormatting>
  <pageMargins left="0.7" right="0.7" top="0.75" bottom="0.75" header="0.3" footer="0.3"/>
  <pageSetup scale="59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102A-C13B-492A-A5BE-8518B1217603}">
  <sheetPr>
    <pageSetUpPr fitToPage="1"/>
  </sheetPr>
  <dimension ref="A1:BA41"/>
  <sheetViews>
    <sheetView zoomScaleNormal="100" workbookViewId="0">
      <selection activeCell="N26" sqref="N26"/>
    </sheetView>
  </sheetViews>
  <sheetFormatPr defaultColWidth="9.140625" defaultRowHeight="15" customHeight="1" x14ac:dyDescent="0.3"/>
  <cols>
    <col min="1" max="1" width="3.7109375" style="4" customWidth="1"/>
    <col min="2" max="2" width="45.28515625" style="4" customWidth="1"/>
    <col min="3" max="3" width="10.7109375" style="5" customWidth="1"/>
    <col min="4" max="5" width="9.140625" style="5"/>
    <col min="6" max="6" width="10.7109375" style="5" customWidth="1"/>
    <col min="7" max="7" width="3.5703125" style="5" customWidth="1"/>
    <col min="8" max="8" width="10.7109375" style="5" customWidth="1"/>
    <col min="9" max="9" width="3.5703125" style="5" customWidth="1"/>
    <col min="10" max="11" width="13.85546875" style="5" customWidth="1"/>
    <col min="12" max="12" width="3.7109375" style="4" customWidth="1"/>
    <col min="13" max="16384" width="9.140625" style="4"/>
  </cols>
  <sheetData>
    <row r="1" spans="1:11" s="1" customFormat="1" ht="18" customHeight="1" x14ac:dyDescent="0.3">
      <c r="A1" s="111" t="s">
        <v>130</v>
      </c>
      <c r="B1" s="111"/>
      <c r="C1" s="2"/>
      <c r="D1" s="2"/>
      <c r="E1" s="2"/>
      <c r="F1" s="2"/>
      <c r="G1" s="2"/>
      <c r="H1" s="2"/>
      <c r="I1" s="2"/>
      <c r="J1"/>
      <c r="K1"/>
    </row>
    <row r="2" spans="1:11" s="1" customFormat="1" ht="18" customHeight="1" x14ac:dyDescent="0.3">
      <c r="A2" s="111" t="s">
        <v>131</v>
      </c>
      <c r="B2" s="111"/>
      <c r="C2" s="2"/>
      <c r="D2" s="2"/>
      <c r="E2" s="2"/>
      <c r="F2" s="2"/>
      <c r="G2" s="2"/>
      <c r="H2" s="2"/>
      <c r="I2" s="2"/>
      <c r="J2"/>
      <c r="K2"/>
    </row>
    <row r="3" spans="1:11" s="1" customFormat="1" ht="18" customHeight="1" x14ac:dyDescent="0.3">
      <c r="A3" s="111" t="s">
        <v>2</v>
      </c>
      <c r="B3" s="11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thickBot="1" x14ac:dyDescent="0.35"/>
    <row r="5" spans="1:11" ht="15" customHeight="1" thickBot="1" x14ac:dyDescent="0.35">
      <c r="A5" s="112" t="s">
        <v>70</v>
      </c>
      <c r="B5" s="113"/>
      <c r="C5" s="113"/>
      <c r="D5" s="113"/>
      <c r="E5" s="113"/>
      <c r="F5" s="113"/>
      <c r="G5" s="113"/>
      <c r="H5" s="113"/>
      <c r="I5" s="113"/>
      <c r="J5" s="114" t="s">
        <v>132</v>
      </c>
      <c r="K5" s="115"/>
    </row>
    <row r="6" spans="1:11" ht="28.5" x14ac:dyDescent="0.3">
      <c r="A6" s="117" t="s">
        <v>76</v>
      </c>
      <c r="B6" s="118"/>
      <c r="C6" s="118"/>
      <c r="D6" s="118"/>
      <c r="E6" s="118"/>
      <c r="F6" s="118"/>
      <c r="G6" s="118"/>
      <c r="H6" s="118"/>
      <c r="I6" s="118"/>
      <c r="J6" s="119" t="s">
        <v>133</v>
      </c>
      <c r="K6" s="120"/>
    </row>
    <row r="7" spans="1:11" ht="15" customHeight="1" x14ac:dyDescent="0.3">
      <c r="A7" s="117" t="s">
        <v>82</v>
      </c>
      <c r="B7" s="118"/>
      <c r="C7" s="118"/>
      <c r="D7" s="118"/>
      <c r="E7" s="118"/>
      <c r="F7" s="118"/>
      <c r="G7" s="118"/>
      <c r="H7" s="118"/>
      <c r="I7" s="125" t="str">
        <f>$A$38</f>
        <v>(1)</v>
      </c>
      <c r="J7" s="253">
        <v>21</v>
      </c>
      <c r="K7" s="254"/>
    </row>
    <row r="8" spans="1:11" ht="15" customHeight="1" x14ac:dyDescent="0.3">
      <c r="A8" s="129" t="s">
        <v>83</v>
      </c>
      <c r="B8" s="130"/>
      <c r="C8" s="130"/>
      <c r="D8" s="130"/>
      <c r="E8" s="130"/>
      <c r="F8" s="130"/>
      <c r="G8" s="130"/>
      <c r="H8" s="130"/>
      <c r="I8" s="131" t="str">
        <f>$A$38</f>
        <v>(1)</v>
      </c>
      <c r="J8" s="255">
        <v>24</v>
      </c>
      <c r="K8" s="256"/>
    </row>
    <row r="9" spans="1:11" ht="15" customHeight="1" thickBot="1" x14ac:dyDescent="0.35">
      <c r="A9" s="132" t="s">
        <v>84</v>
      </c>
      <c r="B9" s="133"/>
      <c r="C9" s="133"/>
      <c r="D9" s="133"/>
      <c r="E9" s="133"/>
      <c r="F9" s="133"/>
      <c r="G9" s="133"/>
      <c r="H9" s="133"/>
      <c r="I9" s="134" t="str">
        <f>$A$38</f>
        <v>(1)</v>
      </c>
      <c r="J9" s="257">
        <v>600</v>
      </c>
      <c r="K9" s="258"/>
    </row>
    <row r="10" spans="1:11" ht="15" customHeight="1" thickBot="1" x14ac:dyDescent="0.35"/>
    <row r="11" spans="1:11" ht="15" customHeight="1" x14ac:dyDescent="0.3">
      <c r="A11" s="322" t="s">
        <v>3</v>
      </c>
      <c r="B11" s="323"/>
      <c r="C11" s="313" t="s">
        <v>4</v>
      </c>
      <c r="D11" s="326" t="s">
        <v>5</v>
      </c>
      <c r="E11" s="328" t="s">
        <v>6</v>
      </c>
      <c r="F11" s="336" t="s">
        <v>85</v>
      </c>
      <c r="G11" s="337"/>
      <c r="H11" s="337"/>
      <c r="I11" s="338"/>
      <c r="J11" s="136" t="s">
        <v>86</v>
      </c>
      <c r="K11" s="137"/>
    </row>
    <row r="12" spans="1:11" ht="15" customHeight="1" x14ac:dyDescent="0.3">
      <c r="A12" s="333"/>
      <c r="B12" s="334"/>
      <c r="C12" s="332"/>
      <c r="D12" s="332"/>
      <c r="E12" s="335"/>
      <c r="F12" s="342"/>
      <c r="G12" s="343"/>
      <c r="H12" s="343"/>
      <c r="I12" s="344"/>
      <c r="J12" s="143" t="str">
        <f>J5</f>
        <v>EU141</v>
      </c>
      <c r="K12" s="144"/>
    </row>
    <row r="13" spans="1:11" ht="27.75" thickBot="1" x14ac:dyDescent="0.35">
      <c r="A13" s="324"/>
      <c r="B13" s="325"/>
      <c r="C13" s="314"/>
      <c r="D13" s="327"/>
      <c r="E13" s="329"/>
      <c r="F13" s="148" t="s">
        <v>92</v>
      </c>
      <c r="G13" s="149"/>
      <c r="H13" s="150" t="s">
        <v>134</v>
      </c>
      <c r="I13" s="259"/>
      <c r="J13" s="151" t="s">
        <v>135</v>
      </c>
      <c r="K13" s="152" t="s">
        <v>136</v>
      </c>
    </row>
    <row r="14" spans="1:11" ht="15" customHeight="1" x14ac:dyDescent="0.3">
      <c r="A14" s="24" t="s">
        <v>14</v>
      </c>
      <c r="B14" s="25"/>
      <c r="C14" s="27">
        <v>75070</v>
      </c>
      <c r="D14" s="28" t="s">
        <v>149</v>
      </c>
      <c r="E14" s="260" t="s">
        <v>149</v>
      </c>
      <c r="F14" s="33">
        <v>7.67E-4</v>
      </c>
      <c r="G14" s="261" t="str">
        <f>$A$40</f>
        <v>(3)</v>
      </c>
      <c r="H14" s="176">
        <f>F14*7000/10^6</f>
        <v>5.3689999999999998E-6</v>
      </c>
      <c r="I14" s="176"/>
      <c r="J14" s="29">
        <f t="shared" ref="J14:J17" si="0">$H14*J$7*J$8</f>
        <v>2.7059760000000001E-3</v>
      </c>
      <c r="K14" s="173">
        <f t="shared" ref="K14:K22" si="1">$H14*J$7*J$9</f>
        <v>6.7649399999999998E-2</v>
      </c>
    </row>
    <row r="15" spans="1:11" ht="15" customHeight="1" x14ac:dyDescent="0.3">
      <c r="A15" s="24" t="s">
        <v>93</v>
      </c>
      <c r="B15" s="25"/>
      <c r="C15" s="27">
        <v>71432</v>
      </c>
      <c r="D15" s="28" t="s">
        <v>149</v>
      </c>
      <c r="E15" s="26" t="s">
        <v>149</v>
      </c>
      <c r="F15" s="44">
        <v>9.3300000000000002E-4</v>
      </c>
      <c r="G15" s="262" t="str">
        <f>$A$40</f>
        <v>(3)</v>
      </c>
      <c r="H15" s="176">
        <f t="shared" ref="H15:H22" si="2">F15*7000/10^6</f>
        <v>6.5309999999999998E-6</v>
      </c>
      <c r="I15" s="127"/>
      <c r="J15" s="29">
        <f t="shared" si="0"/>
        <v>3.2916239999999999E-3</v>
      </c>
      <c r="K15" s="173">
        <f t="shared" si="1"/>
        <v>8.2290599999999992E-2</v>
      </c>
    </row>
    <row r="16" spans="1:11" ht="15" customHeight="1" x14ac:dyDescent="0.3">
      <c r="A16" s="24" t="s">
        <v>94</v>
      </c>
      <c r="B16" s="25"/>
      <c r="C16" s="27">
        <v>50328</v>
      </c>
      <c r="D16" s="28" t="s">
        <v>149</v>
      </c>
      <c r="E16" s="26" t="s">
        <v>149</v>
      </c>
      <c r="F16" s="175">
        <v>1.8799999999999999E-7</v>
      </c>
      <c r="G16" s="262" t="str">
        <f>$A$40</f>
        <v>(3)</v>
      </c>
      <c r="H16" s="176">
        <f t="shared" si="2"/>
        <v>1.3159999999999998E-9</v>
      </c>
      <c r="I16" s="127"/>
      <c r="J16" s="29">
        <f t="shared" si="0"/>
        <v>6.6326399999999992E-7</v>
      </c>
      <c r="K16" s="173">
        <f t="shared" si="1"/>
        <v>1.6581599999999997E-5</v>
      </c>
    </row>
    <row r="17" spans="1:11" ht="15" customHeight="1" x14ac:dyDescent="0.3">
      <c r="A17" s="24" t="s">
        <v>15</v>
      </c>
      <c r="B17" s="25"/>
      <c r="C17" s="27">
        <v>50000</v>
      </c>
      <c r="D17" s="28" t="s">
        <v>149</v>
      </c>
      <c r="E17" s="26" t="s">
        <v>149</v>
      </c>
      <c r="F17" s="33">
        <v>1.1800000000000001E-3</v>
      </c>
      <c r="G17" s="261" t="str">
        <f>$A$40</f>
        <v>(3)</v>
      </c>
      <c r="H17" s="176">
        <f t="shared" si="2"/>
        <v>8.2600000000000005E-6</v>
      </c>
      <c r="I17" s="176"/>
      <c r="J17" s="29">
        <f t="shared" si="0"/>
        <v>4.1630399999999998E-3</v>
      </c>
      <c r="K17" s="173">
        <f t="shared" si="1"/>
        <v>0.104076</v>
      </c>
    </row>
    <row r="18" spans="1:11" ht="15" customHeight="1" x14ac:dyDescent="0.3">
      <c r="A18" s="24" t="s">
        <v>95</v>
      </c>
      <c r="B18" s="25"/>
      <c r="C18" s="27">
        <v>91203</v>
      </c>
      <c r="D18" s="28" t="s">
        <v>149</v>
      </c>
      <c r="E18" s="26" t="s">
        <v>149</v>
      </c>
      <c r="F18" s="33">
        <v>8.4800000000000001E-5</v>
      </c>
      <c r="G18" s="261" t="str">
        <f>$A$40</f>
        <v>(3)</v>
      </c>
      <c r="H18" s="176">
        <f t="shared" si="2"/>
        <v>5.9360000000000002E-7</v>
      </c>
      <c r="I18" s="176"/>
      <c r="J18" s="29">
        <f>$H18*J$7*J$8</f>
        <v>2.9917440000000001E-4</v>
      </c>
      <c r="K18" s="173">
        <f t="shared" si="1"/>
        <v>7.47936E-3</v>
      </c>
    </row>
    <row r="19" spans="1:11" ht="15" customHeight="1" x14ac:dyDescent="0.3">
      <c r="A19" s="24" t="s">
        <v>96</v>
      </c>
      <c r="B19" s="25"/>
      <c r="C19" s="270">
        <v>401</v>
      </c>
      <c r="D19" s="28" t="s">
        <v>149</v>
      </c>
      <c r="E19" s="26" t="s">
        <v>149</v>
      </c>
      <c r="F19" s="33">
        <f>0.000168-F18</f>
        <v>8.3199999999999989E-5</v>
      </c>
      <c r="G19" s="261" t="str">
        <f>$A$41</f>
        <v>(4)</v>
      </c>
      <c r="H19" s="176">
        <f t="shared" si="2"/>
        <v>5.8239999999999992E-7</v>
      </c>
      <c r="I19" s="176"/>
      <c r="J19" s="29">
        <f t="shared" ref="J19:J22" si="3">$H19*J$7*J$8</f>
        <v>2.9352959999999999E-4</v>
      </c>
      <c r="K19" s="173">
        <f t="shared" si="1"/>
        <v>7.3382399999999993E-3</v>
      </c>
    </row>
    <row r="20" spans="1:11" ht="15" customHeight="1" x14ac:dyDescent="0.3">
      <c r="A20" s="24" t="s">
        <v>97</v>
      </c>
      <c r="B20" s="25"/>
      <c r="C20" s="27">
        <v>115071</v>
      </c>
      <c r="D20" s="28" t="s">
        <v>150</v>
      </c>
      <c r="E20" s="26" t="s">
        <v>149</v>
      </c>
      <c r="F20" s="177">
        <v>2.5799999999999998E-3</v>
      </c>
      <c r="G20" s="261" t="str">
        <f>$A$40</f>
        <v>(3)</v>
      </c>
      <c r="H20" s="176">
        <f t="shared" si="2"/>
        <v>1.806E-5</v>
      </c>
      <c r="I20" s="176"/>
      <c r="J20" s="29">
        <f t="shared" si="3"/>
        <v>9.1022399999999993E-3</v>
      </c>
      <c r="K20" s="173">
        <f t="shared" si="1"/>
        <v>0.22755599999999998</v>
      </c>
    </row>
    <row r="21" spans="1:11" ht="15" customHeight="1" x14ac:dyDescent="0.3">
      <c r="A21" s="24" t="s">
        <v>98</v>
      </c>
      <c r="B21" s="25"/>
      <c r="C21" s="27">
        <v>108883</v>
      </c>
      <c r="D21" s="28" t="s">
        <v>149</v>
      </c>
      <c r="E21" s="26" t="s">
        <v>149</v>
      </c>
      <c r="F21" s="33">
        <v>4.0900000000000002E-4</v>
      </c>
      <c r="G21" s="261" t="str">
        <f>$A$40</f>
        <v>(3)</v>
      </c>
      <c r="H21" s="176">
        <f t="shared" si="2"/>
        <v>2.8629999999999999E-6</v>
      </c>
      <c r="I21" s="176"/>
      <c r="J21" s="29">
        <f t="shared" si="3"/>
        <v>1.4429519999999999E-3</v>
      </c>
      <c r="K21" s="173">
        <f t="shared" si="1"/>
        <v>3.6073800000000003E-2</v>
      </c>
    </row>
    <row r="22" spans="1:11" ht="15" customHeight="1" x14ac:dyDescent="0.3">
      <c r="A22" s="24" t="s">
        <v>99</v>
      </c>
      <c r="B22" s="25"/>
      <c r="C22" s="27">
        <v>1330207</v>
      </c>
      <c r="D22" s="28" t="s">
        <v>149</v>
      </c>
      <c r="E22" s="26" t="s">
        <v>149</v>
      </c>
      <c r="F22" s="50">
        <v>2.8499999999999999E-4</v>
      </c>
      <c r="G22" s="263" t="str">
        <f>$A$40</f>
        <v>(3)</v>
      </c>
      <c r="H22" s="127">
        <f t="shared" si="2"/>
        <v>1.995E-6</v>
      </c>
      <c r="I22" s="127"/>
      <c r="J22" s="26">
        <f t="shared" si="3"/>
        <v>1.00548E-3</v>
      </c>
      <c r="K22" s="264">
        <f t="shared" si="1"/>
        <v>2.5137E-2</v>
      </c>
    </row>
    <row r="23" spans="1:11" s="3" customFormat="1" ht="15" customHeight="1" x14ac:dyDescent="0.3">
      <c r="A23" s="54" t="s">
        <v>20</v>
      </c>
      <c r="B23" s="55"/>
      <c r="C23" s="55"/>
      <c r="D23" s="55"/>
      <c r="E23" s="56"/>
      <c r="F23" s="57"/>
      <c r="G23" s="57"/>
      <c r="H23" s="57"/>
      <c r="I23" s="57"/>
      <c r="J23" s="265">
        <f>SUM(J$14:J$22)</f>
        <v>2.2304679264E-2</v>
      </c>
      <c r="K23" s="266">
        <f>SUM(K$14:K$22)</f>
        <v>0.55761698159999995</v>
      </c>
    </row>
    <row r="24" spans="1:11" s="3" customFormat="1" ht="15" customHeight="1" thickBot="1" x14ac:dyDescent="0.35">
      <c r="A24" s="62" t="s">
        <v>21</v>
      </c>
      <c r="B24" s="63"/>
      <c r="C24" s="63"/>
      <c r="D24" s="63"/>
      <c r="E24" s="64"/>
      <c r="F24" s="65"/>
      <c r="G24" s="65"/>
      <c r="H24" s="65"/>
      <c r="I24" s="65"/>
      <c r="J24" s="65">
        <f>SUMIF($E$14:$E$22,"Yes",J$14:J$22)</f>
        <v>2.2304679264E-2</v>
      </c>
      <c r="K24" s="67">
        <f>SUMIF($E$14:$E$22,"Yes",K$14:K$22)</f>
        <v>0.55761698159999995</v>
      </c>
    </row>
    <row r="25" spans="1:11" ht="15" customHeight="1" x14ac:dyDescent="0.3">
      <c r="A25" s="69" t="s">
        <v>22</v>
      </c>
      <c r="B25" s="70"/>
      <c r="C25" s="70"/>
      <c r="D25" s="70"/>
      <c r="E25" s="70"/>
      <c r="F25" s="70"/>
      <c r="G25" s="70"/>
      <c r="H25" s="70"/>
      <c r="I25" s="70"/>
      <c r="J25"/>
      <c r="K25"/>
    </row>
    <row r="26" spans="1:11" ht="15" customHeight="1" x14ac:dyDescent="0.3">
      <c r="A26" s="72" t="s">
        <v>105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15" customHeight="1" x14ac:dyDescent="0.3">
      <c r="A27" s="72" t="s">
        <v>23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5" customHeight="1" x14ac:dyDescent="0.3">
      <c r="A28" s="72" t="s">
        <v>106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pans="1:11" ht="15" customHeight="1" x14ac:dyDescent="0.3">
      <c r="A29" s="72" t="s">
        <v>108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ht="15" customHeight="1" x14ac:dyDescent="0.3">
      <c r="A30" s="72" t="s">
        <v>24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 x14ac:dyDescent="0.3">
      <c r="A31" s="72" t="s">
        <v>25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 x14ac:dyDescent="0.3">
      <c r="A32" s="71" t="s">
        <v>137</v>
      </c>
      <c r="B32" s="75" t="s">
        <v>111</v>
      </c>
      <c r="C32" s="70"/>
      <c r="D32" s="70"/>
      <c r="E32" s="70"/>
      <c r="F32" s="70"/>
      <c r="G32" s="70"/>
      <c r="H32" s="70"/>
      <c r="I32" s="70"/>
      <c r="J32" s="70"/>
      <c r="K32" s="70"/>
    </row>
    <row r="33" spans="1:53" ht="15" customHeight="1" x14ac:dyDescent="0.3">
      <c r="A33" s="71"/>
      <c r="B33" s="75"/>
      <c r="C33" s="74" t="s">
        <v>112</v>
      </c>
      <c r="D33" s="244">
        <v>7000</v>
      </c>
      <c r="E33" s="75" t="str">
        <f>$A$39</f>
        <v>(2)</v>
      </c>
      <c r="F33" s="70"/>
      <c r="G33" s="70"/>
      <c r="H33" s="70"/>
      <c r="I33" s="70"/>
      <c r="J33" s="70"/>
      <c r="K33" s="70"/>
    </row>
    <row r="34" spans="1:53" ht="15" customHeight="1" x14ac:dyDescent="0.3">
      <c r="A34" s="71" t="s">
        <v>138</v>
      </c>
      <c r="B34" s="69" t="s">
        <v>109</v>
      </c>
      <c r="C34" s="70"/>
      <c r="D34" s="70"/>
      <c r="E34" s="70"/>
      <c r="F34" s="70"/>
      <c r="G34" s="70"/>
      <c r="H34" s="70"/>
      <c r="I34" s="70"/>
      <c r="J34" s="70"/>
      <c r="K34" s="70"/>
    </row>
    <row r="35" spans="1:53" ht="15" customHeight="1" x14ac:dyDescent="0.3">
      <c r="A35" s="71" t="s">
        <v>139</v>
      </c>
      <c r="B35" s="75" t="s">
        <v>110</v>
      </c>
      <c r="C35" s="70"/>
      <c r="D35" s="70"/>
      <c r="E35" s="70"/>
      <c r="F35" s="70"/>
      <c r="G35" s="70"/>
      <c r="H35" s="70"/>
      <c r="I35" s="70"/>
      <c r="J35" s="70"/>
      <c r="K35" s="70"/>
    </row>
    <row r="36" spans="1:53" ht="15" customHeight="1" x14ac:dyDescent="0.3">
      <c r="A36" s="74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53" ht="15" customHeight="1" x14ac:dyDescent="0.3">
      <c r="A37" s="82" t="s">
        <v>38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53" s="3" customFormat="1" ht="15" customHeight="1" x14ac:dyDescent="0.3">
      <c r="A38" s="83" t="s">
        <v>145</v>
      </c>
      <c r="B38" s="69" t="s">
        <v>123</v>
      </c>
      <c r="C38" s="267"/>
      <c r="D38" s="267"/>
      <c r="E38" s="267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</row>
    <row r="39" spans="1:53" s="3" customFormat="1" ht="15" customHeight="1" x14ac:dyDescent="0.3">
      <c r="A39" s="83" t="s">
        <v>146</v>
      </c>
      <c r="B39" s="251" t="s">
        <v>125</v>
      </c>
      <c r="C39" s="267"/>
      <c r="D39" s="267"/>
      <c r="E39" s="267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</row>
    <row r="40" spans="1:53" s="3" customFormat="1" ht="15" customHeight="1" x14ac:dyDescent="0.3">
      <c r="A40" s="83" t="s">
        <v>147</v>
      </c>
      <c r="B40" s="251" t="s">
        <v>124</v>
      </c>
      <c r="C40" s="267"/>
      <c r="D40" s="267"/>
      <c r="E40" s="267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</row>
    <row r="41" spans="1:53" ht="15" customHeight="1" x14ac:dyDescent="0.3">
      <c r="A41" s="83" t="s">
        <v>148</v>
      </c>
      <c r="B41" s="251" t="s">
        <v>126</v>
      </c>
      <c r="C41" s="70"/>
      <c r="D41" s="70"/>
      <c r="E41" s="70"/>
      <c r="F41" s="70"/>
      <c r="G41" s="70"/>
      <c r="H41" s="70"/>
      <c r="I41" s="70"/>
      <c r="J41" s="70"/>
      <c r="K41" s="70"/>
    </row>
  </sheetData>
  <mergeCells count="5">
    <mergeCell ref="A11:B13"/>
    <mergeCell ref="D11:D13"/>
    <mergeCell ref="E11:E13"/>
    <mergeCell ref="F11:I12"/>
    <mergeCell ref="C11:C13"/>
  </mergeCells>
  <conditionalFormatting sqref="F14:K15 F17:K19 G16:K16 G20:K20 F21:K24 F38:BA40">
    <cfRule type="cellIs" dxfId="35" priority="13" operator="equal">
      <formula>0</formula>
    </cfRule>
    <cfRule type="cellIs" dxfId="34" priority="14" operator="greaterThanOrEqual">
      <formula>100</formula>
    </cfRule>
    <cfRule type="cellIs" dxfId="33" priority="15" operator="between">
      <formula>10</formula>
      <formula>100</formula>
    </cfRule>
    <cfRule type="cellIs" dxfId="32" priority="16" operator="between">
      <formula>0.1</formula>
      <formula>10</formula>
    </cfRule>
    <cfRule type="cellIs" dxfId="31" priority="17" operator="between">
      <formula>0.01</formula>
      <formula>0.1</formula>
    </cfRule>
    <cfRule type="cellIs" dxfId="30" priority="18" operator="lessThan">
      <formula>0.01</formula>
    </cfRule>
  </conditionalFormatting>
  <conditionalFormatting sqref="F16">
    <cfRule type="cellIs" dxfId="29" priority="7" operator="equal">
      <formula>0</formula>
    </cfRule>
    <cfRule type="cellIs" dxfId="28" priority="8" operator="greaterThanOrEqual">
      <formula>100</formula>
    </cfRule>
    <cfRule type="cellIs" dxfId="27" priority="9" operator="between">
      <formula>10</formula>
      <formula>100</formula>
    </cfRule>
    <cfRule type="cellIs" dxfId="26" priority="10" operator="between">
      <formula>0.1</formula>
      <formula>10</formula>
    </cfRule>
    <cfRule type="cellIs" dxfId="25" priority="11" operator="between">
      <formula>0.01</formula>
      <formula>0.1</formula>
    </cfRule>
    <cfRule type="cellIs" dxfId="24" priority="12" operator="lessThan">
      <formula>0.01</formula>
    </cfRule>
  </conditionalFormatting>
  <conditionalFormatting sqref="F20">
    <cfRule type="cellIs" dxfId="23" priority="1" operator="equal">
      <formula>0</formula>
    </cfRule>
    <cfRule type="cellIs" dxfId="22" priority="2" operator="greaterThanOrEqual">
      <formula>100</formula>
    </cfRule>
    <cfRule type="cellIs" dxfId="21" priority="3" operator="between">
      <formula>10</formula>
      <formula>100</formula>
    </cfRule>
    <cfRule type="cellIs" dxfId="20" priority="4" operator="between">
      <formula>0.1</formula>
      <formula>10</formula>
    </cfRule>
    <cfRule type="cellIs" dxfId="19" priority="5" operator="between">
      <formula>0.01</formula>
      <formula>0.1</formula>
    </cfRule>
    <cfRule type="cellIs" dxfId="18" priority="6" operator="lessThan">
      <formula>0.01</formula>
    </cfRule>
  </conditionalFormatting>
  <pageMargins left="0.7" right="0.7" top="0.75" bottom="0.75" header="0.3" footer="0.3"/>
  <pageSetup scale="92"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D5C4-2CC0-4309-88C6-AE15212411A8}">
  <sheetPr>
    <pageSetUpPr fitToPage="1"/>
  </sheetPr>
  <dimension ref="A1:AW20"/>
  <sheetViews>
    <sheetView zoomScaleNormal="100" workbookViewId="0">
      <selection activeCell="D23" sqref="D23"/>
    </sheetView>
  </sheetViews>
  <sheetFormatPr defaultColWidth="9.140625" defaultRowHeight="15" customHeight="1" x14ac:dyDescent="0.3"/>
  <cols>
    <col min="1" max="1" width="3.7109375" style="4" customWidth="1"/>
    <col min="2" max="2" width="16.7109375" style="4" customWidth="1"/>
    <col min="3" max="3" width="33.42578125" style="4" customWidth="1"/>
    <col min="4" max="4" width="13.7109375" style="5" customWidth="1"/>
    <col min="5" max="5" width="13.42578125" style="5" customWidth="1"/>
    <col min="6" max="6" width="3.5703125" style="5" customWidth="1"/>
    <col min="7" max="7" width="13.42578125" style="5" customWidth="1"/>
    <col min="8" max="8" width="3.5703125" style="4" customWidth="1"/>
    <col min="9" max="16384" width="9.140625" style="4"/>
  </cols>
  <sheetData>
    <row r="1" spans="1:10" s="1" customFormat="1" ht="18" customHeight="1" x14ac:dyDescent="0.3">
      <c r="A1" s="111" t="s">
        <v>154</v>
      </c>
      <c r="B1" s="111"/>
      <c r="C1" s="111"/>
      <c r="D1" s="2"/>
      <c r="E1" s="2"/>
      <c r="F1" s="2"/>
      <c r="G1"/>
    </row>
    <row r="2" spans="1:10" s="1" customFormat="1" ht="18" customHeight="1" x14ac:dyDescent="0.3">
      <c r="A2" s="111" t="s">
        <v>155</v>
      </c>
      <c r="B2" s="111"/>
      <c r="C2" s="111"/>
      <c r="D2" s="2"/>
      <c r="E2" s="2"/>
      <c r="F2" s="2"/>
      <c r="G2"/>
    </row>
    <row r="3" spans="1:10" s="1" customFormat="1" ht="18" customHeight="1" x14ac:dyDescent="0.3">
      <c r="A3" s="111" t="s">
        <v>2</v>
      </c>
      <c r="B3" s="111"/>
      <c r="C3" s="111"/>
      <c r="D3" s="2"/>
      <c r="E3" s="2"/>
      <c r="F3" s="2"/>
      <c r="G3" s="2"/>
    </row>
    <row r="4" spans="1:10" ht="15" customHeight="1" thickBot="1" x14ac:dyDescent="0.35"/>
    <row r="5" spans="1:10" ht="58.5" customHeight="1" thickBot="1" x14ac:dyDescent="0.35">
      <c r="A5" s="347" t="s">
        <v>157</v>
      </c>
      <c r="B5" s="348"/>
      <c r="C5" s="280" t="s">
        <v>3</v>
      </c>
      <c r="D5" s="280" t="s">
        <v>4</v>
      </c>
      <c r="E5" s="345" t="s">
        <v>158</v>
      </c>
      <c r="F5" s="346"/>
      <c r="G5" s="345" t="s">
        <v>159</v>
      </c>
      <c r="H5" s="349"/>
    </row>
    <row r="6" spans="1:10" ht="15" customHeight="1" x14ac:dyDescent="0.3">
      <c r="A6" s="350" t="s">
        <v>164</v>
      </c>
      <c r="B6" s="351"/>
      <c r="C6" s="281" t="s">
        <v>160</v>
      </c>
      <c r="D6" s="85">
        <v>7440473</v>
      </c>
      <c r="E6" s="101">
        <v>6.0000000000000001E-3</v>
      </c>
      <c r="F6" s="102"/>
      <c r="G6" s="16">
        <f>E6*$D$14/1000</f>
        <v>4.7136000000000001E-3</v>
      </c>
      <c r="H6" s="279"/>
    </row>
    <row r="7" spans="1:10" ht="15" customHeight="1" x14ac:dyDescent="0.3">
      <c r="A7" s="352"/>
      <c r="B7" s="353"/>
      <c r="C7" s="282" t="s">
        <v>161</v>
      </c>
      <c r="D7" s="27">
        <v>7440484</v>
      </c>
      <c r="E7" s="33">
        <v>1E-3</v>
      </c>
      <c r="F7" s="41"/>
      <c r="G7" s="29">
        <f>E7*$D$14/1000</f>
        <v>7.8560000000000012E-4</v>
      </c>
      <c r="H7" s="278"/>
    </row>
    <row r="8" spans="1:10" ht="15" customHeight="1" x14ac:dyDescent="0.3">
      <c r="A8" s="352"/>
      <c r="B8" s="353"/>
      <c r="C8" s="282" t="s">
        <v>162</v>
      </c>
      <c r="D8" s="283">
        <v>7439965</v>
      </c>
      <c r="E8" s="33">
        <v>1.03</v>
      </c>
      <c r="F8" s="41"/>
      <c r="G8" s="29">
        <f>E8*$D$14/1000</f>
        <v>0.809168</v>
      </c>
      <c r="H8" s="278"/>
      <c r="J8"/>
    </row>
    <row r="9" spans="1:10" ht="15" customHeight="1" x14ac:dyDescent="0.3">
      <c r="A9" s="354"/>
      <c r="B9" s="355"/>
      <c r="C9" s="282" t="s">
        <v>163</v>
      </c>
      <c r="D9" s="284">
        <v>365</v>
      </c>
      <c r="E9" s="177">
        <v>2E-3</v>
      </c>
      <c r="F9" s="41"/>
      <c r="G9" s="29">
        <f>E9*$D$14/1000</f>
        <v>1.5712000000000002E-3</v>
      </c>
      <c r="H9" s="278"/>
    </row>
    <row r="10" spans="1:10" s="3" customFormat="1" ht="15" customHeight="1" thickBot="1" x14ac:dyDescent="0.35">
      <c r="A10" s="62" t="s">
        <v>20</v>
      </c>
      <c r="B10" s="277"/>
      <c r="C10" s="63"/>
      <c r="D10" s="63"/>
      <c r="E10" s="65"/>
      <c r="F10" s="65"/>
      <c r="G10" s="286">
        <f>SUM(G$6:G$9)</f>
        <v>0.81623840000000003</v>
      </c>
      <c r="H10" s="285"/>
    </row>
    <row r="11" spans="1:10" ht="15" customHeight="1" x14ac:dyDescent="0.3">
      <c r="A11" s="69" t="s">
        <v>22</v>
      </c>
      <c r="B11" s="69"/>
      <c r="C11" s="70"/>
      <c r="D11" s="70"/>
      <c r="E11" s="70"/>
      <c r="F11" s="70"/>
      <c r="G11"/>
    </row>
    <row r="12" spans="1:10" ht="15" customHeight="1" x14ac:dyDescent="0.3">
      <c r="A12" s="271" t="s">
        <v>156</v>
      </c>
      <c r="B12" s="271"/>
      <c r="C12" s="70"/>
      <c r="D12" s="70"/>
      <c r="E12" s="70"/>
      <c r="F12" s="70"/>
      <c r="G12" s="70"/>
    </row>
    <row r="13" spans="1:10" ht="15" customHeight="1" x14ac:dyDescent="0.3">
      <c r="A13" s="71" t="s">
        <v>137</v>
      </c>
      <c r="B13" s="272" t="s">
        <v>166</v>
      </c>
      <c r="D13" s="70"/>
      <c r="E13" s="70"/>
      <c r="F13" s="70"/>
      <c r="G13" s="70"/>
    </row>
    <row r="14" spans="1:10" ht="15" customHeight="1" x14ac:dyDescent="0.3">
      <c r="A14" s="71"/>
      <c r="B14" s="71"/>
      <c r="C14" s="74" t="s">
        <v>165</v>
      </c>
      <c r="D14" s="244">
        <v>785.6</v>
      </c>
      <c r="E14" s="75" t="str">
        <f>$A$19</f>
        <v>(2)</v>
      </c>
      <c r="G14" s="70"/>
    </row>
    <row r="15" spans="1:10" ht="15" customHeight="1" x14ac:dyDescent="0.3">
      <c r="A15" s="74"/>
      <c r="B15" s="74"/>
      <c r="C15" s="70"/>
      <c r="D15" s="70"/>
      <c r="E15" s="70"/>
      <c r="F15" s="70"/>
      <c r="G15" s="70"/>
    </row>
    <row r="16" spans="1:10" ht="15" customHeight="1" x14ac:dyDescent="0.3">
      <c r="A16" s="82" t="s">
        <v>38</v>
      </c>
      <c r="B16" s="82"/>
      <c r="C16" s="70"/>
      <c r="D16" s="70"/>
      <c r="E16" s="70"/>
      <c r="F16" s="70"/>
      <c r="G16" s="70"/>
    </row>
    <row r="17" spans="1:49" s="3" customFormat="1" ht="15" customHeight="1" x14ac:dyDescent="0.3">
      <c r="A17" s="248" t="s">
        <v>145</v>
      </c>
      <c r="B17" s="272" t="s">
        <v>167</v>
      </c>
      <c r="C17" s="69"/>
      <c r="D17" s="287"/>
      <c r="E17" s="288"/>
      <c r="F17" s="288"/>
      <c r="G17" s="288"/>
      <c r="H17" s="274"/>
      <c r="I17" s="274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</row>
    <row r="18" spans="1:49" s="3" customFormat="1" ht="15" customHeight="1" x14ac:dyDescent="0.3">
      <c r="A18" s="248"/>
      <c r="B18" s="272" t="s">
        <v>168</v>
      </c>
      <c r="C18" s="69"/>
      <c r="D18" s="287"/>
      <c r="E18" s="288"/>
      <c r="F18" s="288"/>
      <c r="G18" s="288"/>
      <c r="H18" s="274"/>
      <c r="I18" s="274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</row>
    <row r="19" spans="1:49" s="3" customFormat="1" ht="15" customHeight="1" x14ac:dyDescent="0.3">
      <c r="A19" s="248" t="s">
        <v>146</v>
      </c>
      <c r="B19" s="69" t="s">
        <v>123</v>
      </c>
      <c r="C19" s="289"/>
      <c r="D19" s="287"/>
      <c r="E19" s="288"/>
      <c r="F19" s="288"/>
      <c r="G19" s="288"/>
      <c r="H19" s="274"/>
      <c r="I19" s="274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</row>
    <row r="20" spans="1:49" ht="15" customHeight="1" x14ac:dyDescent="0.3">
      <c r="A20" s="273"/>
      <c r="B20" s="273"/>
      <c r="C20" s="275"/>
      <c r="D20" s="276"/>
      <c r="E20" s="276"/>
      <c r="F20" s="276"/>
      <c r="G20" s="276"/>
    </row>
  </sheetData>
  <mergeCells count="4">
    <mergeCell ref="E5:F5"/>
    <mergeCell ref="A5:B5"/>
    <mergeCell ref="G5:H5"/>
    <mergeCell ref="A6:B9"/>
  </mergeCells>
  <conditionalFormatting sqref="E6:G8 F9:G9 E17:AW19 E10:G10 H6:H10">
    <cfRule type="cellIs" dxfId="17" priority="13" operator="equal">
      <formula>0</formula>
    </cfRule>
    <cfRule type="cellIs" dxfId="16" priority="14" operator="greaterThanOrEqual">
      <formula>100</formula>
    </cfRule>
    <cfRule type="cellIs" dxfId="15" priority="15" operator="between">
      <formula>10</formula>
      <formula>100</formula>
    </cfRule>
    <cfRule type="cellIs" dxfId="14" priority="16" operator="between">
      <formula>0.1</formula>
      <formula>10</formula>
    </cfRule>
    <cfRule type="cellIs" dxfId="13" priority="17" operator="between">
      <formula>0.01</formula>
      <formula>0.1</formula>
    </cfRule>
    <cfRule type="cellIs" dxfId="12" priority="18" operator="lessThan">
      <formula>0.01</formula>
    </cfRule>
  </conditionalFormatting>
  <conditionalFormatting sqref="E9">
    <cfRule type="cellIs" dxfId="11" priority="1" operator="equal">
      <formula>0</formula>
    </cfRule>
    <cfRule type="cellIs" dxfId="10" priority="2" operator="greaterThanOrEqual">
      <formula>100</formula>
    </cfRule>
    <cfRule type="cellIs" dxfId="9" priority="3" operator="between">
      <formula>10</formula>
      <formula>100</formula>
    </cfRule>
    <cfRule type="cellIs" dxfId="8" priority="4" operator="between">
      <formula>0.1</formula>
      <formula>10</formula>
    </cfRule>
    <cfRule type="cellIs" dxfId="7" priority="5" operator="between">
      <formula>0.01</formula>
      <formula>0.1</formula>
    </cfRule>
    <cfRule type="cellIs" dxfId="6" priority="6" operator="lessThan">
      <formula>0.01</formula>
    </cfRule>
  </conditionalFormatting>
  <pageMargins left="0.7" right="0.7" top="0.75" bottom="0.75" header="0.3" footer="0.3"/>
  <pageSetup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7D93-E8D3-4C07-8480-CEA374CA93DB}">
  <sheetPr>
    <pageSetUpPr fitToPage="1"/>
  </sheetPr>
  <dimension ref="A1:AZ24"/>
  <sheetViews>
    <sheetView zoomScaleNormal="100" workbookViewId="0">
      <selection activeCell="D28" sqref="D28"/>
    </sheetView>
  </sheetViews>
  <sheetFormatPr defaultColWidth="9.140625" defaultRowHeight="15" customHeight="1" x14ac:dyDescent="0.3"/>
  <cols>
    <col min="1" max="1" width="3.7109375" style="4" customWidth="1"/>
    <col min="2" max="2" width="25.5703125" style="4" customWidth="1"/>
    <col min="3" max="3" width="13.7109375" style="5" customWidth="1"/>
    <col min="4" max="4" width="13.42578125" style="5" customWidth="1"/>
    <col min="5" max="5" width="3.5703125" style="5" customWidth="1"/>
    <col min="6" max="7" width="15.140625" style="5" customWidth="1"/>
    <col min="8" max="8" width="14.7109375" style="5" customWidth="1"/>
    <col min="9" max="9" width="3.5703125" style="5" customWidth="1"/>
    <col min="10" max="10" width="14.5703125" style="5" customWidth="1"/>
    <col min="11" max="11" width="3.5703125" style="4" customWidth="1"/>
    <col min="12" max="16384" width="9.140625" style="4"/>
  </cols>
  <sheetData>
    <row r="1" spans="1:13" s="1" customFormat="1" ht="18" customHeight="1" x14ac:dyDescent="0.3">
      <c r="A1" s="111" t="s">
        <v>169</v>
      </c>
      <c r="B1" s="111"/>
      <c r="C1" s="2"/>
      <c r="D1" s="2"/>
      <c r="E1" s="2"/>
      <c r="F1" s="2"/>
      <c r="G1" s="2"/>
      <c r="H1" s="2"/>
      <c r="I1" s="2"/>
      <c r="J1"/>
    </row>
    <row r="2" spans="1:13" s="1" customFormat="1" ht="18" customHeight="1" x14ac:dyDescent="0.3">
      <c r="A2" s="111" t="s">
        <v>170</v>
      </c>
      <c r="B2" s="111"/>
      <c r="C2" s="2"/>
      <c r="D2" s="2"/>
      <c r="E2" s="2"/>
      <c r="F2" s="2"/>
      <c r="G2" s="2"/>
      <c r="H2" s="2"/>
      <c r="I2" s="2"/>
      <c r="J2"/>
    </row>
    <row r="3" spans="1:13" s="1" customFormat="1" ht="18" customHeight="1" x14ac:dyDescent="0.3">
      <c r="A3" s="111" t="s">
        <v>2</v>
      </c>
      <c r="B3" s="111"/>
      <c r="C3" s="2"/>
      <c r="D3" s="2"/>
      <c r="E3" s="2"/>
      <c r="F3" s="2"/>
      <c r="G3" s="2"/>
      <c r="H3" s="2"/>
      <c r="I3" s="2"/>
      <c r="J3" s="2"/>
    </row>
    <row r="4" spans="1:13" ht="15" customHeight="1" thickBot="1" x14ac:dyDescent="0.35"/>
    <row r="5" spans="1:13" ht="33.75" customHeight="1" x14ac:dyDescent="0.3">
      <c r="A5" s="328" t="s">
        <v>3</v>
      </c>
      <c r="B5" s="356"/>
      <c r="C5" s="313" t="s">
        <v>4</v>
      </c>
      <c r="D5" s="336" t="s">
        <v>171</v>
      </c>
      <c r="E5" s="338"/>
      <c r="F5" s="328" t="s">
        <v>181</v>
      </c>
      <c r="G5" s="360"/>
      <c r="H5" s="328" t="s">
        <v>179</v>
      </c>
      <c r="I5" s="356"/>
      <c r="J5" s="328" t="s">
        <v>178</v>
      </c>
      <c r="K5" s="356"/>
    </row>
    <row r="6" spans="1:13" ht="27.75" thickBot="1" x14ac:dyDescent="0.35">
      <c r="A6" s="329"/>
      <c r="B6" s="357"/>
      <c r="C6" s="314"/>
      <c r="D6" s="358"/>
      <c r="E6" s="359"/>
      <c r="F6" s="306" t="s">
        <v>173</v>
      </c>
      <c r="G6" s="307" t="s">
        <v>174</v>
      </c>
      <c r="H6" s="329"/>
      <c r="I6" s="357"/>
      <c r="J6" s="329"/>
      <c r="K6" s="357"/>
    </row>
    <row r="7" spans="1:13" ht="15" customHeight="1" x14ac:dyDescent="0.3">
      <c r="A7" s="290" t="s">
        <v>160</v>
      </c>
      <c r="B7" s="291"/>
      <c r="C7" s="292">
        <v>7440473</v>
      </c>
      <c r="D7" s="16">
        <v>4.7136000000000001E-3</v>
      </c>
      <c r="E7" s="279"/>
      <c r="F7" s="303" t="s">
        <v>17</v>
      </c>
      <c r="G7" s="308" t="s">
        <v>17</v>
      </c>
      <c r="H7" s="16" t="str">
        <f>IFERROR($D7*$D$15/$F7,"--")</f>
        <v>--</v>
      </c>
      <c r="I7" s="279"/>
      <c r="J7" s="16" t="str">
        <f>IFERROR($D7*$D$15/$G7,"--")</f>
        <v>--</v>
      </c>
      <c r="K7" s="279"/>
    </row>
    <row r="8" spans="1:13" ht="15" customHeight="1" x14ac:dyDescent="0.3">
      <c r="A8" s="129" t="s">
        <v>161</v>
      </c>
      <c r="B8" s="210"/>
      <c r="C8" s="293">
        <v>7440484</v>
      </c>
      <c r="D8" s="29">
        <v>7.8560000000000012E-4</v>
      </c>
      <c r="E8" s="278"/>
      <c r="F8" s="305" t="s">
        <v>17</v>
      </c>
      <c r="G8" s="309">
        <v>0.1</v>
      </c>
      <c r="H8" s="29" t="str">
        <f t="shared" ref="H8:H10" si="0">IFERROR($D8*$D$15/$F8,"--")</f>
        <v>--</v>
      </c>
      <c r="I8" s="278"/>
      <c r="J8" s="29">
        <f t="shared" ref="J8:J10" si="1">IFERROR($D8*$D$15/$G8,"--")</f>
        <v>3.5352000000000003E-5</v>
      </c>
      <c r="K8" s="278"/>
    </row>
    <row r="9" spans="1:13" ht="15" customHeight="1" x14ac:dyDescent="0.3">
      <c r="A9" s="129" t="s">
        <v>162</v>
      </c>
      <c r="B9" s="210"/>
      <c r="C9" s="294">
        <v>7439965</v>
      </c>
      <c r="D9" s="29">
        <v>0.809168</v>
      </c>
      <c r="E9" s="278"/>
      <c r="F9" s="305" t="s">
        <v>17</v>
      </c>
      <c r="G9" s="309">
        <v>0.09</v>
      </c>
      <c r="H9" s="29" t="str">
        <f t="shared" si="0"/>
        <v>--</v>
      </c>
      <c r="I9" s="278"/>
      <c r="J9" s="29">
        <f t="shared" si="1"/>
        <v>4.0458399999999999E-2</v>
      </c>
      <c r="K9" s="278"/>
      <c r="M9"/>
    </row>
    <row r="10" spans="1:13" ht="15" customHeight="1" x14ac:dyDescent="0.3">
      <c r="A10" s="196" t="s">
        <v>163</v>
      </c>
      <c r="B10" s="197"/>
      <c r="C10" s="295">
        <v>365</v>
      </c>
      <c r="D10" s="29">
        <v>1.5712000000000002E-3</v>
      </c>
      <c r="E10" s="278"/>
      <c r="F10" s="304">
        <v>3.8E-3</v>
      </c>
      <c r="G10" s="310">
        <v>1.4E-2</v>
      </c>
      <c r="H10" s="29">
        <f t="shared" si="0"/>
        <v>1.8606315789473687E-3</v>
      </c>
      <c r="I10" s="278"/>
      <c r="J10" s="29">
        <f t="shared" si="1"/>
        <v>5.0502857142857148E-4</v>
      </c>
      <c r="K10" s="278"/>
    </row>
    <row r="11" spans="1:13" s="3" customFormat="1" ht="15" customHeight="1" thickBot="1" x14ac:dyDescent="0.35">
      <c r="A11" s="312" t="s">
        <v>172</v>
      </c>
      <c r="B11" s="277"/>
      <c r="C11" s="63"/>
      <c r="D11" s="286"/>
      <c r="E11" s="285"/>
      <c r="F11" s="302"/>
      <c r="G11" s="65"/>
      <c r="H11" s="286">
        <f>SUM(H$7:H$10)</f>
        <v>1.8606315789473687E-3</v>
      </c>
      <c r="I11" s="285"/>
      <c r="J11" s="286">
        <f>SUM(J$7:J$10)</f>
        <v>4.099878057142857E-2</v>
      </c>
      <c r="K11" s="285"/>
    </row>
    <row r="12" spans="1:13" ht="15" customHeight="1" x14ac:dyDescent="0.3">
      <c r="A12" s="69" t="s">
        <v>22</v>
      </c>
      <c r="B12" s="69"/>
      <c r="C12" s="70"/>
      <c r="D12" s="70"/>
      <c r="E12" s="70"/>
      <c r="F12" s="70"/>
      <c r="G12" s="70"/>
      <c r="H12" s="70"/>
      <c r="I12" s="70"/>
      <c r="J12"/>
    </row>
    <row r="13" spans="1:13" ht="15" customHeight="1" x14ac:dyDescent="0.3">
      <c r="A13" s="271" t="s">
        <v>156</v>
      </c>
      <c r="B13" s="271"/>
      <c r="C13" s="70"/>
      <c r="D13" s="70"/>
      <c r="E13" s="70"/>
      <c r="F13" s="70"/>
      <c r="G13" s="70"/>
      <c r="H13" s="70"/>
      <c r="I13" s="70"/>
      <c r="J13" s="70"/>
    </row>
    <row r="14" spans="1:13" ht="15" customHeight="1" x14ac:dyDescent="0.3">
      <c r="A14" s="71" t="s">
        <v>137</v>
      </c>
      <c r="B14" s="272" t="s">
        <v>180</v>
      </c>
      <c r="C14" s="70"/>
      <c r="D14" s="70"/>
      <c r="E14" s="70"/>
      <c r="F14" s="70"/>
      <c r="G14" s="70"/>
      <c r="H14" s="70"/>
      <c r="I14" s="70"/>
      <c r="J14" s="70"/>
    </row>
    <row r="15" spans="1:13" ht="15" customHeight="1" x14ac:dyDescent="0.3">
      <c r="A15" s="71"/>
      <c r="B15" s="71"/>
      <c r="C15" s="74" t="s">
        <v>177</v>
      </c>
      <c r="D15" s="311">
        <v>4.4999999999999997E-3</v>
      </c>
      <c r="E15" s="75" t="str">
        <f>$A$20</f>
        <v>(3)</v>
      </c>
      <c r="F15" s="71"/>
      <c r="G15" s="71"/>
      <c r="H15" s="71"/>
      <c r="I15" s="71"/>
      <c r="J15" s="61"/>
    </row>
    <row r="16" spans="1:13" ht="15" customHeight="1" x14ac:dyDescent="0.3">
      <c r="A16" s="74"/>
      <c r="B16" s="74"/>
      <c r="C16" s="70"/>
      <c r="D16" s="70"/>
      <c r="E16" s="70"/>
      <c r="F16" s="70"/>
      <c r="G16" s="70"/>
      <c r="H16" s="70"/>
      <c r="I16" s="70"/>
      <c r="J16" s="70"/>
    </row>
    <row r="17" spans="1:52" ht="15" customHeight="1" x14ac:dyDescent="0.3">
      <c r="A17" s="82" t="s">
        <v>38</v>
      </c>
      <c r="B17" s="82"/>
      <c r="C17" s="70"/>
      <c r="D17" s="70"/>
      <c r="E17" s="70"/>
      <c r="F17" s="70"/>
      <c r="G17" s="70"/>
      <c r="H17" s="70"/>
      <c r="I17" s="70"/>
      <c r="J17" s="70"/>
    </row>
    <row r="18" spans="1:52" s="3" customFormat="1" ht="15" customHeight="1" x14ac:dyDescent="0.3">
      <c r="A18" s="299" t="s">
        <v>145</v>
      </c>
      <c r="B18" s="272" t="str">
        <f>"See "&amp;Welding_Emissions!$A$1&amp;", "&amp;Welding_Emissions!$A$2&amp;"."</f>
        <v>See Table 8, Welding Emissions for Electrodes Exceeding the Reporting Threshold.</v>
      </c>
      <c r="C18" s="296"/>
      <c r="D18" s="297"/>
      <c r="E18" s="297"/>
      <c r="F18" s="297"/>
      <c r="G18" s="297"/>
      <c r="H18" s="297"/>
      <c r="I18" s="297"/>
      <c r="J18" s="297"/>
      <c r="K18" s="298"/>
      <c r="L18" s="274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</row>
    <row r="19" spans="1:52" s="3" customFormat="1" ht="15" customHeight="1" x14ac:dyDescent="0.3">
      <c r="A19" s="299" t="s">
        <v>146</v>
      </c>
      <c r="B19" s="69" t="s">
        <v>175</v>
      </c>
      <c r="C19" s="296"/>
      <c r="D19" s="297"/>
      <c r="E19" s="297"/>
      <c r="F19" s="297"/>
      <c r="G19" s="297"/>
      <c r="H19" s="297"/>
      <c r="I19" s="297"/>
      <c r="J19" s="297"/>
      <c r="K19" s="298"/>
      <c r="L19" s="274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</row>
    <row r="20" spans="1:52" ht="15" customHeight="1" x14ac:dyDescent="0.3">
      <c r="A20" s="300" t="s">
        <v>147</v>
      </c>
      <c r="B20" s="69" t="s">
        <v>176</v>
      </c>
      <c r="C20" s="276"/>
      <c r="D20" s="276"/>
      <c r="E20" s="276"/>
      <c r="F20" s="276"/>
      <c r="G20" s="276"/>
      <c r="H20" s="276"/>
      <c r="I20" s="276"/>
      <c r="J20" s="276"/>
      <c r="K20" s="61"/>
    </row>
    <row r="21" spans="1:52" ht="15" customHeight="1" x14ac:dyDescent="0.3">
      <c r="A21" s="301"/>
      <c r="B21" s="61"/>
      <c r="C21" s="71"/>
      <c r="D21" s="71"/>
      <c r="E21" s="71"/>
      <c r="F21" s="71"/>
      <c r="G21" s="71"/>
      <c r="H21" s="71"/>
      <c r="I21" s="71"/>
      <c r="J21" s="71"/>
      <c r="K21" s="61"/>
    </row>
    <row r="22" spans="1:52" ht="15" customHeight="1" x14ac:dyDescent="0.3">
      <c r="A22" s="61"/>
      <c r="B22" s="61"/>
      <c r="C22" s="71"/>
      <c r="D22" s="71"/>
      <c r="E22" s="71"/>
      <c r="F22" s="71"/>
      <c r="G22" s="71"/>
      <c r="H22" s="71"/>
      <c r="I22" s="71"/>
      <c r="J22" s="71"/>
      <c r="K22" s="61"/>
    </row>
    <row r="23" spans="1:52" ht="15" customHeight="1" x14ac:dyDescent="0.3">
      <c r="A23" s="61"/>
      <c r="B23" s="61"/>
      <c r="C23" s="71"/>
      <c r="D23" s="71"/>
      <c r="E23" s="71"/>
      <c r="F23" s="71"/>
      <c r="G23" s="71"/>
      <c r="H23" s="71"/>
      <c r="I23" s="71"/>
      <c r="J23" s="71"/>
      <c r="K23" s="61"/>
    </row>
    <row r="24" spans="1:52" ht="15" customHeight="1" x14ac:dyDescent="0.3">
      <c r="A24" s="61"/>
      <c r="B24" s="61"/>
      <c r="C24" s="71"/>
      <c r="D24" s="71"/>
      <c r="E24" s="71"/>
      <c r="F24" s="71"/>
      <c r="G24" s="71"/>
      <c r="H24" s="71"/>
      <c r="I24" s="71"/>
      <c r="J24" s="71"/>
      <c r="K24" s="61"/>
    </row>
  </sheetData>
  <mergeCells count="6">
    <mergeCell ref="C5:C6"/>
    <mergeCell ref="A5:B6"/>
    <mergeCell ref="D5:E6"/>
    <mergeCell ref="F5:G5"/>
    <mergeCell ref="J5:K6"/>
    <mergeCell ref="H5:I6"/>
  </mergeCells>
  <conditionalFormatting sqref="D18:AZ19 D7:K11">
    <cfRule type="cellIs" dxfId="5" priority="7" operator="equal">
      <formula>0</formula>
    </cfRule>
    <cfRule type="cellIs" dxfId="4" priority="8" operator="greaterThanOrEqual">
      <formula>100</formula>
    </cfRule>
    <cfRule type="cellIs" dxfId="3" priority="9" operator="between">
      <formula>10</formula>
      <formula>100</formula>
    </cfRule>
    <cfRule type="cellIs" dxfId="2" priority="10" operator="between">
      <formula>0.1</formula>
      <formula>10</formula>
    </cfRule>
    <cfRule type="cellIs" dxfId="1" priority="11" operator="between">
      <formula>0.01</formula>
      <formula>0.1</formula>
    </cfRule>
    <cfRule type="cellIs" dxfId="0" priority="12" operator="lessThan">
      <formula>0.01</formula>
    </cfRule>
  </conditionalFormatting>
  <pageMargins left="0.7" right="0.7" top="0.75" bottom="0.75" header="0.3" footer="0.3"/>
  <pageSetup orientation="landscape" r:id="rId1"/>
  <headerFooter>
    <oddHeader>&amp;R&amp;G</oddHeader>
    <oddFooter>&amp;L&amp;8 0438.02.05, &amp;D, &amp;F&amp;R&amp;8Page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GP Toledo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063E49-4123-49D4-8A79-9E1EE3749943}"/>
</file>

<file path=customXml/itemProps2.xml><?xml version="1.0" encoding="utf-8"?>
<ds:datastoreItem xmlns:ds="http://schemas.openxmlformats.org/officeDocument/2006/customXml" ds:itemID="{C408B215-A357-494F-B612-F91D0C1204DC}"/>
</file>

<file path=customXml/itemProps3.xml><?xml version="1.0" encoding="utf-8"?>
<ds:datastoreItem xmlns:ds="http://schemas.openxmlformats.org/officeDocument/2006/customXml" ds:itemID="{AD2E753E-0BB2-4168-9C78-20539EAA1D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Clarifier</vt:lpstr>
      <vt:lpstr>Thermal</vt:lpstr>
      <vt:lpstr>Load_Level</vt:lpstr>
      <vt:lpstr>Treatment</vt:lpstr>
      <vt:lpstr>Settling</vt:lpstr>
      <vt:lpstr>Diesel_Engines</vt:lpstr>
      <vt:lpstr>Gas_Engine</vt:lpstr>
      <vt:lpstr>Welding_Emissions</vt:lpstr>
      <vt:lpstr>Welding_Risk</vt:lpstr>
      <vt:lpstr>Clarifier!Print_Area</vt:lpstr>
      <vt:lpstr>Diesel_Engines!Print_Area</vt:lpstr>
      <vt:lpstr>Gas_Engine!Print_Area</vt:lpstr>
      <vt:lpstr>Load_Level!Print_Area</vt:lpstr>
      <vt:lpstr>Settling!Print_Area</vt:lpstr>
      <vt:lpstr>Thermal!Print_Area</vt:lpstr>
      <vt:lpstr>Treatment!Print_Area</vt:lpstr>
      <vt:lpstr>Welding_Emissions!Print_Area</vt:lpstr>
      <vt:lpstr>Welding_Risk!Print_Area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Bornhorst</dc:creator>
  <cp:lastModifiedBy>Eric Bornhorst</cp:lastModifiedBy>
  <cp:lastPrinted>2022-05-27T15:36:44Z</cp:lastPrinted>
  <dcterms:created xsi:type="dcterms:W3CDTF">2022-05-26T21:18:15Z</dcterms:created>
  <dcterms:modified xsi:type="dcterms:W3CDTF">2022-05-27T15:40:05Z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